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/>
  <mc:AlternateContent xmlns:mc="http://schemas.openxmlformats.org/markup-compatibility/2006">
    <mc:Choice Requires="x15">
      <x15ac:absPath xmlns:x15ac="http://schemas.microsoft.com/office/spreadsheetml/2010/11/ac" url="C:\Users\crpenn\OneDrive - Sempra Energy\User Folders\Desktop\"/>
    </mc:Choice>
  </mc:AlternateContent>
  <xr:revisionPtr revIDLastSave="9" documentId="13_ncr:1_{23B76845-82FE-4CE0-963E-F417713BA3DB}" xr6:coauthVersionLast="41" xr6:coauthVersionMax="41" xr10:uidLastSave="{2AE1CA82-552B-4308-B846-ECEE7B2374D3}"/>
  <bookViews>
    <workbookView xWindow="-120" yWindow="-120" windowWidth="29040" windowHeight="15840" tabRatio="815" activeTab="1" xr2:uid="{00000000-000D-0000-FFFF-FFFF00000000}"/>
  </bookViews>
  <sheets>
    <sheet name="App.XII Upload Template" sheetId="133" r:id="rId1"/>
    <sheet name="Summary of Cost Components" sheetId="112" r:id="rId2"/>
    <sheet name="A. Sec.1 - Direct Maintenance" sheetId="111" r:id="rId3"/>
    <sheet name="B. Sec.2 - Non-Direct Expenses" sheetId="113" r:id="rId4"/>
    <sheet name="C. Sec.3 - Other Costs" sheetId="114" r:id="rId5"/>
    <sheet name="D. Sec.4 - TU" sheetId="156" r:id="rId6"/>
    <sheet name="D1. Sec.4 - PY Invoice Summary" sheetId="154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0" r:id="rId18"/>
    <sheet name="AD-6B" sheetId="11" r:id="rId19"/>
    <sheet name="AD-7" sheetId="163" r:id="rId20"/>
    <sheet name="AD-8" sheetId="3" r:id="rId21"/>
    <sheet name="AD-9" sheetId="13" r:id="rId22"/>
    <sheet name="AD-10" sheetId="14" r:id="rId23"/>
    <sheet name="Stmt AE" sheetId="22" r:id="rId24"/>
    <sheet name="AE-1" sheetId="23" r:id="rId25"/>
    <sheet name="AE-1A" sheetId="136" r:id="rId26"/>
    <sheet name="AE-1B" sheetId="152" r:id="rId27"/>
    <sheet name="AE-1C" sheetId="24" r:id="rId28"/>
    <sheet name="AE-2" sheetId="25" r:id="rId29"/>
    <sheet name="AE-3" sheetId="26" r:id="rId30"/>
    <sheet name="AE-4" sheetId="27" r:id="rId31"/>
    <sheet name="Stmt AF" sheetId="34" r:id="rId32"/>
    <sheet name="AF-1" sheetId="165" r:id="rId33"/>
    <sheet name="AF-2" sheetId="167" r:id="rId34"/>
    <sheet name="AF-3" sheetId="135" r:id="rId35"/>
    <sheet name="Stmt AG" sheetId="38" r:id="rId36"/>
    <sheet name="AG-1" sheetId="109" r:id="rId37"/>
    <sheet name="AG-1A" sheetId="159" r:id="rId38"/>
    <sheet name="Stmt AH" sheetId="40" r:id="rId39"/>
    <sheet name="AH-1" sheetId="153" r:id="rId40"/>
    <sheet name="AH-2" sheetId="41" r:id="rId41"/>
    <sheet name="AH-3" sheetId="42" r:id="rId42"/>
    <sheet name="Stmt AI" sheetId="45" r:id="rId43"/>
    <sheet name="AI-1" sheetId="150" r:id="rId44"/>
    <sheet name="Stmt AJ" sheetId="46" r:id="rId45"/>
    <sheet name="AJ-1" sheetId="56" r:id="rId46"/>
    <sheet name="AJ-2" sheetId="59" r:id="rId47"/>
    <sheet name="Stmt AK" sheetId="66" r:id="rId48"/>
    <sheet name="Stmt AL" sheetId="69" r:id="rId49"/>
    <sheet name="AL-1" sheetId="70" r:id="rId50"/>
    <sheet name="AL-2" sheetId="71" r:id="rId51"/>
    <sheet name="Stmt AR" sheetId="75" r:id="rId52"/>
    <sheet name="AR-1" sheetId="161" r:id="rId53"/>
    <sheet name="Stmt AV" sheetId="82" r:id="rId54"/>
    <sheet name="AV-2A" sheetId="84" r:id="rId55"/>
    <sheet name="AV-2B" sheetId="85" r:id="rId56"/>
    <sheet name="AV-4" sheetId="146" r:id="rId57"/>
    <sheet name="Stmt Misc." sheetId="162" r:id="rId58"/>
    <sheet name="Automation" sheetId="151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 localSheetId="33">#REF!</definedName>
    <definedName name="\0" localSheetId="52">#REF!</definedName>
    <definedName name="\0" localSheetId="6">#REF!</definedName>
    <definedName name="\0" localSheetId="42">#REF!</definedName>
    <definedName name="\0" localSheetId="47">#REF!</definedName>
    <definedName name="\0" localSheetId="51">#REF!</definedName>
    <definedName name="\0" localSheetId="53">#REF!</definedName>
    <definedName name="\0">#REF!</definedName>
    <definedName name="\A" localSheetId="19">#REF!</definedName>
    <definedName name="\A" localSheetId="33">#REF!</definedName>
    <definedName name="\A" localSheetId="37">#REF!</definedName>
    <definedName name="\A" localSheetId="52">#REF!</definedName>
    <definedName name="\A" localSheetId="6">#REF!</definedName>
    <definedName name="\A" localSheetId="42">#REF!</definedName>
    <definedName name="\A" localSheetId="47">#REF!</definedName>
    <definedName name="\a" localSheetId="51">[1]CONSOLIDATED!#REF!</definedName>
    <definedName name="\a" localSheetId="53">[1]CONSOLIDATED!#REF!</definedName>
    <definedName name="\A" localSheetId="57">#REF!</definedName>
    <definedName name="\A">#REF!</definedName>
    <definedName name="\b" localSheetId="33">#REF!</definedName>
    <definedName name="\b" localSheetId="52">#REF!</definedName>
    <definedName name="\b" localSheetId="6">#REF!</definedName>
    <definedName name="\b" localSheetId="51">#REF!</definedName>
    <definedName name="\b" localSheetId="53">#REF!</definedName>
    <definedName name="\b">#REF!</definedName>
    <definedName name="\D" localSheetId="33">#REF!</definedName>
    <definedName name="\D" localSheetId="52">#REF!</definedName>
    <definedName name="\D" localSheetId="6">#REF!</definedName>
    <definedName name="\D" localSheetId="42">#REF!</definedName>
    <definedName name="\D" localSheetId="47">#REF!</definedName>
    <definedName name="\D" localSheetId="51">#REF!</definedName>
    <definedName name="\D" localSheetId="53">#REF!</definedName>
    <definedName name="\D">#REF!</definedName>
    <definedName name="\E">[2]Sheet2!$A$60:$A$61</definedName>
    <definedName name="\M" localSheetId="33">#REF!</definedName>
    <definedName name="\M" localSheetId="52">#REF!</definedName>
    <definedName name="\M" localSheetId="6">#REF!</definedName>
    <definedName name="\M" localSheetId="42">#REF!</definedName>
    <definedName name="\M" localSheetId="47">#REF!</definedName>
    <definedName name="\M" localSheetId="51">[2]Sheet2!$A$74:$A$78</definedName>
    <definedName name="\M" localSheetId="53">[2]Sheet2!$A$74:$A$78</definedName>
    <definedName name="\M">#REF!</definedName>
    <definedName name="\P" localSheetId="19">#REF!</definedName>
    <definedName name="\P" localSheetId="33">#REF!</definedName>
    <definedName name="\P" localSheetId="37">#REF!</definedName>
    <definedName name="\P" localSheetId="52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42">#REF!</definedName>
    <definedName name="\P" localSheetId="47">#REF!</definedName>
    <definedName name="\p" localSheetId="51">[1]CONSOLIDATED!#REF!</definedName>
    <definedName name="\p" localSheetId="53">[1]CONSOLIDATED!#REF!</definedName>
    <definedName name="\P" localSheetId="57">#REF!</definedName>
    <definedName name="\P">#REF!</definedName>
    <definedName name="\R">[2]Sheet2!$A$82:$A$88</definedName>
    <definedName name="\S">[2]Sheet2!$A$100</definedName>
    <definedName name="\T" localSheetId="33">#REF!</definedName>
    <definedName name="\T" localSheetId="52">#REF!</definedName>
    <definedName name="\T" localSheetId="6">#REF!</definedName>
    <definedName name="\T" localSheetId="42">#REF!</definedName>
    <definedName name="\T" localSheetId="47">#REF!</definedName>
    <definedName name="\T" localSheetId="51">[2]Sheet2!$A$104</definedName>
    <definedName name="\T" localSheetId="53">[2]Sheet2!$A$104</definedName>
    <definedName name="\T">#REF!</definedName>
    <definedName name="\W">[2]Sheet2!$A$96</definedName>
    <definedName name="\X" localSheetId="33">#REF!</definedName>
    <definedName name="\X" localSheetId="52">#REF!</definedName>
    <definedName name="\X" localSheetId="6">#REF!</definedName>
    <definedName name="\X" localSheetId="51">#REF!</definedName>
    <definedName name="\X" localSheetId="53">#REF!</definedName>
    <definedName name="\X">#REF!</definedName>
    <definedName name="\Z" localSheetId="33">#REF!</definedName>
    <definedName name="\Z" localSheetId="52">#REF!</definedName>
    <definedName name="\Z" localSheetId="6">#REF!</definedName>
    <definedName name="\Z" localSheetId="51">#REF!</definedName>
    <definedName name="\Z" localSheetId="53">#REF!</definedName>
    <definedName name="\Z">#REF!</definedName>
    <definedName name="_________PG2" localSheetId="33">#REF!</definedName>
    <definedName name="_________PG2" localSheetId="52">#REF!</definedName>
    <definedName name="_________PG2" localSheetId="6">#REF!</definedName>
    <definedName name="_________PG2">#REF!</definedName>
    <definedName name="_______DAT1" localSheetId="33">#REF!</definedName>
    <definedName name="_______DAT1" localSheetId="52">#REF!</definedName>
    <definedName name="_______DAT1" localSheetId="6">#REF!</definedName>
    <definedName name="_______DAT1" localSheetId="53">#REF!</definedName>
    <definedName name="_______DAT1">#REF!</definedName>
    <definedName name="_______DAT10" localSheetId="33">#REF!</definedName>
    <definedName name="_______DAT10" localSheetId="52">#REF!</definedName>
    <definedName name="_______DAT10" localSheetId="6">#REF!</definedName>
    <definedName name="_______DAT10" localSheetId="53">#REF!</definedName>
    <definedName name="_______DAT10">#REF!</definedName>
    <definedName name="_______DAT11" localSheetId="33">#REF!</definedName>
    <definedName name="_______DAT11" localSheetId="52">#REF!</definedName>
    <definedName name="_______DAT11" localSheetId="6">#REF!</definedName>
    <definedName name="_______DAT11" localSheetId="53">#REF!</definedName>
    <definedName name="_______DAT11">#REF!</definedName>
    <definedName name="_______DAT12" localSheetId="33">#REF!</definedName>
    <definedName name="_______DAT12" localSheetId="52">#REF!</definedName>
    <definedName name="_______DAT12" localSheetId="6">#REF!</definedName>
    <definedName name="_______DAT12" localSheetId="53">#REF!</definedName>
    <definedName name="_______DAT12">#REF!</definedName>
    <definedName name="_______DAT13" localSheetId="33">#REF!</definedName>
    <definedName name="_______DAT13" localSheetId="52">#REF!</definedName>
    <definedName name="_______DAT13" localSheetId="6">#REF!</definedName>
    <definedName name="_______DAT13" localSheetId="53">#REF!</definedName>
    <definedName name="_______DAT13">#REF!</definedName>
    <definedName name="_______DAT14" localSheetId="33">#REF!</definedName>
    <definedName name="_______DAT14" localSheetId="52">#REF!</definedName>
    <definedName name="_______DAT14" localSheetId="6">#REF!</definedName>
    <definedName name="_______DAT14" localSheetId="53">#REF!</definedName>
    <definedName name="_______DAT14">#REF!</definedName>
    <definedName name="_______DAT3" localSheetId="33">#REF!</definedName>
    <definedName name="_______DAT3" localSheetId="52">#REF!</definedName>
    <definedName name="_______DAT3" localSheetId="6">#REF!</definedName>
    <definedName name="_______DAT3" localSheetId="53">#REF!</definedName>
    <definedName name="_______DAT3">#REF!</definedName>
    <definedName name="_______DAT4" localSheetId="33">#REF!</definedName>
    <definedName name="_______DAT4" localSheetId="52">#REF!</definedName>
    <definedName name="_______DAT4" localSheetId="6">#REF!</definedName>
    <definedName name="_______DAT4" localSheetId="53">#REF!</definedName>
    <definedName name="_______DAT4">#REF!</definedName>
    <definedName name="_______DAT6" localSheetId="33">#REF!</definedName>
    <definedName name="_______DAT6" localSheetId="52">#REF!</definedName>
    <definedName name="_______DAT6" localSheetId="6">#REF!</definedName>
    <definedName name="_______DAT6" localSheetId="53">#REF!</definedName>
    <definedName name="_______DAT6">#REF!</definedName>
    <definedName name="_______DAT7" localSheetId="33">#REF!</definedName>
    <definedName name="_______DAT7" localSheetId="52">#REF!</definedName>
    <definedName name="_______DAT7" localSheetId="6">#REF!</definedName>
    <definedName name="_______DAT7" localSheetId="53">#REF!</definedName>
    <definedName name="_______DAT7">#REF!</definedName>
    <definedName name="_______DAT9" localSheetId="33">#REF!</definedName>
    <definedName name="_______DAT9" localSheetId="52">#REF!</definedName>
    <definedName name="_______DAT9" localSheetId="6">#REF!</definedName>
    <definedName name="_______DAT9" localSheetId="53">#REF!</definedName>
    <definedName name="_______DAT9">#REF!</definedName>
    <definedName name="_______PG1" localSheetId="33">#REF!</definedName>
    <definedName name="_______PG1" localSheetId="52">#REF!</definedName>
    <definedName name="_______PG1" localSheetId="6">#REF!</definedName>
    <definedName name="_______PG1" localSheetId="51">#REF!</definedName>
    <definedName name="_______PG1" localSheetId="53">#REF!</definedName>
    <definedName name="_______PG1">#REF!</definedName>
    <definedName name="_______PG2" localSheetId="19">#REF!</definedName>
    <definedName name="_______PG2" localSheetId="33">#REF!</definedName>
    <definedName name="_______PG2" localSheetId="37">#REF!</definedName>
    <definedName name="_______PG2" localSheetId="52">#REF!</definedName>
    <definedName name="_______PG2" localSheetId="5">#REF!</definedName>
    <definedName name="_______PG2" localSheetId="6">#REF!</definedName>
    <definedName name="_______PG2" localSheetId="51">#N/A</definedName>
    <definedName name="_______PG2" localSheetId="53">#N/A</definedName>
    <definedName name="_______PG2" localSheetId="57">#REF!</definedName>
    <definedName name="_______PG2">#REF!</definedName>
    <definedName name="_______PG511" localSheetId="19">[2]Sheet2!#REF!</definedName>
    <definedName name="_______PG511" localSheetId="33">[2]Sheet2!#REF!</definedName>
    <definedName name="_______PG511" localSheetId="37">[2]Sheet2!#REF!</definedName>
    <definedName name="_______PG511" localSheetId="52">[2]Sheet2!#REF!</definedName>
    <definedName name="_______PG511" localSheetId="5">[2]Sheet2!#REF!</definedName>
    <definedName name="_______PG511" localSheetId="6">[2]Sheet2!#REF!</definedName>
    <definedName name="_______PG511" localSheetId="53">[2]Sheet2!#REF!</definedName>
    <definedName name="_______PG511">[2]Sheet2!#REF!</definedName>
    <definedName name="_______PG514" localSheetId="33">[2]Sheet2!#REF!</definedName>
    <definedName name="_______PG514" localSheetId="52">[2]Sheet2!#REF!</definedName>
    <definedName name="_______PG514" localSheetId="6">[2]Sheet2!#REF!</definedName>
    <definedName name="_______PG514" localSheetId="53">[2]Sheet2!#REF!</definedName>
    <definedName name="_______PG514">[2]Sheet2!#REF!</definedName>
    <definedName name="_______PG519" localSheetId="33">[2]Sheet2!#REF!</definedName>
    <definedName name="_______PG519" localSheetId="52">[2]Sheet2!#REF!</definedName>
    <definedName name="_______PG519" localSheetId="6">[2]Sheet2!#REF!</definedName>
    <definedName name="_______PG519" localSheetId="53">[2]Sheet2!#REF!</definedName>
    <definedName name="_______PG519">[2]Sheet2!#REF!</definedName>
    <definedName name="_______VAR1" localSheetId="19">#REF!</definedName>
    <definedName name="_______VAR1" localSheetId="33">#REF!</definedName>
    <definedName name="_______VAR1" localSheetId="37">#REF!</definedName>
    <definedName name="_______VAR1" localSheetId="52">#REF!</definedName>
    <definedName name="_______VAR1" localSheetId="6">#REF!</definedName>
    <definedName name="_______VAR1" localSheetId="53">#REF!</definedName>
    <definedName name="_______VAR1">#REF!</definedName>
    <definedName name="_______VAR2" localSheetId="33">#REF!</definedName>
    <definedName name="_______VAR2" localSheetId="52">#REF!</definedName>
    <definedName name="_______VAR2" localSheetId="6">#REF!</definedName>
    <definedName name="_______VAR2" localSheetId="53">#REF!</definedName>
    <definedName name="_______VAR2">#REF!</definedName>
    <definedName name="_______VAR3" localSheetId="33">#REF!</definedName>
    <definedName name="_______VAR3" localSheetId="52">#REF!</definedName>
    <definedName name="_______VAR3" localSheetId="6">#REF!</definedName>
    <definedName name="_______VAR3" localSheetId="53">#REF!</definedName>
    <definedName name="_______VAR3">#REF!</definedName>
    <definedName name="______DAT1" localSheetId="33">#REF!</definedName>
    <definedName name="______DAT1" localSheetId="52">#REF!</definedName>
    <definedName name="______DAT1" localSheetId="6">#REF!</definedName>
    <definedName name="______DAT1" localSheetId="53">#REF!</definedName>
    <definedName name="______DAT1">#REF!</definedName>
    <definedName name="______DAT10" localSheetId="33">#REF!</definedName>
    <definedName name="______DAT10" localSheetId="52">#REF!</definedName>
    <definedName name="______DAT10" localSheetId="6">#REF!</definedName>
    <definedName name="______DAT10" localSheetId="53">#REF!</definedName>
    <definedName name="______DAT10">#REF!</definedName>
    <definedName name="______DAT11" localSheetId="33">#REF!</definedName>
    <definedName name="______DAT11" localSheetId="52">#REF!</definedName>
    <definedName name="______DAT11" localSheetId="6">#REF!</definedName>
    <definedName name="______DAT11" localSheetId="53">#REF!</definedName>
    <definedName name="______DAT11">#REF!</definedName>
    <definedName name="______DAT12" localSheetId="33">#REF!</definedName>
    <definedName name="______DAT12" localSheetId="52">#REF!</definedName>
    <definedName name="______DAT12" localSheetId="6">#REF!</definedName>
    <definedName name="______DAT12" localSheetId="53">#REF!</definedName>
    <definedName name="______DAT12">#REF!</definedName>
    <definedName name="______DAT13" localSheetId="33">#REF!</definedName>
    <definedName name="______DAT13" localSheetId="52">#REF!</definedName>
    <definedName name="______DAT13" localSheetId="6">#REF!</definedName>
    <definedName name="______DAT13" localSheetId="53">#REF!</definedName>
    <definedName name="______DAT13">#REF!</definedName>
    <definedName name="______DAT14" localSheetId="33">#REF!</definedName>
    <definedName name="______DAT14" localSheetId="52">#REF!</definedName>
    <definedName name="______DAT14" localSheetId="6">#REF!</definedName>
    <definedName name="______DAT14" localSheetId="53">#REF!</definedName>
    <definedName name="______DAT14">#REF!</definedName>
    <definedName name="______DAT2" localSheetId="33">#REF!</definedName>
    <definedName name="______DAT2" localSheetId="52">#REF!</definedName>
    <definedName name="______DAT2" localSheetId="6">#REF!</definedName>
    <definedName name="______DAT2" localSheetId="53">#REF!</definedName>
    <definedName name="______DAT2">#REF!</definedName>
    <definedName name="______DAT3" localSheetId="33">#REF!</definedName>
    <definedName name="______DAT3" localSheetId="52">#REF!</definedName>
    <definedName name="______DAT3" localSheetId="6">#REF!</definedName>
    <definedName name="______DAT3" localSheetId="53">#REF!</definedName>
    <definedName name="______DAT3">#REF!</definedName>
    <definedName name="______DAT4" localSheetId="33">#REF!</definedName>
    <definedName name="______DAT4" localSheetId="52">#REF!</definedName>
    <definedName name="______DAT4" localSheetId="6">#REF!</definedName>
    <definedName name="______DAT4" localSheetId="53">#REF!</definedName>
    <definedName name="______DAT4">#REF!</definedName>
    <definedName name="______DAT5" localSheetId="33">#REF!</definedName>
    <definedName name="______DAT5" localSheetId="52">#REF!</definedName>
    <definedName name="______DAT5" localSheetId="6">#REF!</definedName>
    <definedName name="______DAT5" localSheetId="53">#REF!</definedName>
    <definedName name="______DAT5">#REF!</definedName>
    <definedName name="______DAT6" localSheetId="33">#REF!</definedName>
    <definedName name="______DAT6" localSheetId="52">#REF!</definedName>
    <definedName name="______DAT6" localSheetId="6">#REF!</definedName>
    <definedName name="______DAT6" localSheetId="53">#REF!</definedName>
    <definedName name="______DAT6">#REF!</definedName>
    <definedName name="______DAT7" localSheetId="33">#REF!</definedName>
    <definedName name="______DAT7" localSheetId="52">#REF!</definedName>
    <definedName name="______DAT7" localSheetId="6">#REF!</definedName>
    <definedName name="______DAT7" localSheetId="53">#REF!</definedName>
    <definedName name="______DAT7">#REF!</definedName>
    <definedName name="______DAT8" localSheetId="33">#REF!</definedName>
    <definedName name="______DAT8" localSheetId="52">#REF!</definedName>
    <definedName name="______DAT8" localSheetId="6">#REF!</definedName>
    <definedName name="______DAT8" localSheetId="53">#REF!</definedName>
    <definedName name="______DAT8">#REF!</definedName>
    <definedName name="______DAT9" localSheetId="33">#REF!</definedName>
    <definedName name="______DAT9" localSheetId="52">#REF!</definedName>
    <definedName name="______DAT9" localSheetId="6">#REF!</definedName>
    <definedName name="______DAT9" localSheetId="53">#REF!</definedName>
    <definedName name="______DAT9">#REF!</definedName>
    <definedName name="______PG1" localSheetId="33">#REF!</definedName>
    <definedName name="______PG1" localSheetId="52">#REF!</definedName>
    <definedName name="______PG1" localSheetId="6">#REF!</definedName>
    <definedName name="______PG1" localSheetId="51">#REF!</definedName>
    <definedName name="______PG1" localSheetId="53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3">[2]Sheet2!#REF!</definedName>
    <definedName name="______PG511" localSheetId="52">[2]Sheet2!#REF!</definedName>
    <definedName name="______PG511" localSheetId="6">[2]Sheet2!#REF!</definedName>
    <definedName name="______PG511" localSheetId="53">[2]Sheet2!#REF!</definedName>
    <definedName name="______PG511">[2]Sheet2!#REF!</definedName>
    <definedName name="______PG514" localSheetId="33">[2]Sheet2!#REF!</definedName>
    <definedName name="______PG514" localSheetId="52">[2]Sheet2!#REF!</definedName>
    <definedName name="______PG514" localSheetId="6">[2]Sheet2!#REF!</definedName>
    <definedName name="______PG514" localSheetId="53">[2]Sheet2!#REF!</definedName>
    <definedName name="______PG514">[2]Sheet2!#REF!</definedName>
    <definedName name="______PG518" localSheetId="19">#REF!</definedName>
    <definedName name="______PG518" localSheetId="33">#REF!</definedName>
    <definedName name="______PG518" localSheetId="37">#REF!</definedName>
    <definedName name="______PG518" localSheetId="52">#REF!</definedName>
    <definedName name="______PG518" localSheetId="6">#REF!</definedName>
    <definedName name="______PG518" localSheetId="53">#REF!</definedName>
    <definedName name="______PG518">#REF!</definedName>
    <definedName name="______PG519" localSheetId="19">[2]Sheet2!#REF!</definedName>
    <definedName name="______PG519" localSheetId="33">[2]Sheet2!#REF!</definedName>
    <definedName name="______PG519" localSheetId="37">[2]Sheet2!#REF!</definedName>
    <definedName name="______PG519" localSheetId="52">[2]Sheet2!#REF!</definedName>
    <definedName name="______PG519" localSheetId="6">[2]Sheet2!#REF!</definedName>
    <definedName name="______PG519" localSheetId="53">[2]Sheet2!#REF!</definedName>
    <definedName name="______PG519">[2]Sheet2!#REF!</definedName>
    <definedName name="______VAR1" localSheetId="19">#REF!</definedName>
    <definedName name="______VAR1" localSheetId="33">#REF!</definedName>
    <definedName name="______VAR1" localSheetId="37">#REF!</definedName>
    <definedName name="______VAR1" localSheetId="52">#REF!</definedName>
    <definedName name="______VAR1" localSheetId="6">#REF!</definedName>
    <definedName name="______VAR1" localSheetId="53">#REF!</definedName>
    <definedName name="______VAR1">#REF!</definedName>
    <definedName name="______VAR2" localSheetId="33">#REF!</definedName>
    <definedName name="______VAR2" localSheetId="52">#REF!</definedName>
    <definedName name="______VAR2" localSheetId="6">#REF!</definedName>
    <definedName name="______VAR2" localSheetId="53">#REF!</definedName>
    <definedName name="______VAR2">#REF!</definedName>
    <definedName name="______VAR3" localSheetId="33">#REF!</definedName>
    <definedName name="______VAR3" localSheetId="52">#REF!</definedName>
    <definedName name="______VAR3" localSheetId="6">#REF!</definedName>
    <definedName name="______VAR3" localSheetId="53">#REF!</definedName>
    <definedName name="______VAR3">#REF!</definedName>
    <definedName name="_____DAT1" localSheetId="33">#REF!</definedName>
    <definedName name="_____DAT1" localSheetId="52">#REF!</definedName>
    <definedName name="_____DAT1" localSheetId="6">#REF!</definedName>
    <definedName name="_____DAT1" localSheetId="53">#REF!</definedName>
    <definedName name="_____DAT1">#REF!</definedName>
    <definedName name="_____DAT10" localSheetId="33">#REF!</definedName>
    <definedName name="_____DAT10" localSheetId="52">#REF!</definedName>
    <definedName name="_____DAT10" localSheetId="6">#REF!</definedName>
    <definedName name="_____DAT10" localSheetId="53">#REF!</definedName>
    <definedName name="_____DAT10">#REF!</definedName>
    <definedName name="_____DAT11" localSheetId="33">#REF!</definedName>
    <definedName name="_____DAT11" localSheetId="52">#REF!</definedName>
    <definedName name="_____DAT11" localSheetId="6">#REF!</definedName>
    <definedName name="_____DAT11" localSheetId="53">#REF!</definedName>
    <definedName name="_____DAT11">#REF!</definedName>
    <definedName name="_____DAT12" localSheetId="33">#REF!</definedName>
    <definedName name="_____DAT12" localSheetId="52">#REF!</definedName>
    <definedName name="_____DAT12" localSheetId="6">#REF!</definedName>
    <definedName name="_____DAT12" localSheetId="53">#REF!</definedName>
    <definedName name="_____DAT12">#REF!</definedName>
    <definedName name="_____DAT13" localSheetId="33">#REF!</definedName>
    <definedName name="_____DAT13" localSheetId="52">#REF!</definedName>
    <definedName name="_____DAT13" localSheetId="6">#REF!</definedName>
    <definedName name="_____DAT13" localSheetId="53">#REF!</definedName>
    <definedName name="_____DAT13">#REF!</definedName>
    <definedName name="_____DAT14" localSheetId="33">#REF!</definedName>
    <definedName name="_____DAT14" localSheetId="52">#REF!</definedName>
    <definedName name="_____DAT14" localSheetId="6">#REF!</definedName>
    <definedName name="_____DAT14" localSheetId="53">#REF!</definedName>
    <definedName name="_____DAT14">#REF!</definedName>
    <definedName name="_____DAT2" localSheetId="33">#REF!</definedName>
    <definedName name="_____DAT2" localSheetId="52">#REF!</definedName>
    <definedName name="_____DAT2" localSheetId="6">#REF!</definedName>
    <definedName name="_____DAT2" localSheetId="53">#REF!</definedName>
    <definedName name="_____DAT2">#REF!</definedName>
    <definedName name="_____DAT3" localSheetId="33">#REF!</definedName>
    <definedName name="_____DAT3" localSheetId="52">#REF!</definedName>
    <definedName name="_____DAT3" localSheetId="6">#REF!</definedName>
    <definedName name="_____DAT3" localSheetId="53">#REF!</definedName>
    <definedName name="_____DAT3">#REF!</definedName>
    <definedName name="_____DAT4" localSheetId="33">#REF!</definedName>
    <definedName name="_____DAT4" localSheetId="52">#REF!</definedName>
    <definedName name="_____DAT4" localSheetId="6">#REF!</definedName>
    <definedName name="_____DAT4" localSheetId="53">#REF!</definedName>
    <definedName name="_____DAT4">#REF!</definedName>
    <definedName name="_____DAT5" localSheetId="33">#REF!</definedName>
    <definedName name="_____DAT5" localSheetId="52">#REF!</definedName>
    <definedName name="_____DAT5" localSheetId="6">#REF!</definedName>
    <definedName name="_____DAT5" localSheetId="53">#REF!</definedName>
    <definedName name="_____DAT5">#REF!</definedName>
    <definedName name="_____DAT6" localSheetId="33">#REF!</definedName>
    <definedName name="_____DAT6" localSheetId="52">#REF!</definedName>
    <definedName name="_____DAT6" localSheetId="6">#REF!</definedName>
    <definedName name="_____DAT6" localSheetId="53">#REF!</definedName>
    <definedName name="_____DAT6">#REF!</definedName>
    <definedName name="_____DAT7" localSheetId="33">#REF!</definedName>
    <definedName name="_____DAT7" localSheetId="52">#REF!</definedName>
    <definedName name="_____DAT7" localSheetId="6">#REF!</definedName>
    <definedName name="_____DAT7" localSheetId="53">#REF!</definedName>
    <definedName name="_____DAT7">#REF!</definedName>
    <definedName name="_____DAT8" localSheetId="33">#REF!</definedName>
    <definedName name="_____DAT8" localSheetId="52">#REF!</definedName>
    <definedName name="_____DAT8" localSheetId="6">#REF!</definedName>
    <definedName name="_____DAT8" localSheetId="53">#REF!</definedName>
    <definedName name="_____DAT8">#REF!</definedName>
    <definedName name="_____DAT9" localSheetId="33">#REF!</definedName>
    <definedName name="_____DAT9" localSheetId="52">#REF!</definedName>
    <definedName name="_____DAT9" localSheetId="6">#REF!</definedName>
    <definedName name="_____DAT9" localSheetId="53">#REF!</definedName>
    <definedName name="_____DAT9">#REF!</definedName>
    <definedName name="_____PG1" localSheetId="33">#REF!</definedName>
    <definedName name="_____PG1" localSheetId="52">#REF!</definedName>
    <definedName name="_____PG1" localSheetId="6">#REF!</definedName>
    <definedName name="_____PG1" localSheetId="51">#REF!</definedName>
    <definedName name="_____PG1" localSheetId="53">#REF!</definedName>
    <definedName name="_____PG1">#REF!</definedName>
    <definedName name="_____PG2" localSheetId="19">#REF!</definedName>
    <definedName name="_____PG2" localSheetId="33">#REF!</definedName>
    <definedName name="_____PG2" localSheetId="37">#REF!</definedName>
    <definedName name="_____PG2" localSheetId="52">#REF!</definedName>
    <definedName name="_____PG2" localSheetId="5">#REF!</definedName>
    <definedName name="_____PG2" localSheetId="6">#REF!</definedName>
    <definedName name="_____PG2" localSheetId="51">#N/A</definedName>
    <definedName name="_____PG2" localSheetId="53">#N/A</definedName>
    <definedName name="_____PG2" localSheetId="57">#REF!</definedName>
    <definedName name="_____PG2">#REF!</definedName>
    <definedName name="_____PG3">#N/A</definedName>
    <definedName name="_____PG4">#N/A</definedName>
    <definedName name="_____PG511" localSheetId="19">[2]Sheet2!#REF!</definedName>
    <definedName name="_____PG511" localSheetId="33">[2]Sheet2!#REF!</definedName>
    <definedName name="_____PG511" localSheetId="37">[2]Sheet2!#REF!</definedName>
    <definedName name="_____PG511" localSheetId="52">[2]Sheet2!#REF!</definedName>
    <definedName name="_____PG511" localSheetId="5">[2]Sheet2!#REF!</definedName>
    <definedName name="_____PG511" localSheetId="6">[2]Sheet2!#REF!</definedName>
    <definedName name="_____PG511" localSheetId="53">[2]Sheet2!#REF!</definedName>
    <definedName name="_____PG511">[2]Sheet2!#REF!</definedName>
    <definedName name="_____PG514" localSheetId="33">[2]Sheet2!#REF!</definedName>
    <definedName name="_____PG514" localSheetId="52">[2]Sheet2!#REF!</definedName>
    <definedName name="_____PG514" localSheetId="6">[2]Sheet2!#REF!</definedName>
    <definedName name="_____PG514" localSheetId="53">[2]Sheet2!#REF!</definedName>
    <definedName name="_____PG514">[2]Sheet2!#REF!</definedName>
    <definedName name="_____PG518" localSheetId="19">#REF!</definedName>
    <definedName name="_____PG518" localSheetId="33">#REF!</definedName>
    <definedName name="_____PG518" localSheetId="37">#REF!</definedName>
    <definedName name="_____PG518" localSheetId="52">#REF!</definedName>
    <definedName name="_____PG518" localSheetId="6">#REF!</definedName>
    <definedName name="_____PG518" localSheetId="53">#REF!</definedName>
    <definedName name="_____PG518">#REF!</definedName>
    <definedName name="_____PG519" localSheetId="19">[2]Sheet2!#REF!</definedName>
    <definedName name="_____PG519" localSheetId="33">[2]Sheet2!#REF!</definedName>
    <definedName name="_____PG519" localSheetId="37">[2]Sheet2!#REF!</definedName>
    <definedName name="_____PG519" localSheetId="52">[2]Sheet2!#REF!</definedName>
    <definedName name="_____PG519" localSheetId="6">[2]Sheet2!#REF!</definedName>
    <definedName name="_____PG519" localSheetId="53">[2]Sheet2!#REF!</definedName>
    <definedName name="_____PG519">[2]Sheet2!#REF!</definedName>
    <definedName name="_____VAR1" localSheetId="19">#REF!</definedName>
    <definedName name="_____VAR1" localSheetId="33">#REF!</definedName>
    <definedName name="_____VAR1" localSheetId="37">#REF!</definedName>
    <definedName name="_____VAR1" localSheetId="52">#REF!</definedName>
    <definedName name="_____VAR1" localSheetId="6">#REF!</definedName>
    <definedName name="_____VAR1" localSheetId="53">#REF!</definedName>
    <definedName name="_____VAR1">#REF!</definedName>
    <definedName name="_____VAR2" localSheetId="33">#REF!</definedName>
    <definedName name="_____VAR2" localSheetId="52">#REF!</definedName>
    <definedName name="_____VAR2" localSheetId="6">#REF!</definedName>
    <definedName name="_____VAR2" localSheetId="53">#REF!</definedName>
    <definedName name="_____VAR2">#REF!</definedName>
    <definedName name="_____VAR3" localSheetId="33">#REF!</definedName>
    <definedName name="_____VAR3" localSheetId="52">#REF!</definedName>
    <definedName name="_____VAR3" localSheetId="6">#REF!</definedName>
    <definedName name="_____VAR3" localSheetId="53">#REF!</definedName>
    <definedName name="_____VAR3">#REF!</definedName>
    <definedName name="____DAT1" localSheetId="33">#REF!</definedName>
    <definedName name="____DAT1" localSheetId="52">#REF!</definedName>
    <definedName name="____DAT1" localSheetId="6">#REF!</definedName>
    <definedName name="____DAT1" localSheetId="53">#REF!</definedName>
    <definedName name="____DAT1">#REF!</definedName>
    <definedName name="____DAT10" localSheetId="33">#REF!</definedName>
    <definedName name="____DAT10" localSheetId="52">#REF!</definedName>
    <definedName name="____DAT10" localSheetId="6">#REF!</definedName>
    <definedName name="____DAT10" localSheetId="53">#REF!</definedName>
    <definedName name="____DAT10">#REF!</definedName>
    <definedName name="____DAT11" localSheetId="33">#REF!</definedName>
    <definedName name="____DAT11" localSheetId="52">#REF!</definedName>
    <definedName name="____DAT11" localSheetId="6">#REF!</definedName>
    <definedName name="____DAT11" localSheetId="53">#REF!</definedName>
    <definedName name="____DAT11">#REF!</definedName>
    <definedName name="____DAT12" localSheetId="33">#REF!</definedName>
    <definedName name="____DAT12" localSheetId="52">#REF!</definedName>
    <definedName name="____DAT12" localSheetId="6">#REF!</definedName>
    <definedName name="____DAT12" localSheetId="53">#REF!</definedName>
    <definedName name="____DAT12">#REF!</definedName>
    <definedName name="____DAT13" localSheetId="33">#REF!</definedName>
    <definedName name="____DAT13" localSheetId="52">#REF!</definedName>
    <definedName name="____DAT13" localSheetId="6">#REF!</definedName>
    <definedName name="____DAT13" localSheetId="53">#REF!</definedName>
    <definedName name="____DAT13">#REF!</definedName>
    <definedName name="____DAT14" localSheetId="33">#REF!</definedName>
    <definedName name="____DAT14" localSheetId="52">#REF!</definedName>
    <definedName name="____DAT14" localSheetId="6">#REF!</definedName>
    <definedName name="____DAT14" localSheetId="53">#REF!</definedName>
    <definedName name="____DAT14">#REF!</definedName>
    <definedName name="____DAT2" localSheetId="33">#REF!</definedName>
    <definedName name="____DAT2" localSheetId="52">#REF!</definedName>
    <definedName name="____DAT2" localSheetId="6">#REF!</definedName>
    <definedName name="____DAT2" localSheetId="53">#REF!</definedName>
    <definedName name="____DAT2">#REF!</definedName>
    <definedName name="____DAT3" localSheetId="33">#REF!</definedName>
    <definedName name="____DAT3" localSheetId="52">#REF!</definedName>
    <definedName name="____DAT3" localSheetId="6">#REF!</definedName>
    <definedName name="____DAT3" localSheetId="53">#REF!</definedName>
    <definedName name="____DAT3">#REF!</definedName>
    <definedName name="____DAT4" localSheetId="33">#REF!</definedName>
    <definedName name="____DAT4" localSheetId="52">#REF!</definedName>
    <definedName name="____DAT4" localSheetId="6">#REF!</definedName>
    <definedName name="____DAT4" localSheetId="53">#REF!</definedName>
    <definedName name="____DAT4">#REF!</definedName>
    <definedName name="____DAT5" localSheetId="33">#REF!</definedName>
    <definedName name="____DAT5" localSheetId="52">#REF!</definedName>
    <definedName name="____DAT5" localSheetId="6">#REF!</definedName>
    <definedName name="____DAT5" localSheetId="53">#REF!</definedName>
    <definedName name="____DAT5">#REF!</definedName>
    <definedName name="____DAT6" localSheetId="33">#REF!</definedName>
    <definedName name="____DAT6" localSheetId="52">#REF!</definedName>
    <definedName name="____DAT6" localSheetId="6">#REF!</definedName>
    <definedName name="____DAT6" localSheetId="53">#REF!</definedName>
    <definedName name="____DAT6">#REF!</definedName>
    <definedName name="____DAT7" localSheetId="33">#REF!</definedName>
    <definedName name="____DAT7" localSheetId="52">#REF!</definedName>
    <definedName name="____DAT7" localSheetId="6">#REF!</definedName>
    <definedName name="____DAT7" localSheetId="53">#REF!</definedName>
    <definedName name="____DAT7">#REF!</definedName>
    <definedName name="____DAT8" localSheetId="33">#REF!</definedName>
    <definedName name="____DAT8" localSheetId="52">#REF!</definedName>
    <definedName name="____DAT8" localSheetId="6">#REF!</definedName>
    <definedName name="____DAT8" localSheetId="53">#REF!</definedName>
    <definedName name="____DAT8">#REF!</definedName>
    <definedName name="____DAT9" localSheetId="33">#REF!</definedName>
    <definedName name="____DAT9" localSheetId="52">#REF!</definedName>
    <definedName name="____DAT9" localSheetId="6">#REF!</definedName>
    <definedName name="____DAT9" localSheetId="53">#REF!</definedName>
    <definedName name="____DAT9">#REF!</definedName>
    <definedName name="____PG1" localSheetId="33">#REF!</definedName>
    <definedName name="____PG1" localSheetId="52">#REF!</definedName>
    <definedName name="____PG1" localSheetId="6">#REF!</definedName>
    <definedName name="____PG1" localSheetId="51">#REF!</definedName>
    <definedName name="____PG1" localSheetId="53">#REF!</definedName>
    <definedName name="____PG1">#REF!</definedName>
    <definedName name="____PG2" localSheetId="19">#REF!</definedName>
    <definedName name="____PG2" localSheetId="33">#REF!</definedName>
    <definedName name="____PG2" localSheetId="37">#REF!</definedName>
    <definedName name="____PG2" localSheetId="52">#REF!</definedName>
    <definedName name="____PG2" localSheetId="5">#REF!</definedName>
    <definedName name="____PG2" localSheetId="6">#REF!</definedName>
    <definedName name="____PG2" localSheetId="51">#N/A</definedName>
    <definedName name="____PG2" localSheetId="53">#N/A</definedName>
    <definedName name="____PG2" localSheetId="57">#REF!</definedName>
    <definedName name="____PG2">#REF!</definedName>
    <definedName name="____PG3">#N/A</definedName>
    <definedName name="____PG4">#N/A</definedName>
    <definedName name="____PG511" localSheetId="19">[2]Sheet2!#REF!</definedName>
    <definedName name="____PG511" localSheetId="33">[2]Sheet2!#REF!</definedName>
    <definedName name="____PG511" localSheetId="37">[2]Sheet2!#REF!</definedName>
    <definedName name="____PG511" localSheetId="52">[2]Sheet2!#REF!</definedName>
    <definedName name="____PG511" localSheetId="5">[2]Sheet2!#REF!</definedName>
    <definedName name="____PG511" localSheetId="6">[2]Sheet2!#REF!</definedName>
    <definedName name="____PG511" localSheetId="53">[2]Sheet2!#REF!</definedName>
    <definedName name="____PG511">[2]Sheet2!#REF!</definedName>
    <definedName name="____PG514" localSheetId="33">[2]Sheet2!#REF!</definedName>
    <definedName name="____PG514" localSheetId="52">[2]Sheet2!#REF!</definedName>
    <definedName name="____PG514" localSheetId="6">[2]Sheet2!#REF!</definedName>
    <definedName name="____PG514" localSheetId="53">[2]Sheet2!#REF!</definedName>
    <definedName name="____PG514">[2]Sheet2!#REF!</definedName>
    <definedName name="____PG518" localSheetId="19">#REF!</definedName>
    <definedName name="____PG518" localSheetId="33">#REF!</definedName>
    <definedName name="____PG518" localSheetId="37">#REF!</definedName>
    <definedName name="____PG518" localSheetId="52">#REF!</definedName>
    <definedName name="____PG518" localSheetId="6">#REF!</definedName>
    <definedName name="____PG518" localSheetId="53">#REF!</definedName>
    <definedName name="____PG518">#REF!</definedName>
    <definedName name="____PG519" localSheetId="19">[2]Sheet2!#REF!</definedName>
    <definedName name="____PG519" localSheetId="33">[2]Sheet2!#REF!</definedName>
    <definedName name="____PG519" localSheetId="37">[2]Sheet2!#REF!</definedName>
    <definedName name="____PG519" localSheetId="52">[2]Sheet2!#REF!</definedName>
    <definedName name="____PG519" localSheetId="6">[2]Sheet2!#REF!</definedName>
    <definedName name="____PG519" localSheetId="53">[2]Sheet2!#REF!</definedName>
    <definedName name="____PG519">[2]Sheet2!#REF!</definedName>
    <definedName name="____VAR1" localSheetId="19">#REF!</definedName>
    <definedName name="____VAR1" localSheetId="33">#REF!</definedName>
    <definedName name="____VAR1" localSheetId="37">#REF!</definedName>
    <definedName name="____VAR1" localSheetId="52">#REF!</definedName>
    <definedName name="____VAR1" localSheetId="6">#REF!</definedName>
    <definedName name="____VAR1" localSheetId="53">#REF!</definedName>
    <definedName name="____VAR1">#REF!</definedName>
    <definedName name="____VAR2" localSheetId="33">#REF!</definedName>
    <definedName name="____VAR2" localSheetId="52">#REF!</definedName>
    <definedName name="____VAR2" localSheetId="6">#REF!</definedName>
    <definedName name="____VAR2" localSheetId="53">#REF!</definedName>
    <definedName name="____VAR2">#REF!</definedName>
    <definedName name="____VAR3" localSheetId="33">#REF!</definedName>
    <definedName name="____VAR3" localSheetId="52">#REF!</definedName>
    <definedName name="____VAR3" localSheetId="6">#REF!</definedName>
    <definedName name="____VAR3" localSheetId="53">#REF!</definedName>
    <definedName name="____VAR3">#REF!</definedName>
    <definedName name="___DAT1" localSheetId="33">#REF!</definedName>
    <definedName name="___DAT1" localSheetId="52">#REF!</definedName>
    <definedName name="___DAT1" localSheetId="6">#REF!</definedName>
    <definedName name="___DAT1" localSheetId="53">#REF!</definedName>
    <definedName name="___DAT1">#REF!</definedName>
    <definedName name="___DAT10" localSheetId="33">#REF!</definedName>
    <definedName name="___DAT10" localSheetId="52">#REF!</definedName>
    <definedName name="___DAT10" localSheetId="6">#REF!</definedName>
    <definedName name="___DAT10" localSheetId="53">#REF!</definedName>
    <definedName name="___DAT10">#REF!</definedName>
    <definedName name="___DAT11" localSheetId="33">#REF!</definedName>
    <definedName name="___DAT11" localSheetId="52">#REF!</definedName>
    <definedName name="___DAT11" localSheetId="6">#REF!</definedName>
    <definedName name="___DAT11" localSheetId="53">#REF!</definedName>
    <definedName name="___DAT11">#REF!</definedName>
    <definedName name="___DAT12" localSheetId="33">#REF!</definedName>
    <definedName name="___DAT12" localSheetId="52">#REF!</definedName>
    <definedName name="___DAT12" localSheetId="6">#REF!</definedName>
    <definedName name="___DAT12" localSheetId="53">#REF!</definedName>
    <definedName name="___DAT12">#REF!</definedName>
    <definedName name="___DAT13" localSheetId="33">#REF!</definedName>
    <definedName name="___DAT13" localSheetId="52">#REF!</definedName>
    <definedName name="___DAT13" localSheetId="6">#REF!</definedName>
    <definedName name="___DAT13" localSheetId="53">#REF!</definedName>
    <definedName name="___DAT13">#REF!</definedName>
    <definedName name="___DAT14" localSheetId="33">#REF!</definedName>
    <definedName name="___DAT14" localSheetId="52">#REF!</definedName>
    <definedName name="___DAT14" localSheetId="6">#REF!</definedName>
    <definedName name="___DAT14" localSheetId="53">#REF!</definedName>
    <definedName name="___DAT14">#REF!</definedName>
    <definedName name="___DAT2" localSheetId="33">#REF!</definedName>
    <definedName name="___DAT2" localSheetId="52">#REF!</definedName>
    <definedName name="___DAT2" localSheetId="6">#REF!</definedName>
    <definedName name="___DAT2" localSheetId="53">#REF!</definedName>
    <definedName name="___DAT2">#REF!</definedName>
    <definedName name="___DAT3" localSheetId="33">#REF!</definedName>
    <definedName name="___DAT3" localSheetId="52">#REF!</definedName>
    <definedName name="___DAT3" localSheetId="6">#REF!</definedName>
    <definedName name="___DAT3" localSheetId="53">#REF!</definedName>
    <definedName name="___DAT3">#REF!</definedName>
    <definedName name="___DAT4" localSheetId="33">#REF!</definedName>
    <definedName name="___DAT4" localSheetId="52">#REF!</definedName>
    <definedName name="___DAT4" localSheetId="6">#REF!</definedName>
    <definedName name="___DAT4" localSheetId="53">#REF!</definedName>
    <definedName name="___DAT4">#REF!</definedName>
    <definedName name="___DAT5" localSheetId="33">#REF!</definedName>
    <definedName name="___DAT5" localSheetId="52">#REF!</definedName>
    <definedName name="___DAT5" localSheetId="6">#REF!</definedName>
    <definedName name="___DAT5" localSheetId="53">#REF!</definedName>
    <definedName name="___DAT5">#REF!</definedName>
    <definedName name="___DAT6" localSheetId="33">#REF!</definedName>
    <definedName name="___DAT6" localSheetId="52">#REF!</definedName>
    <definedName name="___DAT6" localSheetId="6">#REF!</definedName>
    <definedName name="___DAT6" localSheetId="53">#REF!</definedName>
    <definedName name="___DAT6">#REF!</definedName>
    <definedName name="___DAT7" localSheetId="33">#REF!</definedName>
    <definedName name="___DAT7" localSheetId="52">#REF!</definedName>
    <definedName name="___DAT7" localSheetId="6">#REF!</definedName>
    <definedName name="___DAT7" localSheetId="53">#REF!</definedName>
    <definedName name="___DAT7">#REF!</definedName>
    <definedName name="___DAT8" localSheetId="33">#REF!</definedName>
    <definedName name="___DAT8" localSheetId="52">#REF!</definedName>
    <definedName name="___DAT8" localSheetId="6">#REF!</definedName>
    <definedName name="___DAT8" localSheetId="53">#REF!</definedName>
    <definedName name="___DAT8">#REF!</definedName>
    <definedName name="___DAT9" localSheetId="33">#REF!</definedName>
    <definedName name="___DAT9" localSheetId="52">#REF!</definedName>
    <definedName name="___DAT9" localSheetId="6">#REF!</definedName>
    <definedName name="___DAT9" localSheetId="53">#REF!</definedName>
    <definedName name="___DAT9">#REF!</definedName>
    <definedName name="___PG1" localSheetId="33">#REF!</definedName>
    <definedName name="___PG1" localSheetId="52">#REF!</definedName>
    <definedName name="___PG1" localSheetId="6">#REF!</definedName>
    <definedName name="___PG1" localSheetId="47">#REF!</definedName>
    <definedName name="___PG1" localSheetId="51">#REF!</definedName>
    <definedName name="___PG1" localSheetId="53">#REF!</definedName>
    <definedName name="___PG1">#REF!</definedName>
    <definedName name="___PG2" localSheetId="19">#REF!</definedName>
    <definedName name="___PG2" localSheetId="33">#REF!</definedName>
    <definedName name="___PG2" localSheetId="37">#REF!</definedName>
    <definedName name="___PG2" localSheetId="52">#REF!</definedName>
    <definedName name="___PG2" localSheetId="6">#REF!</definedName>
    <definedName name="___PG2" localSheetId="47">#REF!</definedName>
    <definedName name="___PG2" localSheetId="51">#N/A</definedName>
    <definedName name="___PG2" localSheetId="53">#N/A</definedName>
    <definedName name="___PG2" localSheetId="57">#REF!</definedName>
    <definedName name="___PG2">#REF!</definedName>
    <definedName name="___PG3">#N/A</definedName>
    <definedName name="___PG4">#N/A</definedName>
    <definedName name="___PG511" localSheetId="19">[2]Sheet2!#REF!</definedName>
    <definedName name="___PG511" localSheetId="33">[2]Sheet2!#REF!</definedName>
    <definedName name="___PG511" localSheetId="37">[2]Sheet2!#REF!</definedName>
    <definedName name="___PG511" localSheetId="52">[2]Sheet2!#REF!</definedName>
    <definedName name="___PG511" localSheetId="6">[2]Sheet2!#REF!</definedName>
    <definedName name="___PG511" localSheetId="53">[2]Sheet2!#REF!</definedName>
    <definedName name="___PG511" localSheetId="57">[2]Sheet2!#REF!</definedName>
    <definedName name="___PG511">[2]Sheet2!#REF!</definedName>
    <definedName name="___PG514" localSheetId="33">[2]Sheet2!#REF!</definedName>
    <definedName name="___PG514" localSheetId="52">[2]Sheet2!#REF!</definedName>
    <definedName name="___PG514" localSheetId="6">[2]Sheet2!#REF!</definedName>
    <definedName name="___PG514" localSheetId="53">[2]Sheet2!#REF!</definedName>
    <definedName name="___PG514">[2]Sheet2!#REF!</definedName>
    <definedName name="___PG518" localSheetId="19">#REF!</definedName>
    <definedName name="___PG518" localSheetId="33">#REF!</definedName>
    <definedName name="___PG518" localSheetId="37">#REF!</definedName>
    <definedName name="___PG518" localSheetId="52">#REF!</definedName>
    <definedName name="___PG518" localSheetId="6">#REF!</definedName>
    <definedName name="___PG518" localSheetId="53">#REF!</definedName>
    <definedName name="___PG518">#REF!</definedName>
    <definedName name="___PG519" localSheetId="19">[2]Sheet2!#REF!</definedName>
    <definedName name="___PG519" localSheetId="33">[2]Sheet2!#REF!</definedName>
    <definedName name="___PG519" localSheetId="37">[2]Sheet2!#REF!</definedName>
    <definedName name="___PG519" localSheetId="52">[2]Sheet2!#REF!</definedName>
    <definedName name="___PG519" localSheetId="6">[2]Sheet2!#REF!</definedName>
    <definedName name="___PG519" localSheetId="53">[2]Sheet2!#REF!</definedName>
    <definedName name="___PG519">[2]Sheet2!#REF!</definedName>
    <definedName name="___VAR1" localSheetId="19">#REF!</definedName>
    <definedName name="___VAR1" localSheetId="33">#REF!</definedName>
    <definedName name="___VAR1" localSheetId="37">#REF!</definedName>
    <definedName name="___VAR1" localSheetId="52">#REF!</definedName>
    <definedName name="___VAR1" localSheetId="6">#REF!</definedName>
    <definedName name="___VAR1" localSheetId="53">#REF!</definedName>
    <definedName name="___VAR1">#REF!</definedName>
    <definedName name="___VAR2" localSheetId="33">#REF!</definedName>
    <definedName name="___VAR2" localSheetId="52">#REF!</definedName>
    <definedName name="___VAR2" localSheetId="6">#REF!</definedName>
    <definedName name="___VAR2" localSheetId="53">#REF!</definedName>
    <definedName name="___VAR2">#REF!</definedName>
    <definedName name="___VAR3" localSheetId="33">#REF!</definedName>
    <definedName name="___VAR3" localSheetId="52">#REF!</definedName>
    <definedName name="___VAR3" localSheetId="6">#REF!</definedName>
    <definedName name="___VAR3" localSheetId="53">#REF!</definedName>
    <definedName name="___VAR3">#REF!</definedName>
    <definedName name="__123Graph_A" localSheetId="33" hidden="1">[3]reports!#REF!</definedName>
    <definedName name="__123Graph_A" localSheetId="37" hidden="1">[4]reports!#REF!</definedName>
    <definedName name="__123Graph_A" localSheetId="52" hidden="1">[4]reports!#REF!</definedName>
    <definedName name="__123Graph_A" localSheetId="5" hidden="1">[5]reports!#REF!</definedName>
    <definedName name="__123Graph_A" localSheetId="6" hidden="1">[3]reports!#REF!</definedName>
    <definedName name="__123Graph_A" localSheetId="7" hidden="1">[5]reports!#REF!</definedName>
    <definedName name="__123Graph_A" localSheetId="8" hidden="1">[5]reports!#REF!</definedName>
    <definedName name="__123Graph_A" localSheetId="47" hidden="1">[3]reports!#REF!</definedName>
    <definedName name="__123Graph_A" localSheetId="53" hidden="1">[3]reports!#REF!</definedName>
    <definedName name="__123Graph_A" localSheetId="57" hidden="1">[4]reports!#REF!</definedName>
    <definedName name="__123Graph_A" hidden="1">[3]reports!#REF!</definedName>
    <definedName name="__123Graph_AGraph2" localSheetId="33" hidden="1">'[6]Annuity Plan'!#REF!</definedName>
    <definedName name="__123Graph_AGraph2" localSheetId="37" hidden="1">'[7]Annuity Plan'!#REF!</definedName>
    <definedName name="__123Graph_AGraph2" localSheetId="52" hidden="1">'[7]Annuity Plan'!#REF!</definedName>
    <definedName name="__123Graph_AGraph2" localSheetId="5" hidden="1">'[7]Annuity Plan'!#REF!</definedName>
    <definedName name="__123Graph_AGraph2" localSheetId="6" hidden="1">'[6]Annuity Plan'!#REF!</definedName>
    <definedName name="__123Graph_AGraph2" localSheetId="57" hidden="1">'[7]Annuity Plan'!#REF!</definedName>
    <definedName name="__123Graph_AGraph2" hidden="1">'[6]Annuity Plan'!#REF!</definedName>
    <definedName name="__123Graph_AGraph4" localSheetId="33" hidden="1">'[6]Annuity Plan'!#REF!</definedName>
    <definedName name="__123Graph_AGraph4" localSheetId="37" hidden="1">'[7]Annuity Plan'!#REF!</definedName>
    <definedName name="__123Graph_AGraph4" localSheetId="52" hidden="1">'[7]Annuity Plan'!#REF!</definedName>
    <definedName name="__123Graph_AGraph4" localSheetId="5" hidden="1">'[7]Annuity Plan'!#REF!</definedName>
    <definedName name="__123Graph_AGraph4" localSheetId="6" hidden="1">'[6]Annuity Plan'!#REF!</definedName>
    <definedName name="__123Graph_AGraph4" localSheetId="57" hidden="1">'[7]Annuity Plan'!#REF!</definedName>
    <definedName name="__123Graph_AGraph4" hidden="1">'[6]Annuity Plan'!#REF!</definedName>
    <definedName name="__123Graph_B" localSheetId="33" hidden="1">[3]reports!#REF!</definedName>
    <definedName name="__123Graph_B" localSheetId="37" hidden="1">[4]reports!#REF!</definedName>
    <definedName name="__123Graph_B" localSheetId="52" hidden="1">[4]reports!#REF!</definedName>
    <definedName name="__123Graph_B" localSheetId="5" hidden="1">[5]reports!#REF!</definedName>
    <definedName name="__123Graph_B" localSheetId="6" hidden="1">[3]reports!#REF!</definedName>
    <definedName name="__123Graph_B" localSheetId="7" hidden="1">[5]reports!#REF!</definedName>
    <definedName name="__123Graph_B" localSheetId="8" hidden="1">[5]reports!#REF!</definedName>
    <definedName name="__123Graph_B" localSheetId="47" hidden="1">[3]reports!#REF!</definedName>
    <definedName name="__123Graph_B" localSheetId="53" hidden="1">[3]reports!#REF!</definedName>
    <definedName name="__123Graph_B" localSheetId="57" hidden="1">[4]reports!#REF!</definedName>
    <definedName name="__123Graph_B" hidden="1">[3]reports!#REF!</definedName>
    <definedName name="__123Graph_C" localSheetId="33" hidden="1">[3]reports!#REF!</definedName>
    <definedName name="__123Graph_C" localSheetId="37" hidden="1">[4]reports!#REF!</definedName>
    <definedName name="__123Graph_C" localSheetId="52" hidden="1">[4]reports!#REF!</definedName>
    <definedName name="__123Graph_C" localSheetId="5" hidden="1">[5]reports!#REF!</definedName>
    <definedName name="__123Graph_C" localSheetId="6" hidden="1">[3]reports!#REF!</definedName>
    <definedName name="__123Graph_C" localSheetId="7" hidden="1">[5]reports!#REF!</definedName>
    <definedName name="__123Graph_C" localSheetId="8" hidden="1">[5]reports!#REF!</definedName>
    <definedName name="__123Graph_C" localSheetId="47" hidden="1">[3]reports!#REF!</definedName>
    <definedName name="__123Graph_C" localSheetId="53" hidden="1">[3]reports!#REF!</definedName>
    <definedName name="__123Graph_C" localSheetId="57" hidden="1">[4]reports!#REF!</definedName>
    <definedName name="__123Graph_C" hidden="1">[3]reports!#REF!</definedName>
    <definedName name="__123Graph_CCHART1" localSheetId="33" hidden="1">[8]A!#REF!</definedName>
    <definedName name="__123Graph_CCHART1" localSheetId="52" hidden="1">[8]A!#REF!</definedName>
    <definedName name="__123Graph_CCHART1" localSheetId="6" hidden="1">[8]A!#REF!</definedName>
    <definedName name="__123Graph_CCHART1" hidden="1">[8]A!#REF!</definedName>
    <definedName name="__123Graph_CCHART2" localSheetId="33" hidden="1">[8]A!#REF!</definedName>
    <definedName name="__123Graph_CCHART2" localSheetId="52" hidden="1">[8]A!#REF!</definedName>
    <definedName name="__123Graph_CCHART2" localSheetId="6" hidden="1">[8]A!#REF!</definedName>
    <definedName name="__123Graph_CCHART2" hidden="1">[8]A!#REF!</definedName>
    <definedName name="__123Graph_CCHART3" localSheetId="33" hidden="1">[8]A!#REF!</definedName>
    <definedName name="__123Graph_CCHART3" localSheetId="52" hidden="1">[8]A!#REF!</definedName>
    <definedName name="__123Graph_CCHART3" localSheetId="6" hidden="1">[8]A!#REF!</definedName>
    <definedName name="__123Graph_CCHART3" hidden="1">[8]A!#REF!</definedName>
    <definedName name="__123Graph_CCHART4" localSheetId="33" hidden="1">[8]A!#REF!</definedName>
    <definedName name="__123Graph_CCHART4" localSheetId="52" hidden="1">[8]A!#REF!</definedName>
    <definedName name="__123Graph_CCHART4" localSheetId="6" hidden="1">[8]A!#REF!</definedName>
    <definedName name="__123Graph_CCHART4" hidden="1">[8]A!#REF!</definedName>
    <definedName name="__123Graph_CCHART5" localSheetId="33" hidden="1">[8]A!#REF!</definedName>
    <definedName name="__123Graph_CCHART5" localSheetId="52" hidden="1">[8]A!#REF!</definedName>
    <definedName name="__123Graph_CCHART5" localSheetId="6" hidden="1">[8]A!#REF!</definedName>
    <definedName name="__123Graph_CCHART5" hidden="1">[8]A!#REF!</definedName>
    <definedName name="__123Graph_D" localSheetId="33" hidden="1">[3]reports!#REF!</definedName>
    <definedName name="__123Graph_D" localSheetId="37" hidden="1">[4]reports!#REF!</definedName>
    <definedName name="__123Graph_D" localSheetId="52" hidden="1">[4]reports!#REF!</definedName>
    <definedName name="__123Graph_D" localSheetId="5" hidden="1">[5]reports!#REF!</definedName>
    <definedName name="__123Graph_D" localSheetId="6" hidden="1">[3]reports!#REF!</definedName>
    <definedName name="__123Graph_D" localSheetId="7" hidden="1">[5]reports!#REF!</definedName>
    <definedName name="__123Graph_D" localSheetId="8" hidden="1">[5]reports!#REF!</definedName>
    <definedName name="__123Graph_D" localSheetId="47" hidden="1">[3]reports!#REF!</definedName>
    <definedName name="__123Graph_D" localSheetId="53" hidden="1">[3]reports!#REF!</definedName>
    <definedName name="__123Graph_D" localSheetId="57" hidden="1">[4]reports!#REF!</definedName>
    <definedName name="__123Graph_D" hidden="1">[3]reports!#REF!</definedName>
    <definedName name="__123Graph_DCHART1" localSheetId="33" hidden="1">[8]A!#REF!</definedName>
    <definedName name="__123Graph_DCHART1" localSheetId="52" hidden="1">[8]A!#REF!</definedName>
    <definedName name="__123Graph_DCHART1" localSheetId="6" hidden="1">[8]A!#REF!</definedName>
    <definedName name="__123Graph_DCHART1" hidden="1">[8]A!#REF!</definedName>
    <definedName name="__123Graph_DCHART2" localSheetId="33" hidden="1">[8]A!#REF!</definedName>
    <definedName name="__123Graph_DCHART2" localSheetId="52" hidden="1">[8]A!#REF!</definedName>
    <definedName name="__123Graph_DCHART2" localSheetId="6" hidden="1">[8]A!#REF!</definedName>
    <definedName name="__123Graph_DCHART2" hidden="1">[8]A!#REF!</definedName>
    <definedName name="__123Graph_DCHART3" localSheetId="33" hidden="1">[8]A!#REF!</definedName>
    <definedName name="__123Graph_DCHART3" localSheetId="52" hidden="1">[8]A!#REF!</definedName>
    <definedName name="__123Graph_DCHART3" localSheetId="6" hidden="1">[8]A!#REF!</definedName>
    <definedName name="__123Graph_DCHART3" hidden="1">[8]A!#REF!</definedName>
    <definedName name="__123Graph_DCHART4" localSheetId="33" hidden="1">[8]A!#REF!</definedName>
    <definedName name="__123Graph_DCHART4" localSheetId="52" hidden="1">[8]A!#REF!</definedName>
    <definedName name="__123Graph_DCHART4" localSheetId="6" hidden="1">[8]A!#REF!</definedName>
    <definedName name="__123Graph_DCHART4" hidden="1">[8]A!#REF!</definedName>
    <definedName name="__123Graph_DCHART5" localSheetId="33" hidden="1">[8]A!#REF!</definedName>
    <definedName name="__123Graph_DCHART5" localSheetId="52" hidden="1">[8]A!#REF!</definedName>
    <definedName name="__123Graph_DCHART5" localSheetId="6" hidden="1">[8]A!#REF!</definedName>
    <definedName name="__123Graph_DCHART5" hidden="1">[8]A!#REF!</definedName>
    <definedName name="__123Graph_E" localSheetId="33" hidden="1">[3]reports!#REF!</definedName>
    <definedName name="__123Graph_E" localSheetId="37" hidden="1">[4]reports!#REF!</definedName>
    <definedName name="__123Graph_E" localSheetId="52" hidden="1">[4]reports!#REF!</definedName>
    <definedName name="__123Graph_E" localSheetId="5" hidden="1">[5]reports!#REF!</definedName>
    <definedName name="__123Graph_E" localSheetId="6" hidden="1">[3]reports!#REF!</definedName>
    <definedName name="__123Graph_E" localSheetId="7" hidden="1">[5]reports!#REF!</definedName>
    <definedName name="__123Graph_E" localSheetId="8" hidden="1">[5]reports!#REF!</definedName>
    <definedName name="__123Graph_E" localSheetId="47" hidden="1">[3]reports!#REF!</definedName>
    <definedName name="__123Graph_E" localSheetId="53" hidden="1">[3]reports!#REF!</definedName>
    <definedName name="__123Graph_E" localSheetId="57" hidden="1">[4]reports!#REF!</definedName>
    <definedName name="__123Graph_E" hidden="1">[3]reports!#REF!</definedName>
    <definedName name="__123Graph_FCHART4" localSheetId="33" hidden="1">[8]A!#REF!</definedName>
    <definedName name="__123Graph_FCHART4" localSheetId="52" hidden="1">[8]A!#REF!</definedName>
    <definedName name="__123Graph_FCHART4" localSheetId="6" hidden="1">[8]A!#REF!</definedName>
    <definedName name="__123Graph_FCHART4" hidden="1">[8]A!#REF!</definedName>
    <definedName name="__123Graph_FCHART5" localSheetId="33" hidden="1">[8]A!#REF!</definedName>
    <definedName name="__123Graph_FCHART5" localSheetId="52" hidden="1">[8]A!#REF!</definedName>
    <definedName name="__123Graph_FCHART5" localSheetId="6" hidden="1">[8]A!#REF!</definedName>
    <definedName name="__123Graph_FCHART5" hidden="1">[8]A!#REF!</definedName>
    <definedName name="__123Graph_X" localSheetId="33" hidden="1">[9]reports!#REF!</definedName>
    <definedName name="__123Graph_X" localSheetId="37" hidden="1">[10]reports!#REF!</definedName>
    <definedName name="__123Graph_X" localSheetId="52" hidden="1">[10]reports!#REF!</definedName>
    <definedName name="__123Graph_X" localSheetId="5" hidden="1">[11]reports!#REF!</definedName>
    <definedName name="__123Graph_X" localSheetId="6" hidden="1">[9]reports!#REF!</definedName>
    <definedName name="__123Graph_X" localSheetId="7" hidden="1">[11]reports!#REF!</definedName>
    <definedName name="__123Graph_X" localSheetId="8" hidden="1">[11]reports!#REF!</definedName>
    <definedName name="__123Graph_X" localSheetId="47" hidden="1">[9]reports!#REF!</definedName>
    <definedName name="__123Graph_X" localSheetId="53" hidden="1">[9]reports!#REF!</definedName>
    <definedName name="__123Graph_X" localSheetId="57" hidden="1">[10]reports!#REF!</definedName>
    <definedName name="__123Graph_X" hidden="1">[9]reports!#REF!</definedName>
    <definedName name="__DAT1" localSheetId="33">#REF!</definedName>
    <definedName name="__DAT1" localSheetId="52">#REF!</definedName>
    <definedName name="__DAT1" localSheetId="6">#REF!</definedName>
    <definedName name="__DAT1" localSheetId="51">#REF!</definedName>
    <definedName name="__DAT1" localSheetId="53">#REF!</definedName>
    <definedName name="__DAT1">#REF!</definedName>
    <definedName name="__DAT10" localSheetId="33">#REF!</definedName>
    <definedName name="__DAT10" localSheetId="52">#REF!</definedName>
    <definedName name="__DAT10" localSheetId="6">#REF!</definedName>
    <definedName name="__DAT10" localSheetId="51">#REF!</definedName>
    <definedName name="__DAT10" localSheetId="53">#REF!</definedName>
    <definedName name="__DAT10">#REF!</definedName>
    <definedName name="__DAT11" localSheetId="33">#REF!</definedName>
    <definedName name="__DAT11" localSheetId="52">#REF!</definedName>
    <definedName name="__DAT11" localSheetId="6">#REF!</definedName>
    <definedName name="__DAT11" localSheetId="51">#REF!</definedName>
    <definedName name="__DAT11" localSheetId="53">#REF!</definedName>
    <definedName name="__DAT11">#REF!</definedName>
    <definedName name="__DAT12" localSheetId="33">#REF!</definedName>
    <definedName name="__DAT12" localSheetId="52">#REF!</definedName>
    <definedName name="__DAT12" localSheetId="6">#REF!</definedName>
    <definedName name="__DAT12" localSheetId="51">#REF!</definedName>
    <definedName name="__DAT12" localSheetId="53">#REF!</definedName>
    <definedName name="__DAT12">#REF!</definedName>
    <definedName name="__DAT13" localSheetId="33">#REF!</definedName>
    <definedName name="__DAT13" localSheetId="52">#REF!</definedName>
    <definedName name="__DAT13" localSheetId="6">#REF!</definedName>
    <definedName name="__DAT13" localSheetId="51">#REF!</definedName>
    <definedName name="__DAT13" localSheetId="53">#REF!</definedName>
    <definedName name="__DAT13">#REF!</definedName>
    <definedName name="__DAT14" localSheetId="33">#REF!</definedName>
    <definedName name="__DAT14" localSheetId="52">#REF!</definedName>
    <definedName name="__DAT14" localSheetId="6">#REF!</definedName>
    <definedName name="__DAT14" localSheetId="51">#REF!</definedName>
    <definedName name="__DAT14" localSheetId="53">#REF!</definedName>
    <definedName name="__DAT14">#REF!</definedName>
    <definedName name="__DAT2" localSheetId="33">#REF!</definedName>
    <definedName name="__DAT2" localSheetId="52">#REF!</definedName>
    <definedName name="__DAT2" localSheetId="6">#REF!</definedName>
    <definedName name="__DAT2" localSheetId="51">#REF!</definedName>
    <definedName name="__DAT2" localSheetId="53">#REF!</definedName>
    <definedName name="__DAT2">#REF!</definedName>
    <definedName name="__DAT3" localSheetId="33">#REF!</definedName>
    <definedName name="__DAT3" localSheetId="52">#REF!</definedName>
    <definedName name="__DAT3" localSheetId="6">#REF!</definedName>
    <definedName name="__DAT3" localSheetId="51">#REF!</definedName>
    <definedName name="__DAT3" localSheetId="53">#REF!</definedName>
    <definedName name="__DAT3">#REF!</definedName>
    <definedName name="__DAT4" localSheetId="33">#REF!</definedName>
    <definedName name="__DAT4" localSheetId="52">#REF!</definedName>
    <definedName name="__DAT4" localSheetId="6">#REF!</definedName>
    <definedName name="__DAT4" localSheetId="51">#REF!</definedName>
    <definedName name="__DAT4" localSheetId="53">#REF!</definedName>
    <definedName name="__DAT4">#REF!</definedName>
    <definedName name="__DAT5" localSheetId="33">#REF!</definedName>
    <definedName name="__DAT5" localSheetId="52">#REF!</definedName>
    <definedName name="__DAT5" localSheetId="6">#REF!</definedName>
    <definedName name="__DAT5" localSheetId="51">#REF!</definedName>
    <definedName name="__DAT5" localSheetId="53">#REF!</definedName>
    <definedName name="__DAT5">#REF!</definedName>
    <definedName name="__DAT6" localSheetId="33">#REF!</definedName>
    <definedName name="__DAT6" localSheetId="52">#REF!</definedName>
    <definedName name="__DAT6" localSheetId="6">#REF!</definedName>
    <definedName name="__DAT6" localSheetId="51">#REF!</definedName>
    <definedName name="__DAT6" localSheetId="53">#REF!</definedName>
    <definedName name="__DAT6">#REF!</definedName>
    <definedName name="__DAT7" localSheetId="33">#REF!</definedName>
    <definedName name="__DAT7" localSheetId="52">#REF!</definedName>
    <definedName name="__DAT7" localSheetId="6">#REF!</definedName>
    <definedName name="__DAT7" localSheetId="51">#REF!</definedName>
    <definedName name="__DAT7" localSheetId="53">#REF!</definedName>
    <definedName name="__DAT7">#REF!</definedName>
    <definedName name="__DAT8" localSheetId="33">#REF!</definedName>
    <definedName name="__DAT8" localSheetId="52">#REF!</definedName>
    <definedName name="__DAT8" localSheetId="6">#REF!</definedName>
    <definedName name="__DAT8" localSheetId="51">#REF!</definedName>
    <definedName name="__DAT8" localSheetId="53">#REF!</definedName>
    <definedName name="__DAT8">#REF!</definedName>
    <definedName name="__DAT9" localSheetId="33">#REF!</definedName>
    <definedName name="__DAT9" localSheetId="52">#REF!</definedName>
    <definedName name="__DAT9" localSheetId="6">#REF!</definedName>
    <definedName name="__DAT9" localSheetId="51">#REF!</definedName>
    <definedName name="__DAT9" localSheetId="53">#REF!</definedName>
    <definedName name="__DAT9">#REF!</definedName>
    <definedName name="__PG1" localSheetId="33">#REF!</definedName>
    <definedName name="__PG1" localSheetId="52">#REF!</definedName>
    <definedName name="__PG1" localSheetId="6">#REF!</definedName>
    <definedName name="__PG1" localSheetId="42">#REF!</definedName>
    <definedName name="__PG1" localSheetId="47">#REF!</definedName>
    <definedName name="__PG1" localSheetId="51">#REF!</definedName>
    <definedName name="__PG1" localSheetId="53">#REF!</definedName>
    <definedName name="__PG1">#REF!</definedName>
    <definedName name="__PG2" localSheetId="33">#REF!</definedName>
    <definedName name="__PG2" localSheetId="52">#REF!</definedName>
    <definedName name="__PG2" localSheetId="6">#REF!</definedName>
    <definedName name="__PG2" localSheetId="42">#REF!</definedName>
    <definedName name="__PG2" localSheetId="47">#REF!</definedName>
    <definedName name="__PG2" localSheetId="51">#N/A</definedName>
    <definedName name="__PG2" localSheetId="53">#N/A</definedName>
    <definedName name="__PG2">#REF!</definedName>
    <definedName name="__PG3">#N/A</definedName>
    <definedName name="__PG4">#N/A</definedName>
    <definedName name="__PG511" localSheetId="33">[2]Sheet2!#REF!</definedName>
    <definedName name="__PG511" localSheetId="52">[2]Sheet2!#REF!</definedName>
    <definedName name="__PG511" localSheetId="6">[2]Sheet2!#REF!</definedName>
    <definedName name="__PG511" localSheetId="51">[2]Sheet2!#REF!</definedName>
    <definedName name="__PG511" localSheetId="53">[2]Sheet2!#REF!</definedName>
    <definedName name="__PG511">[2]Sheet2!#REF!</definedName>
    <definedName name="__PG514" localSheetId="33">[2]Sheet2!#REF!</definedName>
    <definedName name="__PG514" localSheetId="52">[2]Sheet2!#REF!</definedName>
    <definedName name="__PG514" localSheetId="6">[2]Sheet2!#REF!</definedName>
    <definedName name="__PG514" localSheetId="51">[2]Sheet2!#REF!</definedName>
    <definedName name="__PG514" localSheetId="53">[2]Sheet2!#REF!</definedName>
    <definedName name="__PG514">[2]Sheet2!#REF!</definedName>
    <definedName name="__PG518" localSheetId="33">#REF!</definedName>
    <definedName name="__PG518" localSheetId="52">#REF!</definedName>
    <definedName name="__PG518" localSheetId="6">#REF!</definedName>
    <definedName name="__PG518" localSheetId="51">#REF!</definedName>
    <definedName name="__PG518" localSheetId="53">#REF!</definedName>
    <definedName name="__PG518">#REF!</definedName>
    <definedName name="__PG519" localSheetId="33">[2]Sheet2!#REF!</definedName>
    <definedName name="__PG519" localSheetId="52">[2]Sheet2!#REF!</definedName>
    <definedName name="__PG519" localSheetId="6">[2]Sheet2!#REF!</definedName>
    <definedName name="__PG519" localSheetId="51">[2]Sheet2!#REF!</definedName>
    <definedName name="__PG519" localSheetId="53">[2]Sheet2!#REF!</definedName>
    <definedName name="__PG519">[2]Sheet2!#REF!</definedName>
    <definedName name="__VAR1" localSheetId="33">#REF!</definedName>
    <definedName name="__VAR1" localSheetId="52">#REF!</definedName>
    <definedName name="__VAR1" localSheetId="6">#REF!</definedName>
    <definedName name="__VAR1" localSheetId="51">#REF!</definedName>
    <definedName name="__VAR1" localSheetId="53">#REF!</definedName>
    <definedName name="__VAR1">#REF!</definedName>
    <definedName name="__VAR2" localSheetId="33">#REF!</definedName>
    <definedName name="__VAR2" localSheetId="52">#REF!</definedName>
    <definedName name="__VAR2" localSheetId="6">#REF!</definedName>
    <definedName name="__VAR2" localSheetId="51">#REF!</definedName>
    <definedName name="__VAR2" localSheetId="53">#REF!</definedName>
    <definedName name="__VAR2">#REF!</definedName>
    <definedName name="__VAR3" localSheetId="33">#REF!</definedName>
    <definedName name="__VAR3" localSheetId="52">#REF!</definedName>
    <definedName name="__VAR3" localSheetId="6">#REF!</definedName>
    <definedName name="__VAR3" localSheetId="51">#REF!</definedName>
    <definedName name="__VAR3" localSheetId="53">#REF!</definedName>
    <definedName name="__VAR3">#REF!</definedName>
    <definedName name="_1" localSheetId="33">'[12]SDGE EVA budget'!#REF!</definedName>
    <definedName name="_1" localSheetId="37">'[13]SDGE EVA budget'!#REF!</definedName>
    <definedName name="_1" localSheetId="52">'[13]SDGE EVA budget'!#REF!</definedName>
    <definedName name="_1" localSheetId="5">'[13]SDGE EVA budget'!#REF!</definedName>
    <definedName name="_1" localSheetId="6">'[12]SDGE EVA budget'!#REF!</definedName>
    <definedName name="_1" localSheetId="57">'[13]SDGE EVA budget'!#REF!</definedName>
    <definedName name="_1">'[12]SDGE EVA budget'!#REF!</definedName>
    <definedName name="_1_0_0ROUN" localSheetId="33">'[14]SDGE EVA BUDGET'!#REF!</definedName>
    <definedName name="_1_0_0ROUN" localSheetId="52">'[14]SDGE EVA BUDGET'!#REF!</definedName>
    <definedName name="_1_0_0ROUN" localSheetId="6">'[14]SDGE EVA BUDGET'!#REF!</definedName>
    <definedName name="_1_0_0ROUN">'[14]SDGE EVA BUDGET'!#REF!</definedName>
    <definedName name="_11111" localSheetId="33">[15]Phases!#REF!</definedName>
    <definedName name="_11111" localSheetId="52">[15]Phases!#REF!</definedName>
    <definedName name="_11111" localSheetId="6">[15]Phases!#REF!</definedName>
    <definedName name="_11111">[15]Phases!#REF!</definedName>
    <definedName name="_123Graph_CHART3" localSheetId="33" hidden="1">[16]A!#REF!</definedName>
    <definedName name="_123Graph_CHART3" localSheetId="37" hidden="1">[17]A!#REF!</definedName>
    <definedName name="_123Graph_CHART3" localSheetId="52" hidden="1">[17]A!#REF!</definedName>
    <definedName name="_123Graph_CHART3" localSheetId="5" hidden="1">[17]A!#REF!</definedName>
    <definedName name="_123Graph_CHART3" localSheetId="6" hidden="1">[16]A!#REF!</definedName>
    <definedName name="_123Graph_CHART3" localSheetId="57" hidden="1">[17]A!#REF!</definedName>
    <definedName name="_123Graph_CHART3" hidden="1">[16]A!#REF!</definedName>
    <definedName name="_123Graph_E" localSheetId="19" hidden="1">[5]reports!#REF!</definedName>
    <definedName name="_123Graph_E" localSheetId="33" hidden="1">[5]reports!#REF!</definedName>
    <definedName name="_123Graph_E" localSheetId="52" hidden="1">[5]reports!#REF!</definedName>
    <definedName name="_123Graph_E" localSheetId="5" hidden="1">[5]reports!#REF!</definedName>
    <definedName name="_123Graph_E" localSheetId="7" hidden="1">[5]reports!#REF!</definedName>
    <definedName name="_123Graph_E" localSheetId="8" hidden="1">[5]reports!#REF!</definedName>
    <definedName name="_123Graph_E" localSheetId="57" hidden="1">[5]reports!#REF!</definedName>
    <definedName name="_123Graph_E" hidden="1">[5]reports!#REF!</definedName>
    <definedName name="_1807" localSheetId="33">'[18]CAP ADJ'!#REF!</definedName>
    <definedName name="_1807" localSheetId="37">'[19]CAP ADJ'!#REF!</definedName>
    <definedName name="_1807" localSheetId="52">'[19]CAP ADJ'!#REF!</definedName>
    <definedName name="_1807" localSheetId="5">'[19]CAP ADJ'!#REF!</definedName>
    <definedName name="_1807" localSheetId="6">'[18]CAP ADJ'!#REF!</definedName>
    <definedName name="_1807" localSheetId="42">'[18]CAP ADJ'!#REF!</definedName>
    <definedName name="_1807" localSheetId="47">'[18]CAP ADJ'!#REF!</definedName>
    <definedName name="_1807" localSheetId="51">'[20]CAP ADJ'!#REF!</definedName>
    <definedName name="_1807" localSheetId="53">'[20]CAP ADJ'!#REF!</definedName>
    <definedName name="_1807" localSheetId="57">'[19]CAP ADJ'!#REF!</definedName>
    <definedName name="_1807">'[18]CAP ADJ'!#REF!</definedName>
    <definedName name="_1808" localSheetId="33">'[18]CAP ADJ'!#REF!</definedName>
    <definedName name="_1808" localSheetId="37">'[19]CAP ADJ'!#REF!</definedName>
    <definedName name="_1808" localSheetId="52">'[19]CAP ADJ'!#REF!</definedName>
    <definedName name="_1808" localSheetId="5">'[19]CAP ADJ'!#REF!</definedName>
    <definedName name="_1808" localSheetId="6">'[18]CAP ADJ'!#REF!</definedName>
    <definedName name="_1808" localSheetId="42">'[18]CAP ADJ'!#REF!</definedName>
    <definedName name="_1808" localSheetId="47">'[18]CAP ADJ'!#REF!</definedName>
    <definedName name="_1808" localSheetId="51">'[20]CAP ADJ'!#REF!</definedName>
    <definedName name="_1808" localSheetId="53">'[20]CAP ADJ'!#REF!</definedName>
    <definedName name="_1808" localSheetId="57">'[19]CAP ADJ'!#REF!</definedName>
    <definedName name="_1808">'[18]CAP ADJ'!#REF!</definedName>
    <definedName name="_1809" localSheetId="33">'[18]CAP ADJ'!#REF!</definedName>
    <definedName name="_1809" localSheetId="37">'[19]CAP ADJ'!#REF!</definedName>
    <definedName name="_1809" localSheetId="52">'[19]CAP ADJ'!#REF!</definedName>
    <definedName name="_1809" localSheetId="5">'[19]CAP ADJ'!#REF!</definedName>
    <definedName name="_1809" localSheetId="6">'[18]CAP ADJ'!#REF!</definedName>
    <definedName name="_1809" localSheetId="42">'[18]CAP ADJ'!#REF!</definedName>
    <definedName name="_1809" localSheetId="47">'[18]CAP ADJ'!#REF!</definedName>
    <definedName name="_1809" localSheetId="51">'[20]CAP ADJ'!#REF!</definedName>
    <definedName name="_1809" localSheetId="53">'[20]CAP ADJ'!#REF!</definedName>
    <definedName name="_1809" localSheetId="57">'[19]CAP ADJ'!#REF!</definedName>
    <definedName name="_1809">'[18]CAP ADJ'!#REF!</definedName>
    <definedName name="_1810" localSheetId="33">'[18]CAP ADJ'!#REF!</definedName>
    <definedName name="_1810" localSheetId="37">'[19]CAP ADJ'!#REF!</definedName>
    <definedName name="_1810" localSheetId="52">'[19]CAP ADJ'!#REF!</definedName>
    <definedName name="_1810" localSheetId="5">'[19]CAP ADJ'!#REF!</definedName>
    <definedName name="_1810" localSheetId="6">'[18]CAP ADJ'!#REF!</definedName>
    <definedName name="_1810" localSheetId="42">'[18]CAP ADJ'!#REF!</definedName>
    <definedName name="_1810" localSheetId="47">'[18]CAP ADJ'!#REF!</definedName>
    <definedName name="_1810" localSheetId="51">'[20]CAP ADJ'!#REF!</definedName>
    <definedName name="_1810" localSheetId="53">'[20]CAP ADJ'!#REF!</definedName>
    <definedName name="_1810" localSheetId="57">'[19]CAP ADJ'!#REF!</definedName>
    <definedName name="_1810">'[18]CAP ADJ'!#REF!</definedName>
    <definedName name="_1812" localSheetId="33">'[18]CAP ADJ'!#REF!</definedName>
    <definedName name="_1812" localSheetId="37">'[19]CAP ADJ'!#REF!</definedName>
    <definedName name="_1812" localSheetId="52">'[19]CAP ADJ'!#REF!</definedName>
    <definedName name="_1812" localSheetId="5">'[19]CAP ADJ'!#REF!</definedName>
    <definedName name="_1812" localSheetId="6">'[18]CAP ADJ'!#REF!</definedName>
    <definedName name="_1812" localSheetId="42">'[18]CAP ADJ'!#REF!</definedName>
    <definedName name="_1812" localSheetId="47">'[18]CAP ADJ'!#REF!</definedName>
    <definedName name="_1812" localSheetId="51">'[20]CAP ADJ'!#REF!</definedName>
    <definedName name="_1812" localSheetId="53">'[20]CAP ADJ'!#REF!</definedName>
    <definedName name="_1812" localSheetId="57">'[19]CAP ADJ'!#REF!</definedName>
    <definedName name="_1812">'[18]CAP ADJ'!#REF!</definedName>
    <definedName name="_1818" localSheetId="33">'[18]CAP ADJ'!#REF!</definedName>
    <definedName name="_1818" localSheetId="37">'[19]CAP ADJ'!#REF!</definedName>
    <definedName name="_1818" localSheetId="52">'[19]CAP ADJ'!#REF!</definedName>
    <definedName name="_1818" localSheetId="5">'[19]CAP ADJ'!#REF!</definedName>
    <definedName name="_1818" localSheetId="6">'[18]CAP ADJ'!#REF!</definedName>
    <definedName name="_1818" localSheetId="42">'[18]CAP ADJ'!#REF!</definedName>
    <definedName name="_1818" localSheetId="47">'[18]CAP ADJ'!#REF!</definedName>
    <definedName name="_1818" localSheetId="51">'[20]CAP ADJ'!#REF!</definedName>
    <definedName name="_1818" localSheetId="53">'[20]CAP ADJ'!#REF!</definedName>
    <definedName name="_1818" localSheetId="57">'[19]CAP ADJ'!#REF!</definedName>
    <definedName name="_1818">'[18]CAP ADJ'!#REF!</definedName>
    <definedName name="_1820" localSheetId="33">'[18]CAP ADJ'!#REF!</definedName>
    <definedName name="_1820" localSheetId="37">'[19]CAP ADJ'!#REF!</definedName>
    <definedName name="_1820" localSheetId="52">'[19]CAP ADJ'!#REF!</definedName>
    <definedName name="_1820" localSheetId="5">'[19]CAP ADJ'!#REF!</definedName>
    <definedName name="_1820" localSheetId="6">'[18]CAP ADJ'!#REF!</definedName>
    <definedName name="_1820" localSheetId="42">'[18]CAP ADJ'!#REF!</definedName>
    <definedName name="_1820" localSheetId="47">'[18]CAP ADJ'!#REF!</definedName>
    <definedName name="_1820" localSheetId="51">'[20]CAP ADJ'!#REF!</definedName>
    <definedName name="_1820" localSheetId="53">'[20]CAP ADJ'!#REF!</definedName>
    <definedName name="_1820" localSheetId="57">'[19]CAP ADJ'!#REF!</definedName>
    <definedName name="_1820">'[18]CAP ADJ'!#REF!</definedName>
    <definedName name="_19903" localSheetId="19">#REF!</definedName>
    <definedName name="_19903" localSheetId="33">#REF!</definedName>
    <definedName name="_19903" localSheetId="37">#REF!</definedName>
    <definedName name="_19903" localSheetId="52">#REF!</definedName>
    <definedName name="_19903" localSheetId="5">#REF!</definedName>
    <definedName name="_19903" localSheetId="6">#REF!</definedName>
    <definedName name="_19903">#REF!</definedName>
    <definedName name="_2" localSheetId="19">'[12]SDGE EVA budget'!#REF!</definedName>
    <definedName name="_2" localSheetId="33">'[12]SDGE EVA budget'!#REF!</definedName>
    <definedName name="_2" localSheetId="37">'[13]SDGE EVA budget'!#REF!</definedName>
    <definedName name="_2" localSheetId="52">'[13]SDGE EVA budget'!#REF!</definedName>
    <definedName name="_2" localSheetId="5">'[13]SDGE EVA budget'!#REF!</definedName>
    <definedName name="_2" localSheetId="6">'[12]SDGE EVA budget'!#REF!</definedName>
    <definedName name="_2" localSheetId="57">'[13]SDGE EVA budget'!#REF!</definedName>
    <definedName name="_2">'[12]SDGE EVA budget'!#REF!</definedName>
    <definedName name="_2_0_0ROUN" localSheetId="33">'[14]SDGE EVA BUDGET'!#REF!</definedName>
    <definedName name="_2_0_0ROUN" localSheetId="52">'[14]SDGE EVA BUDGET'!#REF!</definedName>
    <definedName name="_2_0_0ROUN" localSheetId="6">'[14]SDGE EVA BUDGET'!#REF!</definedName>
    <definedName name="_2_0_0ROUN">'[14]SDGE EVA BUDGET'!#REF!</definedName>
    <definedName name="_20014" localSheetId="19">#REF!</definedName>
    <definedName name="_20014" localSheetId="33">#REF!</definedName>
    <definedName name="_20014" localSheetId="37">#REF!</definedName>
    <definedName name="_20014" localSheetId="52">#REF!</definedName>
    <definedName name="_20014" localSheetId="5">#REF!</definedName>
    <definedName name="_20014" localSheetId="6">#REF!</definedName>
    <definedName name="_20014">#REF!</definedName>
    <definedName name="_24939" localSheetId="19">[15]Phases!#REF!</definedName>
    <definedName name="_24939" localSheetId="33">[15]Phases!#REF!</definedName>
    <definedName name="_24939" localSheetId="37">[15]Phases!#REF!</definedName>
    <definedName name="_24939" localSheetId="52">[15]Phases!#REF!</definedName>
    <definedName name="_24939" localSheetId="5">[15]Phases!#REF!</definedName>
    <definedName name="_24939" localSheetId="6">[15]Phases!#REF!</definedName>
    <definedName name="_24939">[15]Phases!#REF!</definedName>
    <definedName name="_25004" localSheetId="33">[15]Phases!#REF!</definedName>
    <definedName name="_25004" localSheetId="52">[15]Phases!#REF!</definedName>
    <definedName name="_25004" localSheetId="6">[15]Phases!#REF!</definedName>
    <definedName name="_25004">[15]Phases!#REF!</definedName>
    <definedName name="_28" localSheetId="19">#REF!</definedName>
    <definedName name="_28" localSheetId="33">#REF!</definedName>
    <definedName name="_28" localSheetId="37">#REF!</definedName>
    <definedName name="_28" localSheetId="52">#REF!</definedName>
    <definedName name="_28" localSheetId="5">#REF!</definedName>
    <definedName name="_28" localSheetId="6">#REF!</definedName>
    <definedName name="_28">#REF!</definedName>
    <definedName name="_3" localSheetId="33">#REF!</definedName>
    <definedName name="_3" localSheetId="52">#REF!</definedName>
    <definedName name="_3" localSheetId="6">#REF!</definedName>
    <definedName name="_3">#REF!</definedName>
    <definedName name="_422" localSheetId="33">#REF!</definedName>
    <definedName name="_422" localSheetId="52">#REF!</definedName>
    <definedName name="_422" localSheetId="6">#REF!</definedName>
    <definedName name="_422" localSheetId="51">#REF!</definedName>
    <definedName name="_422" localSheetId="53">#REF!</definedName>
    <definedName name="_422">#REF!</definedName>
    <definedName name="_423" localSheetId="33">#REF!</definedName>
    <definedName name="_423" localSheetId="52">#REF!</definedName>
    <definedName name="_423" localSheetId="6">#REF!</definedName>
    <definedName name="_423" localSheetId="51">#REF!</definedName>
    <definedName name="_423" localSheetId="53">#REF!</definedName>
    <definedName name="_423">#REF!</definedName>
    <definedName name="_9000" localSheetId="33">'[18]CAP ADJ'!#REF!</definedName>
    <definedName name="_9000" localSheetId="37">'[19]CAP ADJ'!#REF!</definedName>
    <definedName name="_9000" localSheetId="52">'[19]CAP ADJ'!#REF!</definedName>
    <definedName name="_9000" localSheetId="5">'[19]CAP ADJ'!#REF!</definedName>
    <definedName name="_9000" localSheetId="6">'[18]CAP ADJ'!#REF!</definedName>
    <definedName name="_9000" localSheetId="42">'[18]CAP ADJ'!#REF!</definedName>
    <definedName name="_9000" localSheetId="47">'[18]CAP ADJ'!#REF!</definedName>
    <definedName name="_9000" localSheetId="51">'[20]CAP ADJ'!#REF!</definedName>
    <definedName name="_9000" localSheetId="53">'[20]CAP ADJ'!#REF!</definedName>
    <definedName name="_9000" localSheetId="57">'[19]CAP ADJ'!#REF!</definedName>
    <definedName name="_9000">'[18]CAP ADJ'!#REF!</definedName>
    <definedName name="_9310" localSheetId="33">'[18]CAP ADJ'!#REF!</definedName>
    <definedName name="_9310" localSheetId="37">'[19]CAP ADJ'!#REF!</definedName>
    <definedName name="_9310" localSheetId="52">'[19]CAP ADJ'!#REF!</definedName>
    <definedName name="_9310" localSheetId="5">'[19]CAP ADJ'!#REF!</definedName>
    <definedName name="_9310" localSheetId="6">'[18]CAP ADJ'!#REF!</definedName>
    <definedName name="_9310" localSheetId="42">'[18]CAP ADJ'!#REF!</definedName>
    <definedName name="_9310" localSheetId="47">'[18]CAP ADJ'!#REF!</definedName>
    <definedName name="_9310" localSheetId="51">'[20]CAP ADJ'!#REF!</definedName>
    <definedName name="_9310" localSheetId="53">'[20]CAP ADJ'!#REF!</definedName>
    <definedName name="_9310" localSheetId="57">'[19]CAP ADJ'!#REF!</definedName>
    <definedName name="_9310">'[18]CAP ADJ'!#REF!</definedName>
    <definedName name="_9325" localSheetId="33">'[18]CAP ADJ'!#REF!</definedName>
    <definedName name="_9325" localSheetId="37">'[19]CAP ADJ'!#REF!</definedName>
    <definedName name="_9325" localSheetId="52">'[19]CAP ADJ'!#REF!</definedName>
    <definedName name="_9325" localSheetId="5">'[19]CAP ADJ'!#REF!</definedName>
    <definedName name="_9325" localSheetId="6">'[18]CAP ADJ'!#REF!</definedName>
    <definedName name="_9325" localSheetId="42">'[18]CAP ADJ'!#REF!</definedName>
    <definedName name="_9325" localSheetId="47">'[18]CAP ADJ'!#REF!</definedName>
    <definedName name="_9325" localSheetId="51">'[20]CAP ADJ'!#REF!</definedName>
    <definedName name="_9325" localSheetId="53">'[20]CAP ADJ'!#REF!</definedName>
    <definedName name="_9325" localSheetId="57">'[19]CAP ADJ'!#REF!</definedName>
    <definedName name="_9325">'[18]CAP ADJ'!#REF!</definedName>
    <definedName name="_9330" localSheetId="33">'[18]CAP ADJ'!#REF!</definedName>
    <definedName name="_9330" localSheetId="37">'[19]CAP ADJ'!#REF!</definedName>
    <definedName name="_9330" localSheetId="52">'[19]CAP ADJ'!#REF!</definedName>
    <definedName name="_9330" localSheetId="5">'[19]CAP ADJ'!#REF!</definedName>
    <definedName name="_9330" localSheetId="6">'[18]CAP ADJ'!#REF!</definedName>
    <definedName name="_9330" localSheetId="42">'[18]CAP ADJ'!#REF!</definedName>
    <definedName name="_9330" localSheetId="47">'[18]CAP ADJ'!#REF!</definedName>
    <definedName name="_9330" localSheetId="51">'[20]CAP ADJ'!#REF!</definedName>
    <definedName name="_9330" localSheetId="53">'[20]CAP ADJ'!#REF!</definedName>
    <definedName name="_9330" localSheetId="57">'[19]CAP ADJ'!#REF!</definedName>
    <definedName name="_9330">'[18]CAP ADJ'!#REF!</definedName>
    <definedName name="_9350" localSheetId="19">#REF!</definedName>
    <definedName name="_9350" localSheetId="33">#REF!</definedName>
    <definedName name="_9350" localSheetId="37">#REF!</definedName>
    <definedName name="_9350" localSheetId="52">#REF!</definedName>
    <definedName name="_9350" localSheetId="5">#REF!</definedName>
    <definedName name="_9350" localSheetId="6">#REF!</definedName>
    <definedName name="_9350">#REF!</definedName>
    <definedName name="_9461" localSheetId="33">#REF!</definedName>
    <definedName name="_9461" localSheetId="52">#REF!</definedName>
    <definedName name="_9461" localSheetId="6">#REF!</definedName>
    <definedName name="_9461">#REF!</definedName>
    <definedName name="_AMO_SingleObject_157336487_ROM_F0.SEC2.Print_1.SEC1.SEC1.BDY.REV_MO_201601_Data_Set_WORK_BILLDET1" localSheetId="33" hidden="1">#REF!</definedName>
    <definedName name="_AMO_SingleObject_157336487_ROM_F0.SEC2.Print_1.SEC1.SEC1.BDY.REV_MO_201601_Data_Set_WORK_BILLDET1" localSheetId="52" hidden="1">#REF!</definedName>
    <definedName name="_AMO_SingleObject_157336487_ROM_F0.SEC2.Print_1.SEC1.SEC1.BDY.REV_MO_201601_Data_Set_WORK_BILLDET1" localSheetId="5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33" hidden="1">#REF!</definedName>
    <definedName name="_AMO_SingleObject_157336487_ROM_F0.SEC2.Print_1.SEC1.SEC1.HDR.REV_MO_201601" localSheetId="52" hidden="1">#REF!</definedName>
    <definedName name="_AMO_SingleObject_157336487_ROM_F0.SEC2.Print_1.SEC1.SEC1.HDR.REV_MO_201601" localSheetId="5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33" hidden="1">#REF!</definedName>
    <definedName name="_AMO_SingleObject_157336487_ROM_F0.SEC2.Print_1.SEC1.SEC2.BDY.REV_MO_201602_Data_Set_WORK_BILLDET1" localSheetId="52" hidden="1">#REF!</definedName>
    <definedName name="_AMO_SingleObject_157336487_ROM_F0.SEC2.Print_1.SEC1.SEC2.BDY.REV_MO_201602_Data_Set_WORK_BILLDET1" localSheetId="5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33" hidden="1">#REF!</definedName>
    <definedName name="_AMO_SingleObject_157336487_ROM_F0.SEC2.Print_1.SEC1.SEC2.HDR.REV_MO_201602" localSheetId="52" hidden="1">#REF!</definedName>
    <definedName name="_AMO_SingleObject_157336487_ROM_F0.SEC2.Print_1.SEC1.SEC2.HDR.REV_MO_201602" localSheetId="5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33" hidden="1">#REF!</definedName>
    <definedName name="_AMO_SingleObject_157336487_ROM_F0.SEC2.Print_1.SEC1.SEC3.BDY.REV_MO_201603_Data_Set_WORK_BILLDET1" localSheetId="52" hidden="1">#REF!</definedName>
    <definedName name="_AMO_SingleObject_157336487_ROM_F0.SEC2.Print_1.SEC1.SEC3.BDY.REV_MO_201603_Data_Set_WORK_BILLDET1" localSheetId="5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33" hidden="1">#REF!</definedName>
    <definedName name="_AMO_SingleObject_157336487_ROM_F0.SEC2.Print_1.SEC1.SEC3.HDR.REV_MO_201603" localSheetId="52" hidden="1">#REF!</definedName>
    <definedName name="_AMO_SingleObject_157336487_ROM_F0.SEC2.Print_1.SEC1.SEC3.HDR.REV_MO_201603" localSheetId="5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33" hidden="1">#REF!</definedName>
    <definedName name="_AMO_SingleObject_157336487_ROM_F0.SEC2.Print_1.SEC1.SEC4.BDY.REV_MO_999999_Data_Set_WORK_BILLDET1" localSheetId="52" hidden="1">#REF!</definedName>
    <definedName name="_AMO_SingleObject_157336487_ROM_F0.SEC2.Print_1.SEC1.SEC4.BDY.REV_MO_999999_Data_Set_WORK_BILLDET1" localSheetId="5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33" hidden="1">#REF!</definedName>
    <definedName name="_AMO_SingleObject_157336487_ROM_F0.SEC2.Print_1.SEC1.SEC4.HDR.REV_MO_999999" localSheetId="52" hidden="1">#REF!</definedName>
    <definedName name="_AMO_SingleObject_157336487_ROM_F0.SEC2.Print_1.SEC1.SEC4.HDR.REV_MO_999999" localSheetId="5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bad1" localSheetId="33">#REF!</definedName>
    <definedName name="_bad1" localSheetId="52">#REF!</definedName>
    <definedName name="_bad1" localSheetId="6">#REF!</definedName>
    <definedName name="_bad1">#REF!</definedName>
    <definedName name="_bad2" localSheetId="37">'[21]FERC 06_2002 MTD IS'!$E$10:$P$1004</definedName>
    <definedName name="_bad2" localSheetId="52">'[21]FERC 06_2002 MTD IS'!$E$10:$P$1004</definedName>
    <definedName name="_bad2" localSheetId="5">'[21]FERC 06_2002 MTD IS'!$E$10:$P$1004</definedName>
    <definedName name="_bad2" localSheetId="57">'[21]FERC 06_2002 MTD IS'!$E$10:$P$1004</definedName>
    <definedName name="_bad2">'[22]FERC 06_2002 MTD IS'!$E$10:$P$1004</definedName>
    <definedName name="_bad3" localSheetId="19">#REF!</definedName>
    <definedName name="_bad3" localSheetId="33">#REF!</definedName>
    <definedName name="_bad3" localSheetId="37">#REF!</definedName>
    <definedName name="_bad3" localSheetId="52">#REF!</definedName>
    <definedName name="_bad3" localSheetId="5">#REF!</definedName>
    <definedName name="_bad3" localSheetId="6">#REF!</definedName>
    <definedName name="_bad3">#REF!</definedName>
    <definedName name="_bad4" localSheetId="37">'[21]FERC 06_2002 MTD IS'!$A$1:$AJ$1027</definedName>
    <definedName name="_bad4" localSheetId="52">'[21]FERC 06_2002 MTD IS'!$A$1:$AJ$1027</definedName>
    <definedName name="_bad4" localSheetId="5">'[21]FERC 06_2002 MTD IS'!$A$1:$AJ$1027</definedName>
    <definedName name="_bad4" localSheetId="57">'[21]FERC 06_2002 MTD IS'!$A$1:$AJ$1027</definedName>
    <definedName name="_bad4">'[22]FERC 06_2002 MTD IS'!$A$1:$AJ$1027</definedName>
    <definedName name="_bad5" localSheetId="37">'[21]FERC 06_2002 YTD TB'!$A$25:$Q$694</definedName>
    <definedName name="_bad5" localSheetId="52">'[21]FERC 06_2002 YTD TB'!$A$25:$Q$694</definedName>
    <definedName name="_bad5" localSheetId="5">'[21]FERC 06_2002 YTD TB'!$A$25:$Q$694</definedName>
    <definedName name="_bad5" localSheetId="57">'[21]FERC 06_2002 YTD TB'!$A$25:$Q$694</definedName>
    <definedName name="_bad5">'[22]FERC 06_2002 YTD TB'!$A$25:$Q$694</definedName>
    <definedName name="_balance" localSheetId="33">#REF!</definedName>
    <definedName name="_balance" localSheetId="52">#REF!</definedName>
    <definedName name="_balance" localSheetId="6">#REF!</definedName>
    <definedName name="_balance" localSheetId="51">#REF!</definedName>
    <definedName name="_balance" localSheetId="53">#REF!</definedName>
    <definedName name="_balance">#REF!</definedName>
    <definedName name="_DAT1" localSheetId="33">#REF!</definedName>
    <definedName name="_DAT1" localSheetId="52">#REF!</definedName>
    <definedName name="_DAT1" localSheetId="6">#REF!</definedName>
    <definedName name="_DAT1" localSheetId="47">#REF!</definedName>
    <definedName name="_DAT1">#REF!</definedName>
    <definedName name="_DAT10" localSheetId="33">#REF!</definedName>
    <definedName name="_DAT10" localSheetId="52">#REF!</definedName>
    <definedName name="_DAT10" localSheetId="6">#REF!</definedName>
    <definedName name="_DAT10">#REF!</definedName>
    <definedName name="_DAT11" localSheetId="33">#REF!</definedName>
    <definedName name="_DAT11" localSheetId="52">#REF!</definedName>
    <definedName name="_DAT11" localSheetId="6">#REF!</definedName>
    <definedName name="_DAT11">#REF!</definedName>
    <definedName name="_DAT12" localSheetId="33">#REF!</definedName>
    <definedName name="_DAT12" localSheetId="52">#REF!</definedName>
    <definedName name="_DAT12" localSheetId="6">#REF!</definedName>
    <definedName name="_DAT12">#REF!</definedName>
    <definedName name="_DAT13" localSheetId="33">#REF!</definedName>
    <definedName name="_DAT13" localSheetId="52">#REF!</definedName>
    <definedName name="_DAT13" localSheetId="6">#REF!</definedName>
    <definedName name="_DAT13">#REF!</definedName>
    <definedName name="_DAT14" localSheetId="33">#REF!</definedName>
    <definedName name="_DAT14" localSheetId="52">#REF!</definedName>
    <definedName name="_DAT14" localSheetId="6">#REF!</definedName>
    <definedName name="_DAT14">#REF!</definedName>
    <definedName name="_DAT2" localSheetId="33">#REF!</definedName>
    <definedName name="_DAT2" localSheetId="52">#REF!</definedName>
    <definedName name="_DAT2" localSheetId="6">#REF!</definedName>
    <definedName name="_DAT2" localSheetId="47">#REF!</definedName>
    <definedName name="_DAT2" localSheetId="51">#REF!</definedName>
    <definedName name="_DAT2" localSheetId="53">#REF!</definedName>
    <definedName name="_DAT2">#REF!</definedName>
    <definedName name="_DAT3" localSheetId="33">#REF!</definedName>
    <definedName name="_DAT3" localSheetId="52">#REF!</definedName>
    <definedName name="_DAT3" localSheetId="6">#REF!</definedName>
    <definedName name="_DAT3" localSheetId="47">#REF!</definedName>
    <definedName name="_DAT3">#REF!</definedName>
    <definedName name="_DAT4" localSheetId="33">#REF!</definedName>
    <definedName name="_DAT4" localSheetId="52">#REF!</definedName>
    <definedName name="_DAT4" localSheetId="6">#REF!</definedName>
    <definedName name="_DAT4" localSheetId="47">#REF!</definedName>
    <definedName name="_DAT4">#REF!</definedName>
    <definedName name="_DAT5" localSheetId="33">#REF!</definedName>
    <definedName name="_DAT5" localSheetId="52">#REF!</definedName>
    <definedName name="_DAT5" localSheetId="6">#REF!</definedName>
    <definedName name="_DAT5" localSheetId="47">#REF!</definedName>
    <definedName name="_DAT5" localSheetId="51">#REF!</definedName>
    <definedName name="_DAT5" localSheetId="53">#REF!</definedName>
    <definedName name="_DAT5">#REF!</definedName>
    <definedName name="_DAT6" localSheetId="33">#REF!</definedName>
    <definedName name="_DAT6" localSheetId="52">#REF!</definedName>
    <definedName name="_DAT6" localSheetId="6">#REF!</definedName>
    <definedName name="_DAT6" localSheetId="47">#REF!</definedName>
    <definedName name="_DAT6">#REF!</definedName>
    <definedName name="_DAT7" localSheetId="33">#REF!</definedName>
    <definedName name="_DAT7" localSheetId="52">#REF!</definedName>
    <definedName name="_DAT7" localSheetId="6">#REF!</definedName>
    <definedName name="_DAT7" localSheetId="47">#REF!</definedName>
    <definedName name="_DAT7">#REF!</definedName>
    <definedName name="_DAT8" localSheetId="33">#REF!</definedName>
    <definedName name="_DAT8" localSheetId="52">#REF!</definedName>
    <definedName name="_DAT8" localSheetId="6">#REF!</definedName>
    <definedName name="_DAT8" localSheetId="47">#REF!</definedName>
    <definedName name="_DAT8" localSheetId="51">#REF!</definedName>
    <definedName name="_DAT8" localSheetId="53">#REF!</definedName>
    <definedName name="_DAT8">#REF!</definedName>
    <definedName name="_DAT9" localSheetId="33">#REF!</definedName>
    <definedName name="_DAT9" localSheetId="52">#REF!</definedName>
    <definedName name="_DAT9" localSheetId="6">#REF!</definedName>
    <definedName name="_DAT9">#REF!</definedName>
    <definedName name="_Fill" localSheetId="33" hidden="1">[9]reports!#REF!</definedName>
    <definedName name="_Fill" localSheetId="37" hidden="1">[10]reports!#REF!</definedName>
    <definedName name="_Fill" localSheetId="52" hidden="1">[10]reports!#REF!</definedName>
    <definedName name="_Fill" localSheetId="5" hidden="1">[11]reports!#REF!</definedName>
    <definedName name="_Fill" localSheetId="6" hidden="1">[9]reports!#REF!</definedName>
    <definedName name="_Fill" localSheetId="7" hidden="1">[11]reports!#REF!</definedName>
    <definedName name="_Fill" localSheetId="8" hidden="1">[11]reports!#REF!</definedName>
    <definedName name="_Fill" localSheetId="47" hidden="1">[9]reports!#REF!</definedName>
    <definedName name="_Fill" localSheetId="51" hidden="1">#REF!</definedName>
    <definedName name="_Fill" localSheetId="53" hidden="1">[9]reports!#REF!</definedName>
    <definedName name="_Fill" localSheetId="57" hidden="1">[10]reports!#REF!</definedName>
    <definedName name="_Fill" hidden="1">[9]reports!#REF!</definedName>
    <definedName name="_Key1" localSheetId="33" hidden="1">'[18]CAP ADJ'!#REF!</definedName>
    <definedName name="_Key1" localSheetId="37" hidden="1">'[19]CAP ADJ'!#REF!</definedName>
    <definedName name="_Key1" localSheetId="52" hidden="1">'[19]CAP ADJ'!#REF!</definedName>
    <definedName name="_Key1" localSheetId="5" hidden="1">'[19]CAP ADJ'!#REF!</definedName>
    <definedName name="_Key1" localSheetId="6" hidden="1">'[18]CAP ADJ'!#REF!</definedName>
    <definedName name="_Key1" localSheetId="42" hidden="1">'[18]CAP ADJ'!#REF!</definedName>
    <definedName name="_Key1" localSheetId="47" hidden="1">'[18]CAP ADJ'!#REF!</definedName>
    <definedName name="_Key1" localSheetId="51" hidden="1">'[20]CAP ADJ'!#REF!</definedName>
    <definedName name="_Key1" localSheetId="53" hidden="1">'[20]CAP ADJ'!#REF!</definedName>
    <definedName name="_Key1" localSheetId="57" hidden="1">'[19]CAP ADJ'!#REF!</definedName>
    <definedName name="_Key1" hidden="1">'[18]CAP ADJ'!#REF!</definedName>
    <definedName name="_Key2" localSheetId="33" hidden="1">'[18]CAP ADJ'!#REF!</definedName>
    <definedName name="_Key2" localSheetId="37" hidden="1">'[19]CAP ADJ'!#REF!</definedName>
    <definedName name="_Key2" localSheetId="52" hidden="1">'[19]CAP ADJ'!#REF!</definedName>
    <definedName name="_Key2" localSheetId="5" hidden="1">'[19]CAP ADJ'!#REF!</definedName>
    <definedName name="_Key2" localSheetId="6" hidden="1">'[18]CAP ADJ'!#REF!</definedName>
    <definedName name="_Key2" localSheetId="42" hidden="1">'[18]CAP ADJ'!#REF!</definedName>
    <definedName name="_Key2" localSheetId="47" hidden="1">'[18]CAP ADJ'!#REF!</definedName>
    <definedName name="_Key2" localSheetId="51" hidden="1">'[20]CAP ADJ'!#REF!</definedName>
    <definedName name="_Key2" localSheetId="53" hidden="1">'[20]CAP ADJ'!#REF!</definedName>
    <definedName name="_Key2" localSheetId="57" hidden="1">'[19]CAP ADJ'!#REF!</definedName>
    <definedName name="_Key2" hidden="1">'[18]CAP ADJ'!#REF!</definedName>
    <definedName name="_Order1" hidden="1">255</definedName>
    <definedName name="_Order2" hidden="1">255</definedName>
    <definedName name="_PG1" localSheetId="33">#REF!</definedName>
    <definedName name="_PG1" localSheetId="52">#REF!</definedName>
    <definedName name="_PG1" localSheetId="6">#REF!</definedName>
    <definedName name="_PG1" localSheetId="42">#REF!</definedName>
    <definedName name="_PG1" localSheetId="47">#REF!</definedName>
    <definedName name="_PG1" localSheetId="51">#REF!</definedName>
    <definedName name="_PG1" localSheetId="53">#REF!</definedName>
    <definedName name="_PG1">#REF!</definedName>
    <definedName name="_PG2" localSheetId="33">#REF!</definedName>
    <definedName name="_PG2" localSheetId="52">#REF!</definedName>
    <definedName name="_PG2" localSheetId="6">#REF!</definedName>
    <definedName name="_PG2" localSheetId="42">#REF!</definedName>
    <definedName name="_PG2" localSheetId="47">#REF!</definedName>
    <definedName name="_PG2" localSheetId="51">#REF!</definedName>
    <definedName name="_PG2" localSheetId="53">#REF!</definedName>
    <definedName name="_PG2">#REF!</definedName>
    <definedName name="_PG3">#N/A</definedName>
    <definedName name="_PG4">#N/A</definedName>
    <definedName name="_PG511" localSheetId="33">[2]Sheet2!#REF!</definedName>
    <definedName name="_PG511" localSheetId="52">[2]Sheet2!#REF!</definedName>
    <definedName name="_PG511" localSheetId="6">[2]Sheet2!#REF!</definedName>
    <definedName name="_PG511">[2]Sheet2!#REF!</definedName>
    <definedName name="_PG514" localSheetId="33">[2]Sheet2!#REF!</definedName>
    <definedName name="_PG514" localSheetId="52">[2]Sheet2!#REF!</definedName>
    <definedName name="_PG514" localSheetId="6">[2]Sheet2!#REF!</definedName>
    <definedName name="_PG514">[2]Sheet2!#REF!</definedName>
    <definedName name="_PG518" localSheetId="33">#REF!</definedName>
    <definedName name="_PG518" localSheetId="52">#REF!</definedName>
    <definedName name="_PG518" localSheetId="6">#REF!</definedName>
    <definedName name="_PG518" localSheetId="51">#REF!</definedName>
    <definedName name="_PG518" localSheetId="53">#REF!</definedName>
    <definedName name="_PG518">#REF!</definedName>
    <definedName name="_PG519" localSheetId="33">[2]Sheet2!#REF!</definedName>
    <definedName name="_PG519" localSheetId="52">[2]Sheet2!#REF!</definedName>
    <definedName name="_PG519" localSheetId="6">[2]Sheet2!#REF!</definedName>
    <definedName name="_PG519">[2]Sheet2!#REF!</definedName>
    <definedName name="_Sort" localSheetId="33" hidden="1">'[18]CAP ADJ'!#REF!</definedName>
    <definedName name="_Sort" localSheetId="37" hidden="1">'[19]CAP ADJ'!#REF!</definedName>
    <definedName name="_Sort" localSheetId="52" hidden="1">'[19]CAP ADJ'!#REF!</definedName>
    <definedName name="_Sort" localSheetId="5" hidden="1">'[19]CAP ADJ'!#REF!</definedName>
    <definedName name="_Sort" localSheetId="6" hidden="1">'[18]CAP ADJ'!#REF!</definedName>
    <definedName name="_Sort" localSheetId="42" hidden="1">'[18]CAP ADJ'!#REF!</definedName>
    <definedName name="_Sort" localSheetId="47" hidden="1">'[18]CAP ADJ'!#REF!</definedName>
    <definedName name="_Sort" localSheetId="51" hidden="1">'[20]CAP ADJ'!#REF!</definedName>
    <definedName name="_Sort" localSheetId="53" hidden="1">'[20]CAP ADJ'!#REF!</definedName>
    <definedName name="_Sort" localSheetId="57" hidden="1">'[19]CAP ADJ'!#REF!</definedName>
    <definedName name="_Sort" hidden="1">'[18]CAP ADJ'!#REF!</definedName>
    <definedName name="_TB" localSheetId="33">#REF!</definedName>
    <definedName name="_TB" localSheetId="52">#REF!</definedName>
    <definedName name="_TB" localSheetId="6">#REF!</definedName>
    <definedName name="_TB" localSheetId="51">#REF!</definedName>
    <definedName name="_TB" localSheetId="53">#REF!</definedName>
    <definedName name="_TB">#REF!</definedName>
    <definedName name="_TB601" localSheetId="33">#REF!</definedName>
    <definedName name="_TB601" localSheetId="52">#REF!</definedName>
    <definedName name="_TB601" localSheetId="6">#REF!</definedName>
    <definedName name="_TB601">#REF!</definedName>
    <definedName name="_VAR1" localSheetId="33">#REF!</definedName>
    <definedName name="_VAR1" localSheetId="52">#REF!</definedName>
    <definedName name="_VAR1" localSheetId="6">#REF!</definedName>
    <definedName name="_VAR1">#REF!</definedName>
    <definedName name="_VAR2" localSheetId="33">#REF!</definedName>
    <definedName name="_VAR2" localSheetId="52">#REF!</definedName>
    <definedName name="_VAR2" localSheetId="6">#REF!</definedName>
    <definedName name="_VAR2">#REF!</definedName>
    <definedName name="_VAR3" localSheetId="33">#REF!</definedName>
    <definedName name="_VAR3" localSheetId="52">#REF!</definedName>
    <definedName name="_VAR3" localSheetId="6">#REF!</definedName>
    <definedName name="_VAR3">#REF!</definedName>
    <definedName name="a" localSheetId="19" hidden="1">{#N/A,#N/A,TRUE,"SDGE";#N/A,#N/A,TRUE,"GBU";#N/A,#N/A,TRUE,"TBU";#N/A,#N/A,TRUE,"EDBU";#N/A,#N/A,TRUE,"ExclCC"}</definedName>
    <definedName name="a" localSheetId="36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41" hidden="1">{#N/A,#N/A,TRUE,"SDGE";#N/A,#N/A,TRUE,"GBU";#N/A,#N/A,TRUE,"TBU";#N/A,#N/A,TRUE,"EDBU";#N/A,#N/A,TRUE,"ExclCC"}</definedName>
    <definedName name="a" localSheetId="52" hidden="1">{#N/A,#N/A,TRUE,"SDGE";#N/A,#N/A,TRUE,"GBU";#N/A,#N/A,TRUE,"TBU";#N/A,#N/A,TRUE,"EDBU";#N/A,#N/A,TRUE,"ExclCC"}</definedName>
    <definedName name="a" localSheetId="5" hidden="1">{#N/A,#N/A,TRUE,"SDGE";#N/A,#N/A,TRUE,"GBU";#N/A,#N/A,TRUE,"TBU";#N/A,#N/A,TRUE,"EDBU";#N/A,#N/A,TRUE,"ExclCC"}</definedName>
    <definedName name="A" localSheetId="47">#REF!</definedName>
    <definedName name="A" localSheetId="51">#REF!</definedName>
    <definedName name="A" localSheetId="53">#REF!</definedName>
    <definedName name="a" localSheetId="57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bc" hidden="1">"3Q12KMQDU0T4XKGIPPUR4OEMV"</definedName>
    <definedName name="Activity" localSheetId="33">#REF!</definedName>
    <definedName name="Activity" localSheetId="52">#REF!</definedName>
    <definedName name="Activity" localSheetId="6">#REF!</definedName>
    <definedName name="Activity" localSheetId="51">#REF!</definedName>
    <definedName name="Activity" localSheetId="53">#REF!</definedName>
    <definedName name="Activity">#REF!</definedName>
    <definedName name="Adj_2190047" localSheetId="33">#REF!</definedName>
    <definedName name="Adj_2190047" localSheetId="52">#REF!</definedName>
    <definedName name="Adj_2190047" localSheetId="6">#REF!</definedName>
    <definedName name="Adj_2190047" localSheetId="51">#REF!</definedName>
    <definedName name="Adj_2190047" localSheetId="53">#REF!</definedName>
    <definedName name="Adj_2190047">#REF!</definedName>
    <definedName name="AG" localSheetId="19" hidden="1">[23]reports!#REF!</definedName>
    <definedName name="AG" localSheetId="33" hidden="1">[23]reports!#REF!</definedName>
    <definedName name="AG" localSheetId="37" hidden="1">[23]reports!#REF!</definedName>
    <definedName name="AG" localSheetId="52" hidden="1">[23]reports!#REF!</definedName>
    <definedName name="AG" localSheetId="5" hidden="1">[23]reports!#REF!</definedName>
    <definedName name="AG" localSheetId="6" hidden="1">[23]reports!#REF!</definedName>
    <definedName name="AG" localSheetId="57" hidden="1">[23]reports!#REF!</definedName>
    <definedName name="AG" hidden="1">[23]reports!#REF!</definedName>
    <definedName name="AG_EleSpilt2008" localSheetId="33">#REF!</definedName>
    <definedName name="AG_EleSpilt2008" localSheetId="52">#REF!</definedName>
    <definedName name="AG_EleSpilt2008" localSheetId="6">#REF!</definedName>
    <definedName name="AG_EleSpilt2008" localSheetId="42">#REF!</definedName>
    <definedName name="AG_EleSpilt2008" localSheetId="47">#REF!</definedName>
    <definedName name="AG_EleSpilt2008">#REF!</definedName>
    <definedName name="AG_EleSplit2008" localSheetId="33">#REF!</definedName>
    <definedName name="AG_EleSplit2008" localSheetId="52">#REF!</definedName>
    <definedName name="AG_EleSplit2008" localSheetId="6">#REF!</definedName>
    <definedName name="AG_EleSplit2008" localSheetId="42">#REF!</definedName>
    <definedName name="AG_EleSplit2008" localSheetId="47">#REF!</definedName>
    <definedName name="AG_EleSplit2008">#REF!</definedName>
    <definedName name="AG_GasSplit2008" localSheetId="33">#REF!</definedName>
    <definedName name="AG_GasSplit2008" localSheetId="52">#REF!</definedName>
    <definedName name="AG_GasSplit2008" localSheetId="6">#REF!</definedName>
    <definedName name="AG_GasSplit2008" localSheetId="42">#REF!</definedName>
    <definedName name="AG_GasSplit2008" localSheetId="47">#REF!</definedName>
    <definedName name="AG_GasSplit2008">#REF!</definedName>
    <definedName name="ALERT2" localSheetId="33">#REF!</definedName>
    <definedName name="ALERT2" localSheetId="52">#REF!</definedName>
    <definedName name="ALERT2" localSheetId="6">#REF!</definedName>
    <definedName name="ALERT2" localSheetId="42">#REF!</definedName>
    <definedName name="ALERT2" localSheetId="47">#REF!</definedName>
    <definedName name="ALERT2" localSheetId="51">#REF!</definedName>
    <definedName name="ALERT2" localSheetId="53">#REF!</definedName>
    <definedName name="ALERT2">#REF!</definedName>
    <definedName name="ALL">'[24]F1:I'!$A$1:$II$3049</definedName>
    <definedName name="ALLOCATORS">'[24]C:D2_Bal_Act'!$A$1:$G$142</definedName>
    <definedName name="application" localSheetId="33">#REF!</definedName>
    <definedName name="application" localSheetId="52">#REF!</definedName>
    <definedName name="application" localSheetId="6">#REF!</definedName>
    <definedName name="application" localSheetId="51">#REF!</definedName>
    <definedName name="application" localSheetId="53">#REF!</definedName>
    <definedName name="application">#REF!</definedName>
    <definedName name="AS2DocOpenMode" hidden="1">"AS2DocumentEdit"</definedName>
    <definedName name="AS2HasNoAutoHeaderFooter" hidden="1">" "</definedName>
    <definedName name="AS2NamedRange" hidden="1">3</definedName>
    <definedName name="b" localSheetId="19" hidden="1">{#N/A,#N/A,TRUE,"SDGE";#N/A,#N/A,TRUE,"GBU";#N/A,#N/A,TRUE,"TBU";#N/A,#N/A,TRUE,"EDBU";#N/A,#N/A,TRUE,"ExclCC"}</definedName>
    <definedName name="b" localSheetId="36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41" hidden="1">{#N/A,#N/A,TRUE,"SDGE";#N/A,#N/A,TRUE,"GBU";#N/A,#N/A,TRUE,"TBU";#N/A,#N/A,TRUE,"EDBU";#N/A,#N/A,TRUE,"ExclCC"}</definedName>
    <definedName name="b" localSheetId="52" hidden="1">{#N/A,#N/A,TRUE,"SDGE";#N/A,#N/A,TRUE,"GBU";#N/A,#N/A,TRUE,"TBU";#N/A,#N/A,TRUE,"EDBU";#N/A,#N/A,TRUE,"ExclCC"}</definedName>
    <definedName name="b" localSheetId="5" hidden="1">{#N/A,#N/A,TRUE,"SDGE";#N/A,#N/A,TRUE,"GBU";#N/A,#N/A,TRUE,"TBU";#N/A,#N/A,TRUE,"EDBU";#N/A,#N/A,TRUE,"ExclCC"}</definedName>
    <definedName name="B" localSheetId="47">#REF!</definedName>
    <definedName name="B" localSheetId="51">#REF!</definedName>
    <definedName name="B" localSheetId="53">#REF!</definedName>
    <definedName name="b" localSheetId="57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alance_for_Sch_M" localSheetId="33">#REF!</definedName>
    <definedName name="Balance_for_Sch_M" localSheetId="52">#REF!</definedName>
    <definedName name="Balance_for_Sch_M" localSheetId="6">#REF!</definedName>
    <definedName name="Balance_for_Sch_M" localSheetId="51">#REF!</definedName>
    <definedName name="Balance_for_Sch_M" localSheetId="53">#REF!</definedName>
    <definedName name="Balance_for_Sch_M">#REF!</definedName>
    <definedName name="Balances" localSheetId="33">#REF!</definedName>
    <definedName name="Balances" localSheetId="52">#REF!</definedName>
    <definedName name="Balances" localSheetId="6">#REF!</definedName>
    <definedName name="Balances" localSheetId="51">#REF!</definedName>
    <definedName name="Balances" localSheetId="53">#REF!</definedName>
    <definedName name="Balances">#REF!</definedName>
    <definedName name="bbad6" localSheetId="33">#REF!</definedName>
    <definedName name="bbad6" localSheetId="52">#REF!</definedName>
    <definedName name="bbad6" localSheetId="6">#REF!</definedName>
    <definedName name="bbad6">#REF!</definedName>
    <definedName name="bl" localSheetId="33">#REF!</definedName>
    <definedName name="bl" localSheetId="52">#REF!</definedName>
    <definedName name="bl" localSheetId="6">#REF!</definedName>
    <definedName name="bl">#REF!</definedName>
    <definedName name="BPS_2004_AAA_999_BASEAMT" localSheetId="33">#REF!</definedName>
    <definedName name="BPS_2004_AAA_999_BASEAMT" localSheetId="52">#REF!</definedName>
    <definedName name="BPS_2004_AAA_999_BASEAMT" localSheetId="6">#REF!</definedName>
    <definedName name="BPS_2004_AAA_999_BASEAMT">#REF!</definedName>
    <definedName name="BS" localSheetId="37">'[25]Local Assumptions'!$D$121</definedName>
    <definedName name="BS" localSheetId="52">'[25]Local Assumptions'!$D$121</definedName>
    <definedName name="BS" localSheetId="5">'[25]Local Assumptions'!$D$121</definedName>
    <definedName name="BS" localSheetId="51">'[26]Local Assumptions'!$D$121</definedName>
    <definedName name="BS" localSheetId="53">'[26]Local Assumptions'!$D$121</definedName>
    <definedName name="BS" localSheetId="57">'[25]Local Assumptions'!$D$121</definedName>
    <definedName name="BS">'[27]Local Assumptions'!$D$121</definedName>
    <definedName name="BS_1" localSheetId="33">#REF!</definedName>
    <definedName name="BS_1" localSheetId="52">#REF!</definedName>
    <definedName name="BS_1" localSheetId="6">#REF!</definedName>
    <definedName name="BS_1" localSheetId="51">#REF!</definedName>
    <definedName name="BS_1" localSheetId="53">#REF!</definedName>
    <definedName name="BS_1">#REF!</definedName>
    <definedName name="BS_2" localSheetId="33">#REF!</definedName>
    <definedName name="BS_2" localSheetId="52">#REF!</definedName>
    <definedName name="BS_2" localSheetId="6">#REF!</definedName>
    <definedName name="BS_2" localSheetId="51">#REF!</definedName>
    <definedName name="BS_2" localSheetId="53">#REF!</definedName>
    <definedName name="BS_2">#REF!</definedName>
    <definedName name="BS_3" localSheetId="33">#REF!</definedName>
    <definedName name="BS_3" localSheetId="52">#REF!</definedName>
    <definedName name="BS_3" localSheetId="6">#REF!</definedName>
    <definedName name="BS_3" localSheetId="51">#REF!</definedName>
    <definedName name="BS_3" localSheetId="53">#REF!</definedName>
    <definedName name="BS_3">#REF!</definedName>
    <definedName name="BS_4" localSheetId="33">#REF!</definedName>
    <definedName name="BS_4" localSheetId="52">#REF!</definedName>
    <definedName name="BS_4" localSheetId="6">#REF!</definedName>
    <definedName name="BS_4" localSheetId="51">#REF!</definedName>
    <definedName name="BS_4" localSheetId="53">#REF!</definedName>
    <definedName name="BS_4">#REF!</definedName>
    <definedName name="BSAcct" localSheetId="33">#REF!</definedName>
    <definedName name="BSAcct" localSheetId="52">#REF!</definedName>
    <definedName name="BSAcct" localSheetId="6">#REF!</definedName>
    <definedName name="BSAcct" localSheetId="51">#REF!</definedName>
    <definedName name="BSAcct" localSheetId="53">#REF!</definedName>
    <definedName name="BSAcct">#REF!</definedName>
    <definedName name="BSBal" localSheetId="33">[28]GL98BAL!#REF!</definedName>
    <definedName name="BSBal" localSheetId="37">[29]GL98BAL!#REF!</definedName>
    <definedName name="BSBal" localSheetId="52">[29]GL98BAL!#REF!</definedName>
    <definedName name="BSBal" localSheetId="5">[29]GL98BAL!#REF!</definedName>
    <definedName name="BSBal" localSheetId="6">[28]GL98BAL!#REF!</definedName>
    <definedName name="BSBal" localSheetId="51">[30]GL98BAL!#REF!</definedName>
    <definedName name="BSBal" localSheetId="53">[30]GL98BAL!#REF!</definedName>
    <definedName name="BSBal" localSheetId="57">[29]GL98BAL!#REF!</definedName>
    <definedName name="BSBal">[28]GL98BAL!#REF!</definedName>
    <definedName name="BSDesc" localSheetId="33">#REF!</definedName>
    <definedName name="BSDesc" localSheetId="52">#REF!</definedName>
    <definedName name="BSDesc" localSheetId="6">#REF!</definedName>
    <definedName name="BSDesc" localSheetId="51">#REF!</definedName>
    <definedName name="BSDesc" localSheetId="53">#REF!</definedName>
    <definedName name="BSDesc">#REF!</definedName>
    <definedName name="bsentity" localSheetId="33">#REF!</definedName>
    <definedName name="bsentity" localSheetId="52">#REF!</definedName>
    <definedName name="bsentity" localSheetId="6">#REF!</definedName>
    <definedName name="bsentity" localSheetId="51">#REF!</definedName>
    <definedName name="bsentity" localSheetId="53">#REF!</definedName>
    <definedName name="bsentity">#REF!</definedName>
    <definedName name="Bsheet" localSheetId="33">#REF!</definedName>
    <definedName name="Bsheet" localSheetId="52">#REF!</definedName>
    <definedName name="Bsheet" localSheetId="6">#REF!</definedName>
    <definedName name="Bsheet" localSheetId="51">#REF!</definedName>
    <definedName name="Bsheet" localSheetId="53">#REF!</definedName>
    <definedName name="Bsheet">#REF!</definedName>
    <definedName name="BU">'[31]Drop Down List'!$B$1:$B$43</definedName>
    <definedName name="C_" localSheetId="33">#REF!</definedName>
    <definedName name="C_" localSheetId="52">#REF!</definedName>
    <definedName name="C_" localSheetId="6">#REF!</definedName>
    <definedName name="C_" localSheetId="51">#REF!</definedName>
    <definedName name="C_" localSheetId="53">#REF!</definedName>
    <definedName name="C_">#REF!</definedName>
    <definedName name="CA" localSheetId="33">#REF!</definedName>
    <definedName name="CA" localSheetId="52">#REF!</definedName>
    <definedName name="CA" localSheetId="6">#REF!</definedName>
    <definedName name="CA" localSheetId="51">#REF!</definedName>
    <definedName name="CA" localSheetId="53">#REF!</definedName>
    <definedName name="CA">#REF!</definedName>
    <definedName name="CALC" localSheetId="33">[32]Comb!#REF!</definedName>
    <definedName name="CALC" localSheetId="52">[32]Comb!#REF!</definedName>
    <definedName name="CALC" localSheetId="5">[32]Comb!#REF!</definedName>
    <definedName name="CALC" localSheetId="6">[32]Comb!#REF!</definedName>
    <definedName name="CALC" localSheetId="7">[32]Comb!#REF!</definedName>
    <definedName name="CALC" localSheetId="8">[32]Comb!#REF!</definedName>
    <definedName name="CALC" localSheetId="47">[32]Comb!#REF!</definedName>
    <definedName name="CALC" localSheetId="53">[32]Comb!#REF!</definedName>
    <definedName name="CALC">[32]Comb!#REF!</definedName>
    <definedName name="capexentity" localSheetId="33">#REF!</definedName>
    <definedName name="capexentity" localSheetId="52">#REF!</definedName>
    <definedName name="capexentity" localSheetId="6">#REF!</definedName>
    <definedName name="capexentity" localSheetId="51">#REF!</definedName>
    <definedName name="capexentity" localSheetId="53">#REF!</definedName>
    <definedName name="capexentity">#REF!</definedName>
    <definedName name="CAPRAT">[2]Sheet2!$AS$1:$AY$51</definedName>
    <definedName name="CAT151COFTE" localSheetId="33">#REF!</definedName>
    <definedName name="CAT151COFTE" localSheetId="52">#REF!</definedName>
    <definedName name="CAT151COFTE" localSheetId="6">#REF!</definedName>
    <definedName name="CAT151COFTE" localSheetId="42">#REF!</definedName>
    <definedName name="CAT151COFTE" localSheetId="47">#REF!</definedName>
    <definedName name="CAT151COFTE">#REF!</definedName>
    <definedName name="CAT151COHR" localSheetId="33">#REF!</definedName>
    <definedName name="CAT151COHR" localSheetId="52">#REF!</definedName>
    <definedName name="CAT151COHR" localSheetId="6">#REF!</definedName>
    <definedName name="CAT151COHR" localSheetId="42">#REF!</definedName>
    <definedName name="CAT151COHR" localSheetId="47">#REF!</definedName>
    <definedName name="CAT151COHR">#REF!</definedName>
    <definedName name="CAT151CON" localSheetId="33">#REF!</definedName>
    <definedName name="CAT151CON" localSheetId="52">#REF!</definedName>
    <definedName name="CAT151CON" localSheetId="6">#REF!</definedName>
    <definedName name="CAT151CON" localSheetId="42">#REF!</definedName>
    <definedName name="CAT151CON" localSheetId="47">#REF!</definedName>
    <definedName name="CAT151CON">#REF!</definedName>
    <definedName name="CAT151CONHR" localSheetId="33">#REF!</definedName>
    <definedName name="CAT151CONHR" localSheetId="52">#REF!</definedName>
    <definedName name="CAT151CONHR" localSheetId="6">#REF!</definedName>
    <definedName name="CAT151CONHR" localSheetId="42">#REF!</definedName>
    <definedName name="CAT151CONHR" localSheetId="47">#REF!</definedName>
    <definedName name="CAT151CONHR">#REF!</definedName>
    <definedName name="CAT151LAB" localSheetId="33">#REF!</definedName>
    <definedName name="CAT151LAB" localSheetId="52">#REF!</definedName>
    <definedName name="CAT151LAB" localSheetId="6">#REF!</definedName>
    <definedName name="CAT151LAB" localSheetId="42">#REF!</definedName>
    <definedName name="CAT151LAB" localSheetId="47">#REF!</definedName>
    <definedName name="CAT151LAB">#REF!</definedName>
    <definedName name="CAT151NL" localSheetId="33">#REF!</definedName>
    <definedName name="CAT151NL" localSheetId="52">#REF!</definedName>
    <definedName name="CAT151NL" localSheetId="6">#REF!</definedName>
    <definedName name="CAT151NL" localSheetId="42">#REF!</definedName>
    <definedName name="CAT151NL" localSheetId="47">#REF!</definedName>
    <definedName name="CAT151NL">#REF!</definedName>
    <definedName name="CAT152COFTE" localSheetId="33">#REF!</definedName>
    <definedName name="CAT152COFTE" localSheetId="52">#REF!</definedName>
    <definedName name="CAT152COFTE" localSheetId="6">#REF!</definedName>
    <definedName name="CAT152COFTE" localSheetId="42">#REF!</definedName>
    <definedName name="CAT152COFTE" localSheetId="47">#REF!</definedName>
    <definedName name="CAT152COFTE">#REF!</definedName>
    <definedName name="CAT152COHR" localSheetId="33">#REF!</definedName>
    <definedName name="CAT152COHR" localSheetId="52">#REF!</definedName>
    <definedName name="CAT152COHR" localSheetId="6">#REF!</definedName>
    <definedName name="CAT152COHR" localSheetId="42">#REF!</definedName>
    <definedName name="CAT152COHR" localSheetId="47">#REF!</definedName>
    <definedName name="CAT152COHR">#REF!</definedName>
    <definedName name="CAT152CON" localSheetId="33">#REF!</definedName>
    <definedName name="CAT152CON" localSheetId="52">#REF!</definedName>
    <definedName name="CAT152CON" localSheetId="6">#REF!</definedName>
    <definedName name="CAT152CON" localSheetId="42">#REF!</definedName>
    <definedName name="CAT152CON" localSheetId="47">#REF!</definedName>
    <definedName name="CAT152CON">#REF!</definedName>
    <definedName name="CAT152CONHR" localSheetId="33">#REF!</definedName>
    <definedName name="CAT152CONHR" localSheetId="52">#REF!</definedName>
    <definedName name="CAT152CONHR" localSheetId="6">#REF!</definedName>
    <definedName name="CAT152CONHR" localSheetId="42">#REF!</definedName>
    <definedName name="CAT152CONHR" localSheetId="47">#REF!</definedName>
    <definedName name="CAT152CONHR">#REF!</definedName>
    <definedName name="CAT152LAB" localSheetId="33">#REF!</definedName>
    <definedName name="CAT152LAB" localSheetId="52">#REF!</definedName>
    <definedName name="CAT152LAB" localSheetId="6">#REF!</definedName>
    <definedName name="CAT152LAB" localSheetId="42">#REF!</definedName>
    <definedName name="CAT152LAB" localSheetId="47">#REF!</definedName>
    <definedName name="CAT152LAB">#REF!</definedName>
    <definedName name="CAT152NL" localSheetId="33">#REF!</definedName>
    <definedName name="CAT152NL" localSheetId="52">#REF!</definedName>
    <definedName name="CAT152NL" localSheetId="6">#REF!</definedName>
    <definedName name="CAT152NL" localSheetId="42">#REF!</definedName>
    <definedName name="CAT152NL" localSheetId="47">#REF!</definedName>
    <definedName name="CAT152NL">#REF!</definedName>
    <definedName name="CAT153COFTE" localSheetId="33">#REF!</definedName>
    <definedName name="CAT153COFTE" localSheetId="52">#REF!</definedName>
    <definedName name="CAT153COFTE" localSheetId="6">#REF!</definedName>
    <definedName name="CAT153COFTE" localSheetId="42">#REF!</definedName>
    <definedName name="CAT153COFTE" localSheetId="47">#REF!</definedName>
    <definedName name="CAT153COFTE">#REF!</definedName>
    <definedName name="CAT153COHR" localSheetId="33">#REF!</definedName>
    <definedName name="CAT153COHR" localSheetId="52">#REF!</definedName>
    <definedName name="CAT153COHR" localSheetId="6">#REF!</definedName>
    <definedName name="CAT153COHR" localSheetId="42">#REF!</definedName>
    <definedName name="CAT153COHR" localSheetId="47">#REF!</definedName>
    <definedName name="CAT153COHR">#REF!</definedName>
    <definedName name="CAT153CON" localSheetId="33">#REF!</definedName>
    <definedName name="CAT153CON" localSheetId="52">#REF!</definedName>
    <definedName name="CAT153CON" localSheetId="6">#REF!</definedName>
    <definedName name="CAT153CON" localSheetId="42">#REF!</definedName>
    <definedName name="CAT153CON" localSheetId="47">#REF!</definedName>
    <definedName name="CAT153CON">#REF!</definedName>
    <definedName name="CAT153CONHR" localSheetId="33">#REF!</definedName>
    <definedName name="CAT153CONHR" localSheetId="52">#REF!</definedName>
    <definedName name="CAT153CONHR" localSheetId="6">#REF!</definedName>
    <definedName name="CAT153CONHR" localSheetId="42">#REF!</definedName>
    <definedName name="CAT153CONHR" localSheetId="47">#REF!</definedName>
    <definedName name="CAT153CONHR">#REF!</definedName>
    <definedName name="CAT153LAB" localSheetId="33">#REF!</definedName>
    <definedName name="CAT153LAB" localSheetId="52">#REF!</definedName>
    <definedName name="CAT153LAB" localSheetId="6">#REF!</definedName>
    <definedName name="CAT153LAB" localSheetId="42">#REF!</definedName>
    <definedName name="CAT153LAB" localSheetId="47">#REF!</definedName>
    <definedName name="CAT153LAB">#REF!</definedName>
    <definedName name="CAT153NL" localSheetId="33">#REF!</definedName>
    <definedName name="CAT153NL" localSheetId="52">#REF!</definedName>
    <definedName name="CAT153NL" localSheetId="6">#REF!</definedName>
    <definedName name="CAT153NL" localSheetId="42">#REF!</definedName>
    <definedName name="CAT153NL" localSheetId="47">#REF!</definedName>
    <definedName name="CAT153NL">#REF!</definedName>
    <definedName name="CAT156COFTE" localSheetId="33">#REF!</definedName>
    <definedName name="CAT156COFTE" localSheetId="52">#REF!</definedName>
    <definedName name="CAT156COFTE" localSheetId="6">#REF!</definedName>
    <definedName name="CAT156COFTE" localSheetId="42">#REF!</definedName>
    <definedName name="CAT156COFTE" localSheetId="47">#REF!</definedName>
    <definedName name="CAT156COFTE">#REF!</definedName>
    <definedName name="CAT156COHR" localSheetId="33">#REF!</definedName>
    <definedName name="CAT156COHR" localSheetId="52">#REF!</definedName>
    <definedName name="CAT156COHR" localSheetId="6">#REF!</definedName>
    <definedName name="CAT156COHR" localSheetId="42">#REF!</definedName>
    <definedName name="CAT156COHR" localSheetId="47">#REF!</definedName>
    <definedName name="CAT156COHR">#REF!</definedName>
    <definedName name="CAT156CON" localSheetId="33">#REF!</definedName>
    <definedName name="CAT156CON" localSheetId="52">#REF!</definedName>
    <definedName name="CAT156CON" localSheetId="6">#REF!</definedName>
    <definedName name="CAT156CON" localSheetId="42">#REF!</definedName>
    <definedName name="CAT156CON" localSheetId="47">#REF!</definedName>
    <definedName name="CAT156CON">#REF!</definedName>
    <definedName name="CAT156CONHR" localSheetId="33">#REF!</definedName>
    <definedName name="CAT156CONHR" localSheetId="52">#REF!</definedName>
    <definedName name="CAT156CONHR" localSheetId="6">#REF!</definedName>
    <definedName name="CAT156CONHR" localSheetId="42">#REF!</definedName>
    <definedName name="CAT156CONHR" localSheetId="47">#REF!</definedName>
    <definedName name="CAT156CONHR">#REF!</definedName>
    <definedName name="CAT156LAB" localSheetId="33">#REF!</definedName>
    <definedName name="CAT156LAB" localSheetId="52">#REF!</definedName>
    <definedName name="CAT156LAB" localSheetId="6">#REF!</definedName>
    <definedName name="CAT156LAB" localSheetId="42">#REF!</definedName>
    <definedName name="CAT156LAB" localSheetId="47">#REF!</definedName>
    <definedName name="CAT156LAB">#REF!</definedName>
    <definedName name="CAT156NL" localSheetId="33">#REF!</definedName>
    <definedName name="CAT156NL" localSheetId="52">#REF!</definedName>
    <definedName name="CAT156NL" localSheetId="6">#REF!</definedName>
    <definedName name="CAT156NL" localSheetId="42">#REF!</definedName>
    <definedName name="CAT156NL" localSheetId="47">#REF!</definedName>
    <definedName name="CAT156NL">#REF!</definedName>
    <definedName name="CAT160COFTE" localSheetId="33">#REF!</definedName>
    <definedName name="CAT160COFTE" localSheetId="52">#REF!</definedName>
    <definedName name="CAT160COFTE" localSheetId="6">#REF!</definedName>
    <definedName name="CAT160COFTE" localSheetId="42">#REF!</definedName>
    <definedName name="CAT160COFTE" localSheetId="47">#REF!</definedName>
    <definedName name="CAT160COFTE">#REF!</definedName>
    <definedName name="CAT160COHR" localSheetId="33">#REF!</definedName>
    <definedName name="CAT160COHR" localSheetId="52">#REF!</definedName>
    <definedName name="CAT160COHR" localSheetId="6">#REF!</definedName>
    <definedName name="CAT160COHR" localSheetId="42">#REF!</definedName>
    <definedName name="CAT160COHR" localSheetId="47">#REF!</definedName>
    <definedName name="CAT160COHR">#REF!</definedName>
    <definedName name="CAT160CON" localSheetId="33">#REF!</definedName>
    <definedName name="CAT160CON" localSheetId="52">#REF!</definedName>
    <definedName name="CAT160CON" localSheetId="6">#REF!</definedName>
    <definedName name="CAT160CON" localSheetId="42">#REF!</definedName>
    <definedName name="CAT160CON" localSheetId="47">#REF!</definedName>
    <definedName name="CAT160CON">#REF!</definedName>
    <definedName name="CAT160CONHR" localSheetId="33">#REF!</definedName>
    <definedName name="CAT160CONHR" localSheetId="52">#REF!</definedName>
    <definedName name="CAT160CONHR" localSheetId="6">#REF!</definedName>
    <definedName name="CAT160CONHR" localSheetId="42">#REF!</definedName>
    <definedName name="CAT160CONHR" localSheetId="47">#REF!</definedName>
    <definedName name="CAT160CONHR">#REF!</definedName>
    <definedName name="CAT160LAB" localSheetId="33">#REF!</definedName>
    <definedName name="CAT160LAB" localSheetId="52">#REF!</definedName>
    <definedName name="CAT160LAB" localSheetId="6">#REF!</definedName>
    <definedName name="CAT160LAB" localSheetId="42">#REF!</definedName>
    <definedName name="CAT160LAB" localSheetId="47">#REF!</definedName>
    <definedName name="CAT160LAB">#REF!</definedName>
    <definedName name="CAT160NL" localSheetId="33">#REF!</definedName>
    <definedName name="CAT160NL" localSheetId="52">#REF!</definedName>
    <definedName name="CAT160NL" localSheetId="6">#REF!</definedName>
    <definedName name="CAT160NL" localSheetId="42">#REF!</definedName>
    <definedName name="CAT160NL" localSheetId="47">#REF!</definedName>
    <definedName name="CAT160NL">#REF!</definedName>
    <definedName name="CAT161COFTE" localSheetId="33">#REF!</definedName>
    <definedName name="CAT161COFTE" localSheetId="52">#REF!</definedName>
    <definedName name="CAT161COFTE" localSheetId="6">#REF!</definedName>
    <definedName name="CAT161COFTE" localSheetId="42">#REF!</definedName>
    <definedName name="CAT161COFTE" localSheetId="47">#REF!</definedName>
    <definedName name="CAT161COFTE">#REF!</definedName>
    <definedName name="CAT161COHR" localSheetId="33">#REF!</definedName>
    <definedName name="CAT161COHR" localSheetId="52">#REF!</definedName>
    <definedName name="CAT161COHR" localSheetId="6">#REF!</definedName>
    <definedName name="CAT161COHR" localSheetId="42">#REF!</definedName>
    <definedName name="CAT161COHR" localSheetId="47">#REF!</definedName>
    <definedName name="CAT161COHR">#REF!</definedName>
    <definedName name="CAT161CON" localSheetId="33">#REF!</definedName>
    <definedName name="CAT161CON" localSheetId="52">#REF!</definedName>
    <definedName name="CAT161CON" localSheetId="6">#REF!</definedName>
    <definedName name="CAT161CON" localSheetId="42">#REF!</definedName>
    <definedName name="CAT161CON" localSheetId="47">#REF!</definedName>
    <definedName name="CAT161CON">#REF!</definedName>
    <definedName name="CAT161CONHR" localSheetId="33">#REF!</definedName>
    <definedName name="CAT161CONHR" localSheetId="52">#REF!</definedName>
    <definedName name="CAT161CONHR" localSheetId="6">#REF!</definedName>
    <definedName name="CAT161CONHR" localSheetId="42">#REF!</definedName>
    <definedName name="CAT161CONHR" localSheetId="47">#REF!</definedName>
    <definedName name="CAT161CONHR">#REF!</definedName>
    <definedName name="CAT161LAB" localSheetId="33">#REF!</definedName>
    <definedName name="CAT161LAB" localSheetId="52">#REF!</definedName>
    <definedName name="CAT161LAB" localSheetId="6">#REF!</definedName>
    <definedName name="CAT161LAB" localSheetId="42">#REF!</definedName>
    <definedName name="CAT161LAB" localSheetId="47">#REF!</definedName>
    <definedName name="CAT161LAB">#REF!</definedName>
    <definedName name="CAT161NL" localSheetId="33">#REF!</definedName>
    <definedName name="CAT161NL" localSheetId="52">#REF!</definedName>
    <definedName name="CAT161NL" localSheetId="6">#REF!</definedName>
    <definedName name="CAT161NL" localSheetId="42">#REF!</definedName>
    <definedName name="CAT161NL" localSheetId="47">#REF!</definedName>
    <definedName name="CAT161NL">#REF!</definedName>
    <definedName name="CAT165COFTE" localSheetId="33">#REF!</definedName>
    <definedName name="CAT165COFTE" localSheetId="52">#REF!</definedName>
    <definedName name="CAT165COFTE" localSheetId="6">#REF!</definedName>
    <definedName name="CAT165COFTE" localSheetId="42">#REF!</definedName>
    <definedName name="CAT165COFTE" localSheetId="47">#REF!</definedName>
    <definedName name="CAT165COFTE">#REF!</definedName>
    <definedName name="CAT165COHR" localSheetId="33">#REF!</definedName>
    <definedName name="CAT165COHR" localSheetId="52">#REF!</definedName>
    <definedName name="CAT165COHR" localSheetId="6">#REF!</definedName>
    <definedName name="CAT165COHR" localSheetId="42">#REF!</definedName>
    <definedName name="CAT165COHR" localSheetId="47">#REF!</definedName>
    <definedName name="CAT165COHR">#REF!</definedName>
    <definedName name="CAT165CON" localSheetId="33">#REF!</definedName>
    <definedName name="CAT165CON" localSheetId="52">#REF!</definedName>
    <definedName name="CAT165CON" localSheetId="6">#REF!</definedName>
    <definedName name="CAT165CON" localSheetId="42">#REF!</definedName>
    <definedName name="CAT165CON" localSheetId="47">#REF!</definedName>
    <definedName name="CAT165CON">#REF!</definedName>
    <definedName name="CAT165CONHR" localSheetId="33">#REF!</definedName>
    <definedName name="CAT165CONHR" localSheetId="52">#REF!</definedName>
    <definedName name="CAT165CONHR" localSheetId="6">#REF!</definedName>
    <definedName name="CAT165CONHR" localSheetId="42">#REF!</definedName>
    <definedName name="CAT165CONHR" localSheetId="47">#REF!</definedName>
    <definedName name="CAT165CONHR">#REF!</definedName>
    <definedName name="CAT165LAB" localSheetId="33">#REF!</definedName>
    <definedName name="CAT165LAB" localSheetId="52">#REF!</definedName>
    <definedName name="CAT165LAB" localSheetId="6">#REF!</definedName>
    <definedName name="CAT165LAB" localSheetId="42">#REF!</definedName>
    <definedName name="CAT165LAB" localSheetId="47">#REF!</definedName>
    <definedName name="CAT165LAB">#REF!</definedName>
    <definedName name="CAT165NL" localSheetId="33">#REF!</definedName>
    <definedName name="CAT165NL" localSheetId="52">#REF!</definedName>
    <definedName name="CAT165NL" localSheetId="6">#REF!</definedName>
    <definedName name="CAT165NL" localSheetId="42">#REF!</definedName>
    <definedName name="CAT165NL" localSheetId="47">#REF!</definedName>
    <definedName name="CAT165NL">#REF!</definedName>
    <definedName name="CAT252COFTE" localSheetId="33">#REF!</definedName>
    <definedName name="CAT252COFTE" localSheetId="52">#REF!</definedName>
    <definedName name="CAT252COFTE" localSheetId="6">#REF!</definedName>
    <definedName name="CAT252COFTE" localSheetId="42">#REF!</definedName>
    <definedName name="CAT252COFTE" localSheetId="47">#REF!</definedName>
    <definedName name="CAT252COFTE">#REF!</definedName>
    <definedName name="CAT252COHR" localSheetId="33">#REF!</definedName>
    <definedName name="CAT252COHR" localSheetId="52">#REF!</definedName>
    <definedName name="CAT252COHR" localSheetId="6">#REF!</definedName>
    <definedName name="CAT252COHR" localSheetId="42">#REF!</definedName>
    <definedName name="CAT252COHR" localSheetId="47">#REF!</definedName>
    <definedName name="CAT252COHR">#REF!</definedName>
    <definedName name="CAT252CON" localSheetId="33">#REF!</definedName>
    <definedName name="CAT252CON" localSheetId="52">#REF!</definedName>
    <definedName name="CAT252CON" localSheetId="6">#REF!</definedName>
    <definedName name="CAT252CON" localSheetId="42">#REF!</definedName>
    <definedName name="CAT252CON" localSheetId="47">#REF!</definedName>
    <definedName name="CAT252CON">#REF!</definedName>
    <definedName name="CAT252CONHR" localSheetId="33">#REF!</definedName>
    <definedName name="CAT252CONHR" localSheetId="52">#REF!</definedName>
    <definedName name="CAT252CONHR" localSheetId="6">#REF!</definedName>
    <definedName name="CAT252CONHR" localSheetId="42">#REF!</definedName>
    <definedName name="CAT252CONHR" localSheetId="47">#REF!</definedName>
    <definedName name="CAT252CONHR">#REF!</definedName>
    <definedName name="CAT252LAB" localSheetId="33">#REF!</definedName>
    <definedName name="CAT252LAB" localSheetId="52">#REF!</definedName>
    <definedName name="CAT252LAB" localSheetId="6">#REF!</definedName>
    <definedName name="CAT252LAB" localSheetId="42">#REF!</definedName>
    <definedName name="CAT252LAB" localSheetId="47">#REF!</definedName>
    <definedName name="CAT252LAB">#REF!</definedName>
    <definedName name="CAT252NL" localSheetId="33">#REF!</definedName>
    <definedName name="CAT252NL" localSheetId="52">#REF!</definedName>
    <definedName name="CAT252NL" localSheetId="6">#REF!</definedName>
    <definedName name="CAT252NL" localSheetId="42">#REF!</definedName>
    <definedName name="CAT252NL" localSheetId="47">#REF!</definedName>
    <definedName name="CAT252NL">#REF!</definedName>
    <definedName name="CAT253COFTE" localSheetId="33">#REF!</definedName>
    <definedName name="CAT253COFTE" localSheetId="52">#REF!</definedName>
    <definedName name="CAT253COFTE" localSheetId="6">#REF!</definedName>
    <definedName name="CAT253COFTE" localSheetId="42">#REF!</definedName>
    <definedName name="CAT253COFTE" localSheetId="47">#REF!</definedName>
    <definedName name="CAT253COFTE">#REF!</definedName>
    <definedName name="CAT253COHR" localSheetId="33">#REF!</definedName>
    <definedName name="CAT253COHR" localSheetId="52">#REF!</definedName>
    <definedName name="CAT253COHR" localSheetId="6">#REF!</definedName>
    <definedName name="CAT253COHR" localSheetId="42">#REF!</definedName>
    <definedName name="CAT253COHR" localSheetId="47">#REF!</definedName>
    <definedName name="CAT253COHR">#REF!</definedName>
    <definedName name="CAT253CON" localSheetId="33">#REF!</definedName>
    <definedName name="CAT253CON" localSheetId="52">#REF!</definedName>
    <definedName name="CAT253CON" localSheetId="6">#REF!</definedName>
    <definedName name="CAT253CON" localSheetId="42">#REF!</definedName>
    <definedName name="CAT253CON" localSheetId="47">#REF!</definedName>
    <definedName name="CAT253CON">#REF!</definedName>
    <definedName name="CAT253CONHR" localSheetId="33">#REF!</definedName>
    <definedName name="CAT253CONHR" localSheetId="52">#REF!</definedName>
    <definedName name="CAT253CONHR" localSheetId="6">#REF!</definedName>
    <definedName name="CAT253CONHR" localSheetId="42">#REF!</definedName>
    <definedName name="CAT253CONHR" localSheetId="47">#REF!</definedName>
    <definedName name="CAT253CONHR">#REF!</definedName>
    <definedName name="CAT253LAB" localSheetId="33">#REF!</definedName>
    <definedName name="CAT253LAB" localSheetId="52">#REF!</definedName>
    <definedName name="CAT253LAB" localSheetId="6">#REF!</definedName>
    <definedName name="CAT253LAB" localSheetId="42">#REF!</definedName>
    <definedName name="CAT253LAB" localSheetId="47">#REF!</definedName>
    <definedName name="CAT253LAB">#REF!</definedName>
    <definedName name="CAT253NL" localSheetId="33">#REF!</definedName>
    <definedName name="CAT253NL" localSheetId="52">#REF!</definedName>
    <definedName name="CAT253NL" localSheetId="6">#REF!</definedName>
    <definedName name="CAT253NL" localSheetId="42">#REF!</definedName>
    <definedName name="CAT253NL" localSheetId="47">#REF!</definedName>
    <definedName name="CAT253NL">#REF!</definedName>
    <definedName name="CAT255COFTE" localSheetId="33">#REF!</definedName>
    <definedName name="CAT255COFTE" localSheetId="52">#REF!</definedName>
    <definedName name="CAT255COFTE" localSheetId="6">#REF!</definedName>
    <definedName name="CAT255COFTE" localSheetId="42">#REF!</definedName>
    <definedName name="CAT255COFTE" localSheetId="47">#REF!</definedName>
    <definedName name="CAT255COFTE">#REF!</definedName>
    <definedName name="CAT255COHR" localSheetId="33">#REF!</definedName>
    <definedName name="CAT255COHR" localSheetId="52">#REF!</definedName>
    <definedName name="CAT255COHR" localSheetId="6">#REF!</definedName>
    <definedName name="CAT255COHR" localSheetId="42">#REF!</definedName>
    <definedName name="CAT255COHR" localSheetId="47">#REF!</definedName>
    <definedName name="CAT255COHR">#REF!</definedName>
    <definedName name="CAT255CON" localSheetId="33">#REF!</definedName>
    <definedName name="CAT255CON" localSheetId="52">#REF!</definedName>
    <definedName name="CAT255CON" localSheetId="6">#REF!</definedName>
    <definedName name="CAT255CON" localSheetId="42">#REF!</definedName>
    <definedName name="CAT255CON" localSheetId="47">#REF!</definedName>
    <definedName name="CAT255CON">#REF!</definedName>
    <definedName name="CAT255CONHR" localSheetId="33">#REF!</definedName>
    <definedName name="CAT255CONHR" localSheetId="52">#REF!</definedName>
    <definedName name="CAT255CONHR" localSheetId="6">#REF!</definedName>
    <definedName name="CAT255CONHR" localSheetId="42">#REF!</definedName>
    <definedName name="CAT255CONHR" localSheetId="47">#REF!</definedName>
    <definedName name="CAT255CONHR">#REF!</definedName>
    <definedName name="CAT255LAB" localSheetId="33">#REF!</definedName>
    <definedName name="CAT255LAB" localSheetId="52">#REF!</definedName>
    <definedName name="CAT255LAB" localSheetId="6">#REF!</definedName>
    <definedName name="CAT255LAB" localSheetId="42">#REF!</definedName>
    <definedName name="CAT255LAB" localSheetId="47">#REF!</definedName>
    <definedName name="CAT255LAB">#REF!</definedName>
    <definedName name="CAT255NL" localSheetId="33">#REF!</definedName>
    <definedName name="CAT255NL" localSheetId="52">#REF!</definedName>
    <definedName name="CAT255NL" localSheetId="6">#REF!</definedName>
    <definedName name="CAT255NL" localSheetId="42">#REF!</definedName>
    <definedName name="CAT255NL" localSheetId="47">#REF!</definedName>
    <definedName name="CAT255NL">#REF!</definedName>
    <definedName name="category" localSheetId="33">#REF!</definedName>
    <definedName name="category" localSheetId="52">#REF!</definedName>
    <definedName name="category" localSheetId="6">#REF!</definedName>
    <definedName name="category" localSheetId="51">#REF!</definedName>
    <definedName name="category" localSheetId="53">#REF!</definedName>
    <definedName name="category">#REF!</definedName>
    <definedName name="CF_2" localSheetId="33">'[33]SCG CF_actual'!#REF!</definedName>
    <definedName name="CF_2" localSheetId="52">'[33]SCG CF_actual'!#REF!</definedName>
    <definedName name="CF_2" localSheetId="6">'[33]SCG CF_actual'!#REF!</definedName>
    <definedName name="CF_2" localSheetId="51">'[33]SCG CF_actual'!#REF!</definedName>
    <definedName name="CF_2" localSheetId="53">'[33]SCG CF_actual'!#REF!</definedName>
    <definedName name="CF_2">'[33]SCG CF_actual'!#REF!</definedName>
    <definedName name="CF_3" localSheetId="33">'[33]SCG CF_actual'!#REF!</definedName>
    <definedName name="CF_3" localSheetId="52">'[33]SCG CF_actual'!#REF!</definedName>
    <definedName name="CF_3" localSheetId="6">'[33]SCG CF_actual'!#REF!</definedName>
    <definedName name="CF_3" localSheetId="51">'[33]SCG CF_actual'!#REF!</definedName>
    <definedName name="CF_3" localSheetId="53">'[33]SCG CF_actual'!#REF!</definedName>
    <definedName name="CF_3">'[33]SCG CF_actual'!#REF!</definedName>
    <definedName name="CF_4" localSheetId="33">'[33]SCG CF_actual'!#REF!</definedName>
    <definedName name="CF_4" localSheetId="52">'[33]SCG CF_actual'!#REF!</definedName>
    <definedName name="CF_4" localSheetId="6">'[33]SCG CF_actual'!#REF!</definedName>
    <definedName name="CF_4" localSheetId="51">'[33]SCG CF_actual'!#REF!</definedName>
    <definedName name="CF_4" localSheetId="53">'[33]SCG CF_actual'!#REF!</definedName>
    <definedName name="CF_4">'[33]SCG CF_actual'!#REF!</definedName>
    <definedName name="cfentity" localSheetId="33">#REF!</definedName>
    <definedName name="cfentity" localSheetId="52">#REF!</definedName>
    <definedName name="cfentity" localSheetId="6">#REF!</definedName>
    <definedName name="cfentity" localSheetId="51">#REF!</definedName>
    <definedName name="cfentity" localSheetId="53">#REF!</definedName>
    <definedName name="cfentity">#REF!</definedName>
    <definedName name="Chart">"Chart 3"</definedName>
    <definedName name="Company" localSheetId="37">[34]Sheet2!$D$3:$D$4</definedName>
    <definedName name="Company" localSheetId="52">[34]Sheet2!$D$3:$D$4</definedName>
    <definedName name="Company" localSheetId="5">[34]Sheet2!$D$3:$D$4</definedName>
    <definedName name="Company" localSheetId="51">[35]Sheet2!$D$3:$D$4</definedName>
    <definedName name="Company" localSheetId="53">[35]Sheet2!$D$3:$D$4</definedName>
    <definedName name="Company" localSheetId="57">[34]Sheet2!$D$3:$D$4</definedName>
    <definedName name="Company">[36]Sheet2!$D$3:$D$4</definedName>
    <definedName name="CompanyA" localSheetId="19">#REF!</definedName>
    <definedName name="CompanyA" localSheetId="33">#REF!</definedName>
    <definedName name="CompanyA" localSheetId="37">#REF!</definedName>
    <definedName name="CompanyA" localSheetId="52">#REF!</definedName>
    <definedName name="CompanyA" localSheetId="5">#REF!</definedName>
    <definedName name="CompanyA" localSheetId="6">#REF!</definedName>
    <definedName name="CompanyA">#REF!</definedName>
    <definedName name="CompanyColumn" localSheetId="33">#REF!</definedName>
    <definedName name="CompanyColumn" localSheetId="52">#REF!</definedName>
    <definedName name="CompanyColumn" localSheetId="6">#REF!</definedName>
    <definedName name="CompanyColumn" localSheetId="53">#REF!</definedName>
    <definedName name="CompanyColumn">#REF!</definedName>
    <definedName name="CompanyList" localSheetId="33">#REF!</definedName>
    <definedName name="CompanyList" localSheetId="52">#REF!</definedName>
    <definedName name="CompanyList" localSheetId="6">#REF!</definedName>
    <definedName name="CompanyList" localSheetId="53">#REF!</definedName>
    <definedName name="CompanyList">#REF!</definedName>
    <definedName name="CompanyStart" localSheetId="33">#REF!</definedName>
    <definedName name="CompanyStart" localSheetId="52">#REF!</definedName>
    <definedName name="CompanyStart" localSheetId="6">#REF!</definedName>
    <definedName name="CompanyStart" localSheetId="53">#REF!</definedName>
    <definedName name="CompanyStart">#REF!</definedName>
    <definedName name="COMPUT">[2]Sheet2!$AB$1:$AP$43</definedName>
    <definedName name="COMPUT2">[2]Sheet2!$K$1:$S$39</definedName>
    <definedName name="ConsolidationRange" localSheetId="19">#REF!</definedName>
    <definedName name="ConsolidationRange" localSheetId="33">#REF!</definedName>
    <definedName name="ConsolidationRange" localSheetId="37">#REF!</definedName>
    <definedName name="ConsolidationRange" localSheetId="52">#REF!</definedName>
    <definedName name="ConsolidationRange" localSheetId="5">#REF!</definedName>
    <definedName name="ConsolidationRange" localSheetId="6">#REF!</definedName>
    <definedName name="ConsolidationRange">#REF!</definedName>
    <definedName name="Costs" localSheetId="37">[34]Sheet2!$F$3:$F$4</definedName>
    <definedName name="Costs" localSheetId="52">[34]Sheet2!$F$3:$F$4</definedName>
    <definedName name="Costs" localSheetId="5">#REF!</definedName>
    <definedName name="Costs" localSheetId="7">#REF!</definedName>
    <definedName name="Costs" localSheetId="8">#REF!</definedName>
    <definedName name="Costs" localSheetId="51">#REF!</definedName>
    <definedName name="Costs" localSheetId="53">#REF!</definedName>
    <definedName name="Costs" localSheetId="57">[34]Sheet2!$F$3:$F$4</definedName>
    <definedName name="Costs">[36]Sheet2!$F$3:$F$4</definedName>
    <definedName name="_xlnm.Criteria" localSheetId="33">'[18]CAP ADJ'!#REF!</definedName>
    <definedName name="_xlnm.Criteria" localSheetId="37">'[19]CAP ADJ'!#REF!</definedName>
    <definedName name="_xlnm.Criteria" localSheetId="52">'[19]CAP ADJ'!#REF!</definedName>
    <definedName name="_xlnm.Criteria" localSheetId="5">#REF!</definedName>
    <definedName name="_xlnm.Criteria" localSheetId="6">'[18]CAP ADJ'!#REF!</definedName>
    <definedName name="_xlnm.Criteria" localSheetId="7">#REF!</definedName>
    <definedName name="_xlnm.Criteria" localSheetId="8">#REF!</definedName>
    <definedName name="_xlnm.Criteria" localSheetId="42">'[18]CAP ADJ'!#REF!</definedName>
    <definedName name="_xlnm.Criteria" localSheetId="47">'[18]CAP ADJ'!#REF!</definedName>
    <definedName name="_xlnm.Criteria" localSheetId="51">'[20]CAP ADJ'!#REF!</definedName>
    <definedName name="_xlnm.Criteria" localSheetId="53">'[20]CAP ADJ'!#REF!</definedName>
    <definedName name="_xlnm.Criteria" localSheetId="57">'[19]CAP ADJ'!#REF!</definedName>
    <definedName name="_xlnm.Criteria">'[18]CAP ADJ'!#REF!</definedName>
    <definedName name="criteria_dc_date">[37]Data_Criteria!$C$8</definedName>
    <definedName name="criteria_dc_username">[37]Data_Criteria!$C$9</definedName>
    <definedName name="criteria_e1_date" localSheetId="19">[37]Data_Criteria!#REF!</definedName>
    <definedName name="criteria_e1_date" localSheetId="33">[37]Data_Criteria!#REF!</definedName>
    <definedName name="criteria_e1_date" localSheetId="37">[37]Data_Criteria!#REF!</definedName>
    <definedName name="criteria_e1_date" localSheetId="52">[37]Data_Criteria!#REF!</definedName>
    <definedName name="criteria_e1_date" localSheetId="5">[37]Data_Criteria!#REF!</definedName>
    <definedName name="criteria_e1_date" localSheetId="6">[37]Data_Criteria!#REF!</definedName>
    <definedName name="criteria_e1_date" localSheetId="57">[37]Data_Criteria!#REF!</definedName>
    <definedName name="criteria_e1_date">[37]Data_Criteria!#REF!</definedName>
    <definedName name="criteria_e1_text" localSheetId="33">[37]Data_Criteria!#REF!</definedName>
    <definedName name="criteria_e1_text" localSheetId="52">[37]Data_Criteria!#REF!</definedName>
    <definedName name="criteria_e1_text" localSheetId="6">[37]Data_Criteria!#REF!</definedName>
    <definedName name="criteria_e1_text">[37]Data_Criteria!#REF!</definedName>
    <definedName name="criteria_e1_username" localSheetId="33">[37]Data_Criteria!#REF!</definedName>
    <definedName name="criteria_e1_username" localSheetId="52">[37]Data_Criteria!#REF!</definedName>
    <definedName name="criteria_e1_username" localSheetId="6">[37]Data_Criteria!#REF!</definedName>
    <definedName name="criteria_e1_username">[37]Data_Criteria!#REF!</definedName>
    <definedName name="Criteria_MI" localSheetId="33">'[18]CAP ADJ'!#REF!</definedName>
    <definedName name="Criteria_MI" localSheetId="37">'[19]CAP ADJ'!#REF!</definedName>
    <definedName name="Criteria_MI" localSheetId="52">'[19]CAP ADJ'!#REF!</definedName>
    <definedName name="Criteria_MI" localSheetId="5">'[19]CAP ADJ'!#REF!</definedName>
    <definedName name="Criteria_MI" localSheetId="6">'[18]CAP ADJ'!#REF!</definedName>
    <definedName name="Criteria_MI" localSheetId="42">'[18]CAP ADJ'!#REF!</definedName>
    <definedName name="Criteria_MI" localSheetId="47">'[18]CAP ADJ'!#REF!</definedName>
    <definedName name="Criteria_MI" localSheetId="51">'[20]CAP ADJ'!#REF!</definedName>
    <definedName name="Criteria_MI" localSheetId="53">'[20]CAP ADJ'!#REF!</definedName>
    <definedName name="Criteria_MI" localSheetId="57">'[19]CAP ADJ'!#REF!</definedName>
    <definedName name="Criteria_MI">'[18]CAP ADJ'!#REF!</definedName>
    <definedName name="d" localSheetId="19" hidden="1">{#N/A,#N/A,TRUE,"SDGE";#N/A,#N/A,TRUE,"GBU";#N/A,#N/A,TRUE,"TBU";#N/A,#N/A,TRUE,"EDBU";#N/A,#N/A,TRUE,"ExclCC"}</definedName>
    <definedName name="d" localSheetId="36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41" hidden="1">{#N/A,#N/A,TRUE,"SDGE";#N/A,#N/A,TRUE,"GBU";#N/A,#N/A,TRUE,"TBU";#N/A,#N/A,TRUE,"EDBU";#N/A,#N/A,TRUE,"ExclCC"}</definedName>
    <definedName name="d" localSheetId="52" hidden="1">{#N/A,#N/A,TRUE,"SDGE";#N/A,#N/A,TRUE,"GBU";#N/A,#N/A,TRUE,"TBU";#N/A,#N/A,TRUE,"EDBU";#N/A,#N/A,TRUE,"ExclCC"}</definedName>
    <definedName name="d" localSheetId="5" hidden="1">{#N/A,#N/A,TRUE,"SDGE";#N/A,#N/A,TRUE,"GBU";#N/A,#N/A,TRUE,"TBU";#N/A,#N/A,TRUE,"EDBU";#N/A,#N/A,TRUE,"ExclCC"}</definedName>
    <definedName name="D" localSheetId="47">#REF!</definedName>
    <definedName name="D" localSheetId="51">#REF!</definedName>
    <definedName name="D" localSheetId="53">#REF!</definedName>
    <definedName name="d" localSheetId="57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TA1" localSheetId="33">#REF!</definedName>
    <definedName name="DATA1" localSheetId="52">#REF!</definedName>
    <definedName name="DATA1" localSheetId="6">#REF!</definedName>
    <definedName name="DATA1" localSheetId="42">#REF!</definedName>
    <definedName name="DATA1" localSheetId="47">#REF!</definedName>
    <definedName name="DATA1" localSheetId="53">#REF!</definedName>
    <definedName name="DATA1">#REF!</definedName>
    <definedName name="DATA10" localSheetId="33">#REF!</definedName>
    <definedName name="DATA10" localSheetId="52">#REF!</definedName>
    <definedName name="DATA10" localSheetId="6">#REF!</definedName>
    <definedName name="DATA10">#REF!</definedName>
    <definedName name="DATA11" localSheetId="33">#REF!</definedName>
    <definedName name="DATA11" localSheetId="52">#REF!</definedName>
    <definedName name="DATA11" localSheetId="6">#REF!</definedName>
    <definedName name="DATA11">#REF!</definedName>
    <definedName name="DATA12" localSheetId="33">#REF!</definedName>
    <definedName name="DATA12" localSheetId="52">#REF!</definedName>
    <definedName name="DATA12" localSheetId="6">#REF!</definedName>
    <definedName name="DATA12">#REF!</definedName>
    <definedName name="DATA13" localSheetId="33">#REF!</definedName>
    <definedName name="DATA13" localSheetId="52">#REF!</definedName>
    <definedName name="DATA13" localSheetId="6">#REF!</definedName>
    <definedName name="DATA13">#REF!</definedName>
    <definedName name="DATA14" localSheetId="33">#REF!</definedName>
    <definedName name="DATA14" localSheetId="52">#REF!</definedName>
    <definedName name="DATA14" localSheetId="6">#REF!</definedName>
    <definedName name="DATA14">#REF!</definedName>
    <definedName name="DATA15" localSheetId="33">#REF!</definedName>
    <definedName name="DATA15" localSheetId="52">#REF!</definedName>
    <definedName name="DATA15" localSheetId="6">#REF!</definedName>
    <definedName name="DATA15">#REF!</definedName>
    <definedName name="DATA16" localSheetId="33">#REF!</definedName>
    <definedName name="DATA16" localSheetId="52">#REF!</definedName>
    <definedName name="DATA16" localSheetId="6">#REF!</definedName>
    <definedName name="DATA16">#REF!</definedName>
    <definedName name="DATA17" localSheetId="33">#REF!</definedName>
    <definedName name="DATA17" localSheetId="52">#REF!</definedName>
    <definedName name="DATA17" localSheetId="6">#REF!</definedName>
    <definedName name="DATA17">#REF!</definedName>
    <definedName name="DATA18" localSheetId="33">#REF!</definedName>
    <definedName name="DATA18" localSheetId="52">#REF!</definedName>
    <definedName name="DATA18" localSheetId="6">#REF!</definedName>
    <definedName name="DATA18">#REF!</definedName>
    <definedName name="DATA19" localSheetId="33">#REF!</definedName>
    <definedName name="DATA19" localSheetId="52">#REF!</definedName>
    <definedName name="DATA19" localSheetId="6">#REF!</definedName>
    <definedName name="DATA19">#REF!</definedName>
    <definedName name="DATA2" localSheetId="33">#REF!</definedName>
    <definedName name="DATA2" localSheetId="52">#REF!</definedName>
    <definedName name="DATA2" localSheetId="6">#REF!</definedName>
    <definedName name="DATA2" localSheetId="42">#REF!</definedName>
    <definedName name="DATA2" localSheetId="47">#REF!</definedName>
    <definedName name="DATA2" localSheetId="53">#REF!</definedName>
    <definedName name="DATA2">#REF!</definedName>
    <definedName name="DATA20" localSheetId="33">#REF!</definedName>
    <definedName name="DATA20" localSheetId="52">#REF!</definedName>
    <definedName name="DATA20" localSheetId="6">#REF!</definedName>
    <definedName name="DATA20">#REF!</definedName>
    <definedName name="DATA21" localSheetId="33">#REF!</definedName>
    <definedName name="DATA21" localSheetId="52">#REF!</definedName>
    <definedName name="DATA21" localSheetId="6">#REF!</definedName>
    <definedName name="DATA21">#REF!</definedName>
    <definedName name="DATA22" localSheetId="33">#REF!</definedName>
    <definedName name="DATA22" localSheetId="52">#REF!</definedName>
    <definedName name="DATA22" localSheetId="6">#REF!</definedName>
    <definedName name="DATA22">#REF!</definedName>
    <definedName name="DATA3" localSheetId="33">#REF!</definedName>
    <definedName name="DATA3" localSheetId="52">#REF!</definedName>
    <definedName name="DATA3" localSheetId="6">#REF!</definedName>
    <definedName name="DATA3" localSheetId="42">#REF!</definedName>
    <definedName name="DATA3" localSheetId="47">#REF!</definedName>
    <definedName name="DATA3" localSheetId="53">#REF!</definedName>
    <definedName name="DATA3">#REF!</definedName>
    <definedName name="DATA4" localSheetId="33">#REF!</definedName>
    <definedName name="DATA4" localSheetId="52">#REF!</definedName>
    <definedName name="DATA4" localSheetId="6">#REF!</definedName>
    <definedName name="DATA4" localSheetId="53">#REF!</definedName>
    <definedName name="DATA4">#REF!</definedName>
    <definedName name="DATA5" localSheetId="33">#REF!</definedName>
    <definedName name="DATA5" localSheetId="52">#REF!</definedName>
    <definedName name="DATA5" localSheetId="6">#REF!</definedName>
    <definedName name="DATA5" localSheetId="53">#REF!</definedName>
    <definedName name="DATA5">#REF!</definedName>
    <definedName name="DATA6" localSheetId="33">#REF!</definedName>
    <definedName name="DATA6" localSheetId="52">#REF!</definedName>
    <definedName name="DATA6" localSheetId="6">#REF!</definedName>
    <definedName name="DATA6" localSheetId="53">#REF!</definedName>
    <definedName name="DATA6">#REF!</definedName>
    <definedName name="DATA7" localSheetId="33">#REF!</definedName>
    <definedName name="DATA7" localSheetId="52">#REF!</definedName>
    <definedName name="DATA7" localSheetId="6">#REF!</definedName>
    <definedName name="DATA7" localSheetId="53">#REF!</definedName>
    <definedName name="DATA7">#REF!</definedName>
    <definedName name="DATA8" localSheetId="33">#REF!</definedName>
    <definedName name="DATA8" localSheetId="52">#REF!</definedName>
    <definedName name="DATA8" localSheetId="6">#REF!</definedName>
    <definedName name="DATA8" localSheetId="53">#REF!</definedName>
    <definedName name="DATA8">#REF!</definedName>
    <definedName name="DATA9" localSheetId="33">#REF!</definedName>
    <definedName name="DATA9" localSheetId="52">#REF!</definedName>
    <definedName name="DATA9" localSheetId="6">#REF!</definedName>
    <definedName name="DATA9" localSheetId="53">#REF!</definedName>
    <definedName name="DATA9">#REF!</definedName>
    <definedName name="DCHART4" localSheetId="33" hidden="1">#REF!</definedName>
    <definedName name="DCHART4" localSheetId="52" hidden="1">#REF!</definedName>
    <definedName name="DCHART4" localSheetId="6" hidden="1">#REF!</definedName>
    <definedName name="DCHART4" hidden="1">#REF!</definedName>
    <definedName name="dd" localSheetId="33" hidden="1">[38]A!#REF!</definedName>
    <definedName name="dd" localSheetId="52" hidden="1">[38]A!#REF!</definedName>
    <definedName name="dd" localSheetId="6" hidden="1">[38]A!#REF!</definedName>
    <definedName name="dd" hidden="1">[38]A!#REF!</definedName>
    <definedName name="dddd" localSheetId="33" hidden="1">[38]A!#REF!</definedName>
    <definedName name="dddd" localSheetId="52" hidden="1">[38]A!#REF!</definedName>
    <definedName name="dddd" localSheetId="6" hidden="1">[38]A!#REF!</definedName>
    <definedName name="dddd" hidden="1">[38]A!#REF!</definedName>
    <definedName name="DEMAND_FORECAST">[24]D2_Bal_Act:D!$A$5:$B$261</definedName>
    <definedName name="DETAIL" localSheetId="33">#REF!</definedName>
    <definedName name="DETAIL" localSheetId="52">#REF!</definedName>
    <definedName name="DETAIL" localSheetId="6">#REF!</definedName>
    <definedName name="DETAIL" localSheetId="51">#REF!</definedName>
    <definedName name="DETAIL" localSheetId="53">#REF!</definedName>
    <definedName name="DETAIL">#REF!</definedName>
    <definedName name="DF_GRID_1" localSheetId="19">Total Labor [39]Coin!$F$15:$H$63</definedName>
    <definedName name="DF_GRID_1" localSheetId="33">Total Labor [39]Coin!$F$15:$H$63</definedName>
    <definedName name="DF_GRID_1" localSheetId="36">Total Labor [39]Coin!$F$15:$H$63</definedName>
    <definedName name="DF_GRID_1" localSheetId="37">Total Labor [39]Coin!$F$15:$H$63</definedName>
    <definedName name="DF_GRID_1" localSheetId="41">Total Labor [39]Coin!$F$15:$H$63</definedName>
    <definedName name="DF_GRID_1" localSheetId="52">Total Labor [39]Coin!$F$15:$H$63</definedName>
    <definedName name="DF_GRID_1" localSheetId="5">Total Labor [39]Coin!$F$15:$H$63</definedName>
    <definedName name="DF_GRID_1" localSheetId="6">Total Labor [39]Coin!$F$15:$H$63</definedName>
    <definedName name="DF_GRID_1" localSheetId="42">#REF!</definedName>
    <definedName name="DF_GRID_1" localSheetId="47">Total Labor [39]Coin!$F$15:$H$69</definedName>
    <definedName name="DF_GRID_1" localSheetId="53">#REF!</definedName>
    <definedName name="DF_GRID_1" localSheetId="57">Total Labor [39]Coin!$F$15:$H$63</definedName>
    <definedName name="DF_GRID_1">Total Labor [39]Coin!$F$15:$H$63</definedName>
    <definedName name="DF_NAVPANEL_13" localSheetId="33">#REF!</definedName>
    <definedName name="DF_NAVPANEL_13" localSheetId="52">#REF!</definedName>
    <definedName name="DF_NAVPANEL_13" localSheetId="6">#REF!</definedName>
    <definedName name="DF_NAVPANEL_13" localSheetId="42">#REF!</definedName>
    <definedName name="DF_NAVPANEL_13" localSheetId="47">#REF!</definedName>
    <definedName name="DF_NAVPANEL_13">#REF!</definedName>
    <definedName name="DF_NAVPANEL_18" localSheetId="33">#REF!</definedName>
    <definedName name="DF_NAVPANEL_18" localSheetId="52">#REF!</definedName>
    <definedName name="DF_NAVPANEL_18" localSheetId="6">#REF!</definedName>
    <definedName name="DF_NAVPANEL_18" localSheetId="42">#REF!</definedName>
    <definedName name="DF_NAVPANEL_18" localSheetId="47">#REF!</definedName>
    <definedName name="DF_NAVPANEL_18">#REF!</definedName>
    <definedName name="DISCNT_CONTRACT">'[24]C:D2_Bal_Act'!$A$1:$AG$203</definedName>
    <definedName name="dist" localSheetId="33">#REF!</definedName>
    <definedName name="dist" localSheetId="52">#REF!</definedName>
    <definedName name="dist" localSheetId="5">#REF!</definedName>
    <definedName name="dist" localSheetId="6">#REF!</definedName>
    <definedName name="dist" localSheetId="7">#REF!</definedName>
    <definedName name="dist" localSheetId="8">#REF!</definedName>
    <definedName name="dist" localSheetId="47">#REF!</definedName>
    <definedName name="dist" localSheetId="53">#REF!</definedName>
    <definedName name="dist">#REF!</definedName>
    <definedName name="dms" localSheetId="33">'[40]Empl&amp;Benefit Data'!#REF!</definedName>
    <definedName name="dms" localSheetId="37">'[41]Empl&amp;Benefit Data'!#REF!</definedName>
    <definedName name="dms" localSheetId="52">'[41]Empl&amp;Benefit Data'!#REF!</definedName>
    <definedName name="dms" localSheetId="5">'[41]Empl&amp;Benefit Data'!#REF!</definedName>
    <definedName name="dms" localSheetId="6">'[40]Empl&amp;Benefit Data'!#REF!</definedName>
    <definedName name="dms" localSheetId="42">'[40]Empl&amp;Benefit Data'!#REF!</definedName>
    <definedName name="dms" localSheetId="47">'[40]Empl&amp;Benefit Data'!#REF!</definedName>
    <definedName name="dms" localSheetId="51">'[42]Empl&amp;Benefit Data'!#REF!</definedName>
    <definedName name="dms" localSheetId="53">'[42]Empl&amp;Benefit Data'!#REF!</definedName>
    <definedName name="dms" localSheetId="57">'[41]Empl&amp;Benefit Data'!#REF!</definedName>
    <definedName name="dms">'[40]Empl&amp;Benefit Data'!#REF!</definedName>
    <definedName name="EDI" localSheetId="33">#REF!</definedName>
    <definedName name="EDI" localSheetId="52">#REF!</definedName>
    <definedName name="EDI" localSheetId="6">#REF!</definedName>
    <definedName name="EDI" localSheetId="51">#REF!</definedName>
    <definedName name="EDI" localSheetId="53">#REF!</definedName>
    <definedName name="EDI">#REF!</definedName>
    <definedName name="Elec" localSheetId="33">#REF!</definedName>
    <definedName name="Elec" localSheetId="52">#REF!</definedName>
    <definedName name="Elec" localSheetId="6">#REF!</definedName>
    <definedName name="Elec" localSheetId="42">#REF!</definedName>
    <definedName name="Elec" localSheetId="47">#REF!</definedName>
    <definedName name="ELEC" localSheetId="51">#REF!</definedName>
    <definedName name="ELEC" localSheetId="53">#REF!</definedName>
    <definedName name="Elec">#REF!</definedName>
    <definedName name="ELEC_AG" localSheetId="33">#REF!</definedName>
    <definedName name="ELEC_AG" localSheetId="52">#REF!</definedName>
    <definedName name="ELEC_AG" localSheetId="6">#REF!</definedName>
    <definedName name="ELEC_AG">#REF!</definedName>
    <definedName name="Electric">'[43]lookup tables'!$A$5:$C$17</definedName>
    <definedName name="Electric___NV">'[43]lookup tables'!$A$32:$C$45</definedName>
    <definedName name="EMPDATA" localSheetId="19">#REF!</definedName>
    <definedName name="EMPDATA" localSheetId="33">#REF!</definedName>
    <definedName name="EMPDATA" localSheetId="37">#REF!</definedName>
    <definedName name="EMPDATA" localSheetId="52">#REF!</definedName>
    <definedName name="EMPDATA" localSheetId="5">#REF!</definedName>
    <definedName name="EMPDATA" localSheetId="6">#REF!</definedName>
    <definedName name="EMPDATA">#REF!</definedName>
    <definedName name="entity" localSheetId="33">#REF!</definedName>
    <definedName name="entity" localSheetId="52">#REF!</definedName>
    <definedName name="entity" localSheetId="6">#REF!</definedName>
    <definedName name="entity" localSheetId="51">#REF!</definedName>
    <definedName name="entity" localSheetId="53">#REF!</definedName>
    <definedName name="entity">#REF!</definedName>
    <definedName name="entity1" localSheetId="33">#REF!</definedName>
    <definedName name="entity1" localSheetId="52">#REF!</definedName>
    <definedName name="entity1" localSheetId="6">#REF!</definedName>
    <definedName name="entity1" localSheetId="51">#REF!</definedName>
    <definedName name="entity1" localSheetId="53">#REF!</definedName>
    <definedName name="entity1">#REF!</definedName>
    <definedName name="EPI" localSheetId="33">#REF!</definedName>
    <definedName name="EPI" localSheetId="52">#REF!</definedName>
    <definedName name="EPI" localSheetId="6">#REF!</definedName>
    <definedName name="EPI" localSheetId="51">#REF!</definedName>
    <definedName name="EPI" localSheetId="53">#REF!</definedName>
    <definedName name="EPI">#REF!</definedName>
    <definedName name="EPSILON" localSheetId="33">#REF!</definedName>
    <definedName name="EPSILON" localSheetId="52">#REF!</definedName>
    <definedName name="EPSILON" localSheetId="6">#REF!</definedName>
    <definedName name="EPSILON">#REF!</definedName>
    <definedName name="ETCarveOut2008" localSheetId="33">#REF!</definedName>
    <definedName name="ETCarveOut2008" localSheetId="52">#REF!</definedName>
    <definedName name="ETCarveOut2008" localSheetId="6">#REF!</definedName>
    <definedName name="ETCarveOut2008" localSheetId="42">#REF!</definedName>
    <definedName name="ETCarveOut2008" localSheetId="47">#REF!</definedName>
    <definedName name="ETCarveOut2008">#REF!</definedName>
    <definedName name="ETI" localSheetId="33">#REF!</definedName>
    <definedName name="ETI" localSheetId="52">#REF!</definedName>
    <definedName name="ETI" localSheetId="6">#REF!</definedName>
    <definedName name="ETI" localSheetId="51">#REF!</definedName>
    <definedName name="ETI" localSheetId="53">#REF!</definedName>
    <definedName name="ETI">#REF!</definedName>
    <definedName name="FAColumn" localSheetId="33">#REF!</definedName>
    <definedName name="FAColumn" localSheetId="52">#REF!</definedName>
    <definedName name="FAColumn" localSheetId="6">#REF!</definedName>
    <definedName name="FAColumn" localSheetId="53">#REF!</definedName>
    <definedName name="FAColumn">#REF!</definedName>
    <definedName name="FAStart" localSheetId="33">#REF!</definedName>
    <definedName name="FAStart" localSheetId="52">#REF!</definedName>
    <definedName name="FAStart" localSheetId="6">#REF!</definedName>
    <definedName name="FAStart" localSheetId="53">#REF!</definedName>
    <definedName name="FAStart">#REF!</definedName>
    <definedName name="FedTaxRate" localSheetId="33">#REF!</definedName>
    <definedName name="FedTaxRate" localSheetId="52">#REF!</definedName>
    <definedName name="FedTaxRate" localSheetId="6">#REF!</definedName>
    <definedName name="FedTaxRate" localSheetId="51">#REF!</definedName>
    <definedName name="FedTaxRate" localSheetId="53">#REF!</definedName>
    <definedName name="FedTaxRate">#REF!</definedName>
    <definedName name="Fin_Plan_1293" localSheetId="33">#REF!</definedName>
    <definedName name="Fin_Plan_1293" localSheetId="52">#REF!</definedName>
    <definedName name="Fin_Plan_1293" localSheetId="6">#REF!</definedName>
    <definedName name="Fin_Plan_1293" localSheetId="51">#REF!</definedName>
    <definedName name="Fin_Plan_1293" localSheetId="53">#REF!</definedName>
    <definedName name="Fin_Plan_1293">#REF!</definedName>
    <definedName name="firstyearofservice" localSheetId="33">#REF!</definedName>
    <definedName name="firstyearofservice" localSheetId="52">#REF!</definedName>
    <definedName name="firstyearofservice" localSheetId="6">#REF!</definedName>
    <definedName name="firstyearofservice" localSheetId="51">#REF!</definedName>
    <definedName name="firstyearofservice" localSheetId="53">#REF!</definedName>
    <definedName name="firstyearofservice">#REF!</definedName>
    <definedName name="FOOTER" localSheetId="33">#REF!</definedName>
    <definedName name="FOOTER" localSheetId="52">#REF!</definedName>
    <definedName name="FOOTER" localSheetId="6">#REF!</definedName>
    <definedName name="FOOTER" localSheetId="42">#REF!</definedName>
    <definedName name="FOOTER" localSheetId="47">#REF!</definedName>
    <definedName name="FOOTER" localSheetId="51">#REF!</definedName>
    <definedName name="FOOTER" localSheetId="53">#REF!</definedName>
    <definedName name="FOOTER">#REF!</definedName>
    <definedName name="Forecast_Demands">[44]DEMANDS!$A$1:$CS$210</definedName>
    <definedName name="FORM" localSheetId="33">#REF!</definedName>
    <definedName name="FORM" localSheetId="52">#REF!</definedName>
    <definedName name="FORM" localSheetId="6">#REF!</definedName>
    <definedName name="FORM" localSheetId="51">#REF!</definedName>
    <definedName name="FORM" localSheetId="53">#REF!</definedName>
    <definedName name="FORM">#REF!</definedName>
    <definedName name="FR_AND_U">[45]D!$D$104</definedName>
    <definedName name="Frequency">'[31]Drop Down List'!$B$93:$B$110</definedName>
    <definedName name="FTDM" localSheetId="33">#REF!</definedName>
    <definedName name="FTDM" localSheetId="52">#REF!</definedName>
    <definedName name="FTDM" localSheetId="6">#REF!</definedName>
    <definedName name="FTDM" localSheetId="51">#REF!</definedName>
    <definedName name="FTDM" localSheetId="53">#REF!</definedName>
    <definedName name="FTDM">#REF!</definedName>
    <definedName name="FULL_NAME">[44]DEMANDS!$A$319:$F$334</definedName>
    <definedName name="g" localSheetId="37">'[46]lookup tables'!$A$5:$C$17</definedName>
    <definedName name="g" localSheetId="52">'[46]lookup tables'!$A$5:$C$17</definedName>
    <definedName name="g" localSheetId="5">'[46]lookup tables'!$A$5:$C$17</definedName>
    <definedName name="g" localSheetId="57">'[46]lookup tables'!$A$5:$C$17</definedName>
    <definedName name="g">'[47]lookup tables'!$A$5:$C$17</definedName>
    <definedName name="Gas" localSheetId="33">#REF!</definedName>
    <definedName name="Gas" localSheetId="52">#REF!</definedName>
    <definedName name="Gas" localSheetId="6">#REF!</definedName>
    <definedName name="Gas" localSheetId="42">#REF!</definedName>
    <definedName name="Gas" localSheetId="47">#REF!</definedName>
    <definedName name="gas" localSheetId="51">#REF!</definedName>
    <definedName name="gas" localSheetId="53">#REF!</definedName>
    <definedName name="Gas">#REF!</definedName>
    <definedName name="gaselec" localSheetId="33">#REF!</definedName>
    <definedName name="gaselec" localSheetId="52">#REF!</definedName>
    <definedName name="gaselec" localSheetId="5">#REF!</definedName>
    <definedName name="gaselec" localSheetId="6">#REF!</definedName>
    <definedName name="gaselec" localSheetId="7">#REF!</definedName>
    <definedName name="gaselec" localSheetId="8">#REF!</definedName>
    <definedName name="gaselec" localSheetId="47">#REF!</definedName>
    <definedName name="gaselec" localSheetId="53">#REF!</definedName>
    <definedName name="gaselec">#REF!</definedName>
    <definedName name="h" localSheetId="19">{"'Summary'!$A$1:$J$24"}</definedName>
    <definedName name="h" localSheetId="37">{"'Summary'!$A$1:$J$24"}</definedName>
    <definedName name="h" localSheetId="52">{"'Summary'!$A$1:$J$24"}</definedName>
    <definedName name="h" localSheetId="57">{"'Summary'!$A$1:$J$24"}</definedName>
    <definedName name="h">{"'Summary'!$A$1:$J$24"}</definedName>
    <definedName name="h_1" localSheetId="19">{"'Summary'!$A$1:$J$24"}</definedName>
    <definedName name="h_1" localSheetId="37">{"'Summary'!$A$1:$J$24"}</definedName>
    <definedName name="h_1" localSheetId="52">{"'Summary'!$A$1:$J$24"}</definedName>
    <definedName name="h_1" localSheetId="57">{"'Summary'!$A$1:$J$24"}</definedName>
    <definedName name="h_1">{"'Summary'!$A$1:$J$24"}</definedName>
    <definedName name="h_1_1" localSheetId="19">{"'Summary'!$A$1:$J$24"}</definedName>
    <definedName name="h_1_1" localSheetId="37">{"'Summary'!$A$1:$J$24"}</definedName>
    <definedName name="h_1_1" localSheetId="52">{"'Summary'!$A$1:$J$24"}</definedName>
    <definedName name="h_1_1" localSheetId="57">{"'Summary'!$A$1:$J$24"}</definedName>
    <definedName name="h_1_1">{"'Summary'!$A$1:$J$24"}</definedName>
    <definedName name="h_1_1_1" localSheetId="19">{"'Summary'!$A$1:$J$24"}</definedName>
    <definedName name="h_1_1_1" localSheetId="37">{"'Summary'!$A$1:$J$24"}</definedName>
    <definedName name="h_1_1_1" localSheetId="52">{"'Summary'!$A$1:$J$24"}</definedName>
    <definedName name="h_1_1_1" localSheetId="57">{"'Summary'!$A$1:$J$24"}</definedName>
    <definedName name="h_1_1_1">{"'Summary'!$A$1:$J$24"}</definedName>
    <definedName name="h_1_2" localSheetId="19">{"'Summary'!$A$1:$J$24"}</definedName>
    <definedName name="h_1_2" localSheetId="37">{"'Summary'!$A$1:$J$24"}</definedName>
    <definedName name="h_1_2" localSheetId="52">{"'Summary'!$A$1:$J$24"}</definedName>
    <definedName name="h_1_2" localSheetId="57">{"'Summary'!$A$1:$J$24"}</definedName>
    <definedName name="h_1_2">{"'Summary'!$A$1:$J$24"}</definedName>
    <definedName name="h_1_2_1" localSheetId="19">{"'Summary'!$A$1:$J$24"}</definedName>
    <definedName name="h_1_2_1" localSheetId="37">{"'Summary'!$A$1:$J$24"}</definedName>
    <definedName name="h_1_2_1" localSheetId="52">{"'Summary'!$A$1:$J$24"}</definedName>
    <definedName name="h_1_2_1" localSheetId="57">{"'Summary'!$A$1:$J$24"}</definedName>
    <definedName name="h_1_2_1">{"'Summary'!$A$1:$J$24"}</definedName>
    <definedName name="h_1_3" localSheetId="19">{"'Summary'!$A$1:$J$24"}</definedName>
    <definedName name="h_1_3" localSheetId="37">{"'Summary'!$A$1:$J$24"}</definedName>
    <definedName name="h_1_3" localSheetId="52">{"'Summary'!$A$1:$J$24"}</definedName>
    <definedName name="h_1_3" localSheetId="57">{"'Summary'!$A$1:$J$24"}</definedName>
    <definedName name="h_1_3">{"'Summary'!$A$1:$J$24"}</definedName>
    <definedName name="h_2" localSheetId="19">{"'Summary'!$A$1:$J$24"}</definedName>
    <definedName name="h_2" localSheetId="37">{"'Summary'!$A$1:$J$24"}</definedName>
    <definedName name="h_2" localSheetId="52">{"'Summary'!$A$1:$J$24"}</definedName>
    <definedName name="h_2" localSheetId="57">{"'Summary'!$A$1:$J$24"}</definedName>
    <definedName name="h_2">{"'Summary'!$A$1:$J$24"}</definedName>
    <definedName name="h_2_1" localSheetId="19">{"'Summary'!$A$1:$J$24"}</definedName>
    <definedName name="h_2_1" localSheetId="37">{"'Summary'!$A$1:$J$24"}</definedName>
    <definedName name="h_2_1" localSheetId="52">{"'Summary'!$A$1:$J$24"}</definedName>
    <definedName name="h_2_1" localSheetId="57">{"'Summary'!$A$1:$J$24"}</definedName>
    <definedName name="h_2_1">{"'Summary'!$A$1:$J$24"}</definedName>
    <definedName name="h_2_1_1" localSheetId="19">{"'Summary'!$A$1:$J$24"}</definedName>
    <definedName name="h_2_1_1" localSheetId="37">{"'Summary'!$A$1:$J$24"}</definedName>
    <definedName name="h_2_1_1" localSheetId="52">{"'Summary'!$A$1:$J$24"}</definedName>
    <definedName name="h_2_1_1" localSheetId="57">{"'Summary'!$A$1:$J$24"}</definedName>
    <definedName name="h_2_1_1">{"'Summary'!$A$1:$J$24"}</definedName>
    <definedName name="h_2_2" localSheetId="19">{"'Summary'!$A$1:$J$24"}</definedName>
    <definedName name="h_2_2" localSheetId="37">{"'Summary'!$A$1:$J$24"}</definedName>
    <definedName name="h_2_2" localSheetId="52">{"'Summary'!$A$1:$J$24"}</definedName>
    <definedName name="h_2_2" localSheetId="57">{"'Summary'!$A$1:$J$24"}</definedName>
    <definedName name="h_2_2">{"'Summary'!$A$1:$J$24"}</definedName>
    <definedName name="h_2_2_1" localSheetId="19">{"'Summary'!$A$1:$J$24"}</definedName>
    <definedName name="h_2_2_1" localSheetId="37">{"'Summary'!$A$1:$J$24"}</definedName>
    <definedName name="h_2_2_1" localSheetId="52">{"'Summary'!$A$1:$J$24"}</definedName>
    <definedName name="h_2_2_1" localSheetId="57">{"'Summary'!$A$1:$J$24"}</definedName>
    <definedName name="h_2_2_1">{"'Summary'!$A$1:$J$24"}</definedName>
    <definedName name="h_2_3" localSheetId="19">{"'Summary'!$A$1:$J$24"}</definedName>
    <definedName name="h_2_3" localSheetId="37">{"'Summary'!$A$1:$J$24"}</definedName>
    <definedName name="h_2_3" localSheetId="52">{"'Summary'!$A$1:$J$24"}</definedName>
    <definedName name="h_2_3" localSheetId="57">{"'Summary'!$A$1:$J$24"}</definedName>
    <definedName name="h_2_3">{"'Summary'!$A$1:$J$24"}</definedName>
    <definedName name="h_3" localSheetId="19">{"'Summary'!$A$1:$J$24"}</definedName>
    <definedName name="h_3" localSheetId="37">{"'Summary'!$A$1:$J$24"}</definedName>
    <definedName name="h_3" localSheetId="52">{"'Summary'!$A$1:$J$24"}</definedName>
    <definedName name="h_3" localSheetId="57">{"'Summary'!$A$1:$J$24"}</definedName>
    <definedName name="h_3">{"'Summary'!$A$1:$J$24"}</definedName>
    <definedName name="h_3_1" localSheetId="19">{"'Summary'!$A$1:$J$24"}</definedName>
    <definedName name="h_3_1" localSheetId="37">{"'Summary'!$A$1:$J$24"}</definedName>
    <definedName name="h_3_1" localSheetId="52">{"'Summary'!$A$1:$J$24"}</definedName>
    <definedName name="h_3_1" localSheetId="57">{"'Summary'!$A$1:$J$24"}</definedName>
    <definedName name="h_3_1">{"'Summary'!$A$1:$J$24"}</definedName>
    <definedName name="h_3_1_1" localSheetId="19">{"'Summary'!$A$1:$J$24"}</definedName>
    <definedName name="h_3_1_1" localSheetId="37">{"'Summary'!$A$1:$J$24"}</definedName>
    <definedName name="h_3_1_1" localSheetId="52">{"'Summary'!$A$1:$J$24"}</definedName>
    <definedName name="h_3_1_1" localSheetId="57">{"'Summary'!$A$1:$J$24"}</definedName>
    <definedName name="h_3_1_1">{"'Summary'!$A$1:$J$24"}</definedName>
    <definedName name="h_3_2" localSheetId="19">{"'Summary'!$A$1:$J$24"}</definedName>
    <definedName name="h_3_2" localSheetId="37">{"'Summary'!$A$1:$J$24"}</definedName>
    <definedName name="h_3_2" localSheetId="52">{"'Summary'!$A$1:$J$24"}</definedName>
    <definedName name="h_3_2" localSheetId="57">{"'Summary'!$A$1:$J$24"}</definedName>
    <definedName name="h_3_2">{"'Summary'!$A$1:$J$24"}</definedName>
    <definedName name="h_3_2_1" localSheetId="19">{"'Summary'!$A$1:$J$24"}</definedName>
    <definedName name="h_3_2_1" localSheetId="37">{"'Summary'!$A$1:$J$24"}</definedName>
    <definedName name="h_3_2_1" localSheetId="52">{"'Summary'!$A$1:$J$24"}</definedName>
    <definedName name="h_3_2_1" localSheetId="57">{"'Summary'!$A$1:$J$24"}</definedName>
    <definedName name="h_3_2_1">{"'Summary'!$A$1:$J$24"}</definedName>
    <definedName name="h_3_3" localSheetId="19">{"'Summary'!$A$1:$J$24"}</definedName>
    <definedName name="h_3_3" localSheetId="37">{"'Summary'!$A$1:$J$24"}</definedName>
    <definedName name="h_3_3" localSheetId="52">{"'Summary'!$A$1:$J$24"}</definedName>
    <definedName name="h_3_3" localSheetId="57">{"'Summary'!$A$1:$J$24"}</definedName>
    <definedName name="h_3_3">{"'Summary'!$A$1:$J$24"}</definedName>
    <definedName name="h_4" localSheetId="19">{"'Summary'!$A$1:$J$24"}</definedName>
    <definedName name="h_4" localSheetId="37">{"'Summary'!$A$1:$J$24"}</definedName>
    <definedName name="h_4" localSheetId="52">{"'Summary'!$A$1:$J$24"}</definedName>
    <definedName name="h_4" localSheetId="57">{"'Summary'!$A$1:$J$24"}</definedName>
    <definedName name="h_4">{"'Summary'!$A$1:$J$24"}</definedName>
    <definedName name="h_4_1" localSheetId="19">{"'Summary'!$A$1:$J$24"}</definedName>
    <definedName name="h_4_1" localSheetId="37">{"'Summary'!$A$1:$J$24"}</definedName>
    <definedName name="h_4_1" localSheetId="52">{"'Summary'!$A$1:$J$24"}</definedName>
    <definedName name="h_4_1" localSheetId="57">{"'Summary'!$A$1:$J$24"}</definedName>
    <definedName name="h_4_1">{"'Summary'!$A$1:$J$24"}</definedName>
    <definedName name="h_4_1_1" localSheetId="19">{"'Summary'!$A$1:$J$24"}</definedName>
    <definedName name="h_4_1_1" localSheetId="37">{"'Summary'!$A$1:$J$24"}</definedName>
    <definedName name="h_4_1_1" localSheetId="52">{"'Summary'!$A$1:$J$24"}</definedName>
    <definedName name="h_4_1_1" localSheetId="57">{"'Summary'!$A$1:$J$24"}</definedName>
    <definedName name="h_4_1_1">{"'Summary'!$A$1:$J$24"}</definedName>
    <definedName name="h_4_2" localSheetId="19">{"'Summary'!$A$1:$J$24"}</definedName>
    <definedName name="h_4_2" localSheetId="37">{"'Summary'!$A$1:$J$24"}</definedName>
    <definedName name="h_4_2" localSheetId="52">{"'Summary'!$A$1:$J$24"}</definedName>
    <definedName name="h_4_2" localSheetId="57">{"'Summary'!$A$1:$J$24"}</definedName>
    <definedName name="h_4_2">{"'Summary'!$A$1:$J$24"}</definedName>
    <definedName name="h_4_2_1" localSheetId="19">{"'Summary'!$A$1:$J$24"}</definedName>
    <definedName name="h_4_2_1" localSheetId="37">{"'Summary'!$A$1:$J$24"}</definedName>
    <definedName name="h_4_2_1" localSheetId="52">{"'Summary'!$A$1:$J$24"}</definedName>
    <definedName name="h_4_2_1" localSheetId="57">{"'Summary'!$A$1:$J$24"}</definedName>
    <definedName name="h_4_2_1">{"'Summary'!$A$1:$J$24"}</definedName>
    <definedName name="h_4_3" localSheetId="19">{"'Summary'!$A$1:$J$24"}</definedName>
    <definedName name="h_4_3" localSheetId="37">{"'Summary'!$A$1:$J$24"}</definedName>
    <definedName name="h_4_3" localSheetId="52">{"'Summary'!$A$1:$J$24"}</definedName>
    <definedName name="h_4_3" localSheetId="57">{"'Summary'!$A$1:$J$24"}</definedName>
    <definedName name="h_4_3">{"'Summary'!$A$1:$J$24"}</definedName>
    <definedName name="h_5" localSheetId="19">{"'Summary'!$A$1:$J$24"}</definedName>
    <definedName name="h_5" localSheetId="37">{"'Summary'!$A$1:$J$24"}</definedName>
    <definedName name="h_5" localSheetId="52">{"'Summary'!$A$1:$J$24"}</definedName>
    <definedName name="h_5" localSheetId="57">{"'Summary'!$A$1:$J$24"}</definedName>
    <definedName name="h_5">{"'Summary'!$A$1:$J$24"}</definedName>
    <definedName name="h_5_1" localSheetId="19">{"'Summary'!$A$1:$J$24"}</definedName>
    <definedName name="h_5_1" localSheetId="37">{"'Summary'!$A$1:$J$24"}</definedName>
    <definedName name="h_5_1" localSheetId="52">{"'Summary'!$A$1:$J$24"}</definedName>
    <definedName name="h_5_1" localSheetId="57">{"'Summary'!$A$1:$J$24"}</definedName>
    <definedName name="h_5_1">{"'Summary'!$A$1:$J$24"}</definedName>
    <definedName name="h_5_1_1" localSheetId="19">{"'Summary'!$A$1:$J$24"}</definedName>
    <definedName name="h_5_1_1" localSheetId="37">{"'Summary'!$A$1:$J$24"}</definedName>
    <definedName name="h_5_1_1" localSheetId="52">{"'Summary'!$A$1:$J$24"}</definedName>
    <definedName name="h_5_1_1" localSheetId="57">{"'Summary'!$A$1:$J$24"}</definedName>
    <definedName name="h_5_1_1">{"'Summary'!$A$1:$J$24"}</definedName>
    <definedName name="h_5_2" localSheetId="19">{"'Summary'!$A$1:$J$24"}</definedName>
    <definedName name="h_5_2" localSheetId="37">{"'Summary'!$A$1:$J$24"}</definedName>
    <definedName name="h_5_2" localSheetId="52">{"'Summary'!$A$1:$J$24"}</definedName>
    <definedName name="h_5_2" localSheetId="57">{"'Summary'!$A$1:$J$24"}</definedName>
    <definedName name="h_5_2">{"'Summary'!$A$1:$J$24"}</definedName>
    <definedName name="h_5_2_1" localSheetId="19">{"'Summary'!$A$1:$J$24"}</definedName>
    <definedName name="h_5_2_1" localSheetId="37">{"'Summary'!$A$1:$J$24"}</definedName>
    <definedName name="h_5_2_1" localSheetId="52">{"'Summary'!$A$1:$J$24"}</definedName>
    <definedName name="h_5_2_1" localSheetId="57">{"'Summary'!$A$1:$J$24"}</definedName>
    <definedName name="h_5_2_1">{"'Summary'!$A$1:$J$24"}</definedName>
    <definedName name="h_5_3" localSheetId="19">{"'Summary'!$A$1:$J$24"}</definedName>
    <definedName name="h_5_3" localSheetId="37">{"'Summary'!$A$1:$J$24"}</definedName>
    <definedName name="h_5_3" localSheetId="52">{"'Summary'!$A$1:$J$24"}</definedName>
    <definedName name="h_5_3" localSheetId="57">{"'Summary'!$A$1:$J$24"}</definedName>
    <definedName name="h_5_3">{"'Summary'!$A$1:$J$24"}</definedName>
    <definedName name="h_control" localSheetId="19">{"'Summary'!$A$1:$J$24"}</definedName>
    <definedName name="h_control" localSheetId="37">{"'Summary'!$A$1:$J$24"}</definedName>
    <definedName name="h_control" localSheetId="52">{"'Summary'!$A$1:$J$24"}</definedName>
    <definedName name="h_control" localSheetId="57">{"'Summary'!$A$1:$J$24"}</definedName>
    <definedName name="h_control">{"'Summary'!$A$1:$J$24"}</definedName>
    <definedName name="h_control_1" localSheetId="19">{"'Summary'!$A$1:$J$24"}</definedName>
    <definedName name="h_control_1" localSheetId="37">{"'Summary'!$A$1:$J$24"}</definedName>
    <definedName name="h_control_1" localSheetId="52">{"'Summary'!$A$1:$J$24"}</definedName>
    <definedName name="h_control_1" localSheetId="57">{"'Summary'!$A$1:$J$24"}</definedName>
    <definedName name="h_control_1">{"'Summary'!$A$1:$J$24"}</definedName>
    <definedName name="h_control_1_1" localSheetId="19">{"'Summary'!$A$1:$J$24"}</definedName>
    <definedName name="h_control_1_1" localSheetId="37">{"'Summary'!$A$1:$J$24"}</definedName>
    <definedName name="h_control_1_1" localSheetId="52">{"'Summary'!$A$1:$J$24"}</definedName>
    <definedName name="h_control_1_1" localSheetId="57">{"'Summary'!$A$1:$J$24"}</definedName>
    <definedName name="h_control_1_1">{"'Summary'!$A$1:$J$24"}</definedName>
    <definedName name="h_control_1_1_1" localSheetId="19">{"'Summary'!$A$1:$J$24"}</definedName>
    <definedName name="h_control_1_1_1" localSheetId="37">{"'Summary'!$A$1:$J$24"}</definedName>
    <definedName name="h_control_1_1_1" localSheetId="52">{"'Summary'!$A$1:$J$24"}</definedName>
    <definedName name="h_control_1_1_1" localSheetId="57">{"'Summary'!$A$1:$J$24"}</definedName>
    <definedName name="h_control_1_1_1">{"'Summary'!$A$1:$J$24"}</definedName>
    <definedName name="h_control_1_2" localSheetId="19">{"'Summary'!$A$1:$J$24"}</definedName>
    <definedName name="h_control_1_2" localSheetId="37">{"'Summary'!$A$1:$J$24"}</definedName>
    <definedName name="h_control_1_2" localSheetId="52">{"'Summary'!$A$1:$J$24"}</definedName>
    <definedName name="h_control_1_2" localSheetId="57">{"'Summary'!$A$1:$J$24"}</definedName>
    <definedName name="h_control_1_2">{"'Summary'!$A$1:$J$24"}</definedName>
    <definedName name="h_control_1_2_1" localSheetId="19">{"'Summary'!$A$1:$J$24"}</definedName>
    <definedName name="h_control_1_2_1" localSheetId="37">{"'Summary'!$A$1:$J$24"}</definedName>
    <definedName name="h_control_1_2_1" localSheetId="52">{"'Summary'!$A$1:$J$24"}</definedName>
    <definedName name="h_control_1_2_1" localSheetId="57">{"'Summary'!$A$1:$J$24"}</definedName>
    <definedName name="h_control_1_2_1">{"'Summary'!$A$1:$J$24"}</definedName>
    <definedName name="h_control_1_3" localSheetId="19">{"'Summary'!$A$1:$J$24"}</definedName>
    <definedName name="h_control_1_3" localSheetId="37">{"'Summary'!$A$1:$J$24"}</definedName>
    <definedName name="h_control_1_3" localSheetId="52">{"'Summary'!$A$1:$J$24"}</definedName>
    <definedName name="h_control_1_3" localSheetId="57">{"'Summary'!$A$1:$J$24"}</definedName>
    <definedName name="h_control_1_3">{"'Summary'!$A$1:$J$24"}</definedName>
    <definedName name="h_control_2" localSheetId="19">{"'Summary'!$A$1:$J$24"}</definedName>
    <definedName name="h_control_2" localSheetId="37">{"'Summary'!$A$1:$J$24"}</definedName>
    <definedName name="h_control_2" localSheetId="52">{"'Summary'!$A$1:$J$24"}</definedName>
    <definedName name="h_control_2" localSheetId="57">{"'Summary'!$A$1:$J$24"}</definedName>
    <definedName name="h_control_2">{"'Summary'!$A$1:$J$24"}</definedName>
    <definedName name="h_control_2_1" localSheetId="19">{"'Summary'!$A$1:$J$24"}</definedName>
    <definedName name="h_control_2_1" localSheetId="37">{"'Summary'!$A$1:$J$24"}</definedName>
    <definedName name="h_control_2_1" localSheetId="52">{"'Summary'!$A$1:$J$24"}</definedName>
    <definedName name="h_control_2_1" localSheetId="57">{"'Summary'!$A$1:$J$24"}</definedName>
    <definedName name="h_control_2_1">{"'Summary'!$A$1:$J$24"}</definedName>
    <definedName name="h_control_2_1_1" localSheetId="19">{"'Summary'!$A$1:$J$24"}</definedName>
    <definedName name="h_control_2_1_1" localSheetId="37">{"'Summary'!$A$1:$J$24"}</definedName>
    <definedName name="h_control_2_1_1" localSheetId="52">{"'Summary'!$A$1:$J$24"}</definedName>
    <definedName name="h_control_2_1_1" localSheetId="57">{"'Summary'!$A$1:$J$24"}</definedName>
    <definedName name="h_control_2_1_1">{"'Summary'!$A$1:$J$24"}</definedName>
    <definedName name="h_control_2_2" localSheetId="19">{"'Summary'!$A$1:$J$24"}</definedName>
    <definedName name="h_control_2_2" localSheetId="37">{"'Summary'!$A$1:$J$24"}</definedName>
    <definedName name="h_control_2_2" localSheetId="52">{"'Summary'!$A$1:$J$24"}</definedName>
    <definedName name="h_control_2_2" localSheetId="57">{"'Summary'!$A$1:$J$24"}</definedName>
    <definedName name="h_control_2_2">{"'Summary'!$A$1:$J$24"}</definedName>
    <definedName name="h_control_2_2_1" localSheetId="19">{"'Summary'!$A$1:$J$24"}</definedName>
    <definedName name="h_control_2_2_1" localSheetId="37">{"'Summary'!$A$1:$J$24"}</definedName>
    <definedName name="h_control_2_2_1" localSheetId="52">{"'Summary'!$A$1:$J$24"}</definedName>
    <definedName name="h_control_2_2_1" localSheetId="57">{"'Summary'!$A$1:$J$24"}</definedName>
    <definedName name="h_control_2_2_1">{"'Summary'!$A$1:$J$24"}</definedName>
    <definedName name="h_control_2_3" localSheetId="19">{"'Summary'!$A$1:$J$24"}</definedName>
    <definedName name="h_control_2_3" localSheetId="37">{"'Summary'!$A$1:$J$24"}</definedName>
    <definedName name="h_control_2_3" localSheetId="52">{"'Summary'!$A$1:$J$24"}</definedName>
    <definedName name="h_control_2_3" localSheetId="57">{"'Summary'!$A$1:$J$24"}</definedName>
    <definedName name="h_control_2_3">{"'Summary'!$A$1:$J$24"}</definedName>
    <definedName name="h_control_3" localSheetId="19">{"'Summary'!$A$1:$J$24"}</definedName>
    <definedName name="h_control_3" localSheetId="37">{"'Summary'!$A$1:$J$24"}</definedName>
    <definedName name="h_control_3" localSheetId="52">{"'Summary'!$A$1:$J$24"}</definedName>
    <definedName name="h_control_3" localSheetId="57">{"'Summary'!$A$1:$J$24"}</definedName>
    <definedName name="h_control_3">{"'Summary'!$A$1:$J$24"}</definedName>
    <definedName name="h_control_3_1" localSheetId="19">{"'Summary'!$A$1:$J$24"}</definedName>
    <definedName name="h_control_3_1" localSheetId="37">{"'Summary'!$A$1:$J$24"}</definedName>
    <definedName name="h_control_3_1" localSheetId="52">{"'Summary'!$A$1:$J$24"}</definedName>
    <definedName name="h_control_3_1" localSheetId="57">{"'Summary'!$A$1:$J$24"}</definedName>
    <definedName name="h_control_3_1">{"'Summary'!$A$1:$J$24"}</definedName>
    <definedName name="h_control_3_1_1" localSheetId="19">{"'Summary'!$A$1:$J$24"}</definedName>
    <definedName name="h_control_3_1_1" localSheetId="37">{"'Summary'!$A$1:$J$24"}</definedName>
    <definedName name="h_control_3_1_1" localSheetId="52">{"'Summary'!$A$1:$J$24"}</definedName>
    <definedName name="h_control_3_1_1" localSheetId="57">{"'Summary'!$A$1:$J$24"}</definedName>
    <definedName name="h_control_3_1_1">{"'Summary'!$A$1:$J$24"}</definedName>
    <definedName name="h_control_3_2" localSheetId="19">{"'Summary'!$A$1:$J$24"}</definedName>
    <definedName name="h_control_3_2" localSheetId="37">{"'Summary'!$A$1:$J$24"}</definedName>
    <definedName name="h_control_3_2" localSheetId="52">{"'Summary'!$A$1:$J$24"}</definedName>
    <definedName name="h_control_3_2" localSheetId="57">{"'Summary'!$A$1:$J$24"}</definedName>
    <definedName name="h_control_3_2">{"'Summary'!$A$1:$J$24"}</definedName>
    <definedName name="h_control_3_2_1" localSheetId="19">{"'Summary'!$A$1:$J$24"}</definedName>
    <definedName name="h_control_3_2_1" localSheetId="37">{"'Summary'!$A$1:$J$24"}</definedName>
    <definedName name="h_control_3_2_1" localSheetId="52">{"'Summary'!$A$1:$J$24"}</definedName>
    <definedName name="h_control_3_2_1" localSheetId="57">{"'Summary'!$A$1:$J$24"}</definedName>
    <definedName name="h_control_3_2_1">{"'Summary'!$A$1:$J$24"}</definedName>
    <definedName name="h_control_3_3" localSheetId="19">{"'Summary'!$A$1:$J$24"}</definedName>
    <definedName name="h_control_3_3" localSheetId="37">{"'Summary'!$A$1:$J$24"}</definedName>
    <definedName name="h_control_3_3" localSheetId="52">{"'Summary'!$A$1:$J$24"}</definedName>
    <definedName name="h_control_3_3" localSheetId="57">{"'Summary'!$A$1:$J$24"}</definedName>
    <definedName name="h_control_3_3">{"'Summary'!$A$1:$J$24"}</definedName>
    <definedName name="h_control_4" localSheetId="19">{"'Summary'!$A$1:$J$24"}</definedName>
    <definedName name="h_control_4" localSheetId="37">{"'Summary'!$A$1:$J$24"}</definedName>
    <definedName name="h_control_4" localSheetId="52">{"'Summary'!$A$1:$J$24"}</definedName>
    <definedName name="h_control_4" localSheetId="57">{"'Summary'!$A$1:$J$24"}</definedName>
    <definedName name="h_control_4">{"'Summary'!$A$1:$J$24"}</definedName>
    <definedName name="h_control_4_1" localSheetId="19">{"'Summary'!$A$1:$J$24"}</definedName>
    <definedName name="h_control_4_1" localSheetId="37">{"'Summary'!$A$1:$J$24"}</definedName>
    <definedName name="h_control_4_1" localSheetId="52">{"'Summary'!$A$1:$J$24"}</definedName>
    <definedName name="h_control_4_1" localSheetId="57">{"'Summary'!$A$1:$J$24"}</definedName>
    <definedName name="h_control_4_1">{"'Summary'!$A$1:$J$24"}</definedName>
    <definedName name="h_control_4_1_1" localSheetId="19">{"'Summary'!$A$1:$J$24"}</definedName>
    <definedName name="h_control_4_1_1" localSheetId="37">{"'Summary'!$A$1:$J$24"}</definedName>
    <definedName name="h_control_4_1_1" localSheetId="52">{"'Summary'!$A$1:$J$24"}</definedName>
    <definedName name="h_control_4_1_1" localSheetId="57">{"'Summary'!$A$1:$J$24"}</definedName>
    <definedName name="h_control_4_1_1">{"'Summary'!$A$1:$J$24"}</definedName>
    <definedName name="h_control_4_2" localSheetId="19">{"'Summary'!$A$1:$J$24"}</definedName>
    <definedName name="h_control_4_2" localSheetId="37">{"'Summary'!$A$1:$J$24"}</definedName>
    <definedName name="h_control_4_2" localSheetId="52">{"'Summary'!$A$1:$J$24"}</definedName>
    <definedName name="h_control_4_2" localSheetId="57">{"'Summary'!$A$1:$J$24"}</definedName>
    <definedName name="h_control_4_2">{"'Summary'!$A$1:$J$24"}</definedName>
    <definedName name="h_control_4_2_1" localSheetId="19">{"'Summary'!$A$1:$J$24"}</definedName>
    <definedName name="h_control_4_2_1" localSheetId="37">{"'Summary'!$A$1:$J$24"}</definedName>
    <definedName name="h_control_4_2_1" localSheetId="52">{"'Summary'!$A$1:$J$24"}</definedName>
    <definedName name="h_control_4_2_1" localSheetId="57">{"'Summary'!$A$1:$J$24"}</definedName>
    <definedName name="h_control_4_2_1">{"'Summary'!$A$1:$J$24"}</definedName>
    <definedName name="h_control_4_3" localSheetId="19">{"'Summary'!$A$1:$J$24"}</definedName>
    <definedName name="h_control_4_3" localSheetId="37">{"'Summary'!$A$1:$J$24"}</definedName>
    <definedName name="h_control_4_3" localSheetId="52">{"'Summary'!$A$1:$J$24"}</definedName>
    <definedName name="h_control_4_3" localSheetId="57">{"'Summary'!$A$1:$J$24"}</definedName>
    <definedName name="h_control_4_3">{"'Summary'!$A$1:$J$24"}</definedName>
    <definedName name="h_control_5" localSheetId="19">{"'Summary'!$A$1:$J$24"}</definedName>
    <definedName name="h_control_5" localSheetId="37">{"'Summary'!$A$1:$J$24"}</definedName>
    <definedName name="h_control_5" localSheetId="52">{"'Summary'!$A$1:$J$24"}</definedName>
    <definedName name="h_control_5" localSheetId="57">{"'Summary'!$A$1:$J$24"}</definedName>
    <definedName name="h_control_5">{"'Summary'!$A$1:$J$24"}</definedName>
    <definedName name="h_control_5_1" localSheetId="19">{"'Summary'!$A$1:$J$24"}</definedName>
    <definedName name="h_control_5_1" localSheetId="37">{"'Summary'!$A$1:$J$24"}</definedName>
    <definedName name="h_control_5_1" localSheetId="52">{"'Summary'!$A$1:$J$24"}</definedName>
    <definedName name="h_control_5_1" localSheetId="57">{"'Summary'!$A$1:$J$24"}</definedName>
    <definedName name="h_control_5_1">{"'Summary'!$A$1:$J$24"}</definedName>
    <definedName name="h_control_5_1_1" localSheetId="19">{"'Summary'!$A$1:$J$24"}</definedName>
    <definedName name="h_control_5_1_1" localSheetId="37">{"'Summary'!$A$1:$J$24"}</definedName>
    <definedName name="h_control_5_1_1" localSheetId="52">{"'Summary'!$A$1:$J$24"}</definedName>
    <definedName name="h_control_5_1_1" localSheetId="57">{"'Summary'!$A$1:$J$24"}</definedName>
    <definedName name="h_control_5_1_1">{"'Summary'!$A$1:$J$24"}</definedName>
    <definedName name="h_control_5_2" localSheetId="19">{"'Summary'!$A$1:$J$24"}</definedName>
    <definedName name="h_control_5_2" localSheetId="37">{"'Summary'!$A$1:$J$24"}</definedName>
    <definedName name="h_control_5_2" localSheetId="52">{"'Summary'!$A$1:$J$24"}</definedName>
    <definedName name="h_control_5_2" localSheetId="57">{"'Summary'!$A$1:$J$24"}</definedName>
    <definedName name="h_control_5_2">{"'Summary'!$A$1:$J$24"}</definedName>
    <definedName name="h_control_5_2_1" localSheetId="19">{"'Summary'!$A$1:$J$24"}</definedName>
    <definedName name="h_control_5_2_1" localSheetId="37">{"'Summary'!$A$1:$J$24"}</definedName>
    <definedName name="h_control_5_2_1" localSheetId="52">{"'Summary'!$A$1:$J$24"}</definedName>
    <definedName name="h_control_5_2_1" localSheetId="57">{"'Summary'!$A$1:$J$24"}</definedName>
    <definedName name="h_control_5_2_1">{"'Summary'!$A$1:$J$24"}</definedName>
    <definedName name="h_control_5_3" localSheetId="19">{"'Summary'!$A$1:$J$24"}</definedName>
    <definedName name="h_control_5_3" localSheetId="37">{"'Summary'!$A$1:$J$24"}</definedName>
    <definedName name="h_control_5_3" localSheetId="52">{"'Summary'!$A$1:$J$24"}</definedName>
    <definedName name="h_control_5_3" localSheetId="57">{"'Summary'!$A$1:$J$24"}</definedName>
    <definedName name="h_control_5_3">{"'Summary'!$A$1:$J$24"}</definedName>
    <definedName name="HTML_CodePage">1252</definedName>
    <definedName name="HTML_Control" localSheetId="19">{"'Summary'!$A$1:$J$24"}</definedName>
    <definedName name="HTML_Control" localSheetId="37">{"'Summary'!$A$1:$J$24"}</definedName>
    <definedName name="HTML_Control" localSheetId="52">{"'Summary'!$A$1:$J$24"}</definedName>
    <definedName name="HTML_Control" localSheetId="57">{"'Summary'!$A$1:$J$24"}</definedName>
    <definedName name="HTML_Control">{"'Summary'!$A$1:$J$24"}</definedName>
    <definedName name="HTML_Control_1" localSheetId="19">{"'Summary'!$A$1:$J$24"}</definedName>
    <definedName name="HTML_Control_1" localSheetId="37">{"'Summary'!$A$1:$J$24"}</definedName>
    <definedName name="HTML_Control_1" localSheetId="52">{"'Summary'!$A$1:$J$24"}</definedName>
    <definedName name="HTML_Control_1" localSheetId="57">{"'Summary'!$A$1:$J$24"}</definedName>
    <definedName name="HTML_Control_1">{"'Summary'!$A$1:$J$24"}</definedName>
    <definedName name="HTML_Control_1_1" localSheetId="19">{"'Summary'!$A$1:$J$24"}</definedName>
    <definedName name="HTML_Control_1_1" localSheetId="37">{"'Summary'!$A$1:$J$24"}</definedName>
    <definedName name="HTML_Control_1_1" localSheetId="52">{"'Summary'!$A$1:$J$24"}</definedName>
    <definedName name="HTML_Control_1_1" localSheetId="57">{"'Summary'!$A$1:$J$24"}</definedName>
    <definedName name="HTML_Control_1_1">{"'Summary'!$A$1:$J$24"}</definedName>
    <definedName name="HTML_Control_1_1_1" localSheetId="19">{"'Summary'!$A$1:$J$24"}</definedName>
    <definedName name="HTML_Control_1_1_1" localSheetId="37">{"'Summary'!$A$1:$J$24"}</definedName>
    <definedName name="HTML_Control_1_1_1" localSheetId="52">{"'Summary'!$A$1:$J$24"}</definedName>
    <definedName name="HTML_Control_1_1_1" localSheetId="57">{"'Summary'!$A$1:$J$24"}</definedName>
    <definedName name="HTML_Control_1_1_1">{"'Summary'!$A$1:$J$24"}</definedName>
    <definedName name="HTML_Control_1_2" localSheetId="19">{"'Summary'!$A$1:$J$24"}</definedName>
    <definedName name="HTML_Control_1_2" localSheetId="37">{"'Summary'!$A$1:$J$24"}</definedName>
    <definedName name="HTML_Control_1_2" localSheetId="52">{"'Summary'!$A$1:$J$24"}</definedName>
    <definedName name="HTML_Control_1_2" localSheetId="57">{"'Summary'!$A$1:$J$24"}</definedName>
    <definedName name="HTML_Control_1_2">{"'Summary'!$A$1:$J$24"}</definedName>
    <definedName name="HTML_Control_1_2_1" localSheetId="19">{"'Summary'!$A$1:$J$24"}</definedName>
    <definedName name="HTML_Control_1_2_1" localSheetId="37">{"'Summary'!$A$1:$J$24"}</definedName>
    <definedName name="HTML_Control_1_2_1" localSheetId="52">{"'Summary'!$A$1:$J$24"}</definedName>
    <definedName name="HTML_Control_1_2_1" localSheetId="57">{"'Summary'!$A$1:$J$24"}</definedName>
    <definedName name="HTML_Control_1_2_1">{"'Summary'!$A$1:$J$24"}</definedName>
    <definedName name="HTML_Control_1_3" localSheetId="19">{"'Summary'!$A$1:$J$24"}</definedName>
    <definedName name="HTML_Control_1_3" localSheetId="37">{"'Summary'!$A$1:$J$24"}</definedName>
    <definedName name="HTML_Control_1_3" localSheetId="52">{"'Summary'!$A$1:$J$24"}</definedName>
    <definedName name="HTML_Control_1_3" localSheetId="57">{"'Summary'!$A$1:$J$24"}</definedName>
    <definedName name="HTML_Control_1_3">{"'Summary'!$A$1:$J$24"}</definedName>
    <definedName name="HTML_Control_2" localSheetId="19">{"'Summary'!$A$1:$J$24"}</definedName>
    <definedName name="HTML_Control_2" localSheetId="37">{"'Summary'!$A$1:$J$24"}</definedName>
    <definedName name="HTML_Control_2" localSheetId="52">{"'Summary'!$A$1:$J$24"}</definedName>
    <definedName name="HTML_Control_2" localSheetId="57">{"'Summary'!$A$1:$J$24"}</definedName>
    <definedName name="HTML_Control_2">{"'Summary'!$A$1:$J$24"}</definedName>
    <definedName name="HTML_Control_2_1" localSheetId="19">{"'Summary'!$A$1:$J$24"}</definedName>
    <definedName name="HTML_Control_2_1" localSheetId="37">{"'Summary'!$A$1:$J$24"}</definedName>
    <definedName name="HTML_Control_2_1" localSheetId="52">{"'Summary'!$A$1:$J$24"}</definedName>
    <definedName name="HTML_Control_2_1" localSheetId="57">{"'Summary'!$A$1:$J$24"}</definedName>
    <definedName name="HTML_Control_2_1">{"'Summary'!$A$1:$J$24"}</definedName>
    <definedName name="HTML_Control_2_1_1" localSheetId="19">{"'Summary'!$A$1:$J$24"}</definedName>
    <definedName name="HTML_Control_2_1_1" localSheetId="37">{"'Summary'!$A$1:$J$24"}</definedName>
    <definedName name="HTML_Control_2_1_1" localSheetId="52">{"'Summary'!$A$1:$J$24"}</definedName>
    <definedName name="HTML_Control_2_1_1" localSheetId="57">{"'Summary'!$A$1:$J$24"}</definedName>
    <definedName name="HTML_Control_2_1_1">{"'Summary'!$A$1:$J$24"}</definedName>
    <definedName name="HTML_Control_2_2" localSheetId="19">{"'Summary'!$A$1:$J$24"}</definedName>
    <definedName name="HTML_Control_2_2" localSheetId="37">{"'Summary'!$A$1:$J$24"}</definedName>
    <definedName name="HTML_Control_2_2" localSheetId="52">{"'Summary'!$A$1:$J$24"}</definedName>
    <definedName name="HTML_Control_2_2" localSheetId="57">{"'Summary'!$A$1:$J$24"}</definedName>
    <definedName name="HTML_Control_2_2">{"'Summary'!$A$1:$J$24"}</definedName>
    <definedName name="HTML_Control_2_2_1" localSheetId="19">{"'Summary'!$A$1:$J$24"}</definedName>
    <definedName name="HTML_Control_2_2_1" localSheetId="37">{"'Summary'!$A$1:$J$24"}</definedName>
    <definedName name="HTML_Control_2_2_1" localSheetId="52">{"'Summary'!$A$1:$J$24"}</definedName>
    <definedName name="HTML_Control_2_2_1" localSheetId="57">{"'Summary'!$A$1:$J$24"}</definedName>
    <definedName name="HTML_Control_2_2_1">{"'Summary'!$A$1:$J$24"}</definedName>
    <definedName name="HTML_Control_2_3" localSheetId="19">{"'Summary'!$A$1:$J$24"}</definedName>
    <definedName name="HTML_Control_2_3" localSheetId="37">{"'Summary'!$A$1:$J$24"}</definedName>
    <definedName name="HTML_Control_2_3" localSheetId="52">{"'Summary'!$A$1:$J$24"}</definedName>
    <definedName name="HTML_Control_2_3" localSheetId="57">{"'Summary'!$A$1:$J$24"}</definedName>
    <definedName name="HTML_Control_2_3">{"'Summary'!$A$1:$J$24"}</definedName>
    <definedName name="HTML_Control_3" localSheetId="19">{"'Summary'!$A$1:$J$24"}</definedName>
    <definedName name="HTML_Control_3" localSheetId="37">{"'Summary'!$A$1:$J$24"}</definedName>
    <definedName name="HTML_Control_3" localSheetId="52">{"'Summary'!$A$1:$J$24"}</definedName>
    <definedName name="HTML_Control_3" localSheetId="57">{"'Summary'!$A$1:$J$24"}</definedName>
    <definedName name="HTML_Control_3">{"'Summary'!$A$1:$J$24"}</definedName>
    <definedName name="HTML_Control_3_1" localSheetId="19">{"'Summary'!$A$1:$J$24"}</definedName>
    <definedName name="HTML_Control_3_1" localSheetId="37">{"'Summary'!$A$1:$J$24"}</definedName>
    <definedName name="HTML_Control_3_1" localSheetId="52">{"'Summary'!$A$1:$J$24"}</definedName>
    <definedName name="HTML_Control_3_1" localSheetId="57">{"'Summary'!$A$1:$J$24"}</definedName>
    <definedName name="HTML_Control_3_1">{"'Summary'!$A$1:$J$24"}</definedName>
    <definedName name="HTML_Control_3_1_1" localSheetId="19">{"'Summary'!$A$1:$J$24"}</definedName>
    <definedName name="HTML_Control_3_1_1" localSheetId="37">{"'Summary'!$A$1:$J$24"}</definedName>
    <definedName name="HTML_Control_3_1_1" localSheetId="52">{"'Summary'!$A$1:$J$24"}</definedName>
    <definedName name="HTML_Control_3_1_1" localSheetId="57">{"'Summary'!$A$1:$J$24"}</definedName>
    <definedName name="HTML_Control_3_1_1">{"'Summary'!$A$1:$J$24"}</definedName>
    <definedName name="HTML_Control_3_2" localSheetId="19">{"'Summary'!$A$1:$J$24"}</definedName>
    <definedName name="HTML_Control_3_2" localSheetId="37">{"'Summary'!$A$1:$J$24"}</definedName>
    <definedName name="HTML_Control_3_2" localSheetId="52">{"'Summary'!$A$1:$J$24"}</definedName>
    <definedName name="HTML_Control_3_2" localSheetId="57">{"'Summary'!$A$1:$J$24"}</definedName>
    <definedName name="HTML_Control_3_2">{"'Summary'!$A$1:$J$24"}</definedName>
    <definedName name="HTML_Control_3_2_1" localSheetId="19">{"'Summary'!$A$1:$J$24"}</definedName>
    <definedName name="HTML_Control_3_2_1" localSheetId="37">{"'Summary'!$A$1:$J$24"}</definedName>
    <definedName name="HTML_Control_3_2_1" localSheetId="52">{"'Summary'!$A$1:$J$24"}</definedName>
    <definedName name="HTML_Control_3_2_1" localSheetId="57">{"'Summary'!$A$1:$J$24"}</definedName>
    <definedName name="HTML_Control_3_2_1">{"'Summary'!$A$1:$J$24"}</definedName>
    <definedName name="HTML_Control_3_3" localSheetId="19">{"'Summary'!$A$1:$J$24"}</definedName>
    <definedName name="HTML_Control_3_3" localSheetId="37">{"'Summary'!$A$1:$J$24"}</definedName>
    <definedName name="HTML_Control_3_3" localSheetId="52">{"'Summary'!$A$1:$J$24"}</definedName>
    <definedName name="HTML_Control_3_3" localSheetId="57">{"'Summary'!$A$1:$J$24"}</definedName>
    <definedName name="HTML_Control_3_3">{"'Summary'!$A$1:$J$24"}</definedName>
    <definedName name="HTML_Control_4" localSheetId="19">{"'Summary'!$A$1:$J$24"}</definedName>
    <definedName name="HTML_Control_4" localSheetId="37">{"'Summary'!$A$1:$J$24"}</definedName>
    <definedName name="HTML_Control_4" localSheetId="52">{"'Summary'!$A$1:$J$24"}</definedName>
    <definedName name="HTML_Control_4" localSheetId="57">{"'Summary'!$A$1:$J$24"}</definedName>
    <definedName name="HTML_Control_4">{"'Summary'!$A$1:$J$24"}</definedName>
    <definedName name="HTML_Control_4_1" localSheetId="19">{"'Summary'!$A$1:$J$24"}</definedName>
    <definedName name="HTML_Control_4_1" localSheetId="37">{"'Summary'!$A$1:$J$24"}</definedName>
    <definedName name="HTML_Control_4_1" localSheetId="52">{"'Summary'!$A$1:$J$24"}</definedName>
    <definedName name="HTML_Control_4_1" localSheetId="57">{"'Summary'!$A$1:$J$24"}</definedName>
    <definedName name="HTML_Control_4_1">{"'Summary'!$A$1:$J$24"}</definedName>
    <definedName name="HTML_Control_4_1_1" localSheetId="19">{"'Summary'!$A$1:$J$24"}</definedName>
    <definedName name="HTML_Control_4_1_1" localSheetId="37">{"'Summary'!$A$1:$J$24"}</definedName>
    <definedName name="HTML_Control_4_1_1" localSheetId="52">{"'Summary'!$A$1:$J$24"}</definedName>
    <definedName name="HTML_Control_4_1_1" localSheetId="57">{"'Summary'!$A$1:$J$24"}</definedName>
    <definedName name="HTML_Control_4_1_1">{"'Summary'!$A$1:$J$24"}</definedName>
    <definedName name="HTML_Control_4_2" localSheetId="19">{"'Summary'!$A$1:$J$24"}</definedName>
    <definedName name="HTML_Control_4_2" localSheetId="37">{"'Summary'!$A$1:$J$24"}</definedName>
    <definedName name="HTML_Control_4_2" localSheetId="52">{"'Summary'!$A$1:$J$24"}</definedName>
    <definedName name="HTML_Control_4_2" localSheetId="57">{"'Summary'!$A$1:$J$24"}</definedName>
    <definedName name="HTML_Control_4_2">{"'Summary'!$A$1:$J$24"}</definedName>
    <definedName name="HTML_Control_4_2_1" localSheetId="19">{"'Summary'!$A$1:$J$24"}</definedName>
    <definedName name="HTML_Control_4_2_1" localSheetId="37">{"'Summary'!$A$1:$J$24"}</definedName>
    <definedName name="HTML_Control_4_2_1" localSheetId="52">{"'Summary'!$A$1:$J$24"}</definedName>
    <definedName name="HTML_Control_4_2_1" localSheetId="57">{"'Summary'!$A$1:$J$24"}</definedName>
    <definedName name="HTML_Control_4_2_1">{"'Summary'!$A$1:$J$24"}</definedName>
    <definedName name="HTML_Control_4_3" localSheetId="19">{"'Summary'!$A$1:$J$24"}</definedName>
    <definedName name="HTML_Control_4_3" localSheetId="37">{"'Summary'!$A$1:$J$24"}</definedName>
    <definedName name="HTML_Control_4_3" localSheetId="52">{"'Summary'!$A$1:$J$24"}</definedName>
    <definedName name="HTML_Control_4_3" localSheetId="57">{"'Summary'!$A$1:$J$24"}</definedName>
    <definedName name="HTML_Control_4_3">{"'Summary'!$A$1:$J$24"}</definedName>
    <definedName name="HTML_Control_5" localSheetId="19">{"'Summary'!$A$1:$J$24"}</definedName>
    <definedName name="HTML_Control_5" localSheetId="37">{"'Summary'!$A$1:$J$24"}</definedName>
    <definedName name="HTML_Control_5" localSheetId="52">{"'Summary'!$A$1:$J$24"}</definedName>
    <definedName name="HTML_Control_5" localSheetId="57">{"'Summary'!$A$1:$J$24"}</definedName>
    <definedName name="HTML_Control_5">{"'Summary'!$A$1:$J$24"}</definedName>
    <definedName name="HTML_Control_5_1" localSheetId="19">{"'Summary'!$A$1:$J$24"}</definedName>
    <definedName name="HTML_Control_5_1" localSheetId="37">{"'Summary'!$A$1:$J$24"}</definedName>
    <definedName name="HTML_Control_5_1" localSheetId="52">{"'Summary'!$A$1:$J$24"}</definedName>
    <definedName name="HTML_Control_5_1" localSheetId="57">{"'Summary'!$A$1:$J$24"}</definedName>
    <definedName name="HTML_Control_5_1">{"'Summary'!$A$1:$J$24"}</definedName>
    <definedName name="HTML_Control_5_1_1" localSheetId="19">{"'Summary'!$A$1:$J$24"}</definedName>
    <definedName name="HTML_Control_5_1_1" localSheetId="37">{"'Summary'!$A$1:$J$24"}</definedName>
    <definedName name="HTML_Control_5_1_1" localSheetId="52">{"'Summary'!$A$1:$J$24"}</definedName>
    <definedName name="HTML_Control_5_1_1" localSheetId="57">{"'Summary'!$A$1:$J$24"}</definedName>
    <definedName name="HTML_Control_5_1_1">{"'Summary'!$A$1:$J$24"}</definedName>
    <definedName name="HTML_Control_5_2" localSheetId="19">{"'Summary'!$A$1:$J$24"}</definedName>
    <definedName name="HTML_Control_5_2" localSheetId="37">{"'Summary'!$A$1:$J$24"}</definedName>
    <definedName name="HTML_Control_5_2" localSheetId="52">{"'Summary'!$A$1:$J$24"}</definedName>
    <definedName name="HTML_Control_5_2" localSheetId="57">{"'Summary'!$A$1:$J$24"}</definedName>
    <definedName name="HTML_Control_5_2">{"'Summary'!$A$1:$J$24"}</definedName>
    <definedName name="HTML_Control_5_2_1" localSheetId="19">{"'Summary'!$A$1:$J$24"}</definedName>
    <definedName name="HTML_Control_5_2_1" localSheetId="37">{"'Summary'!$A$1:$J$24"}</definedName>
    <definedName name="HTML_Control_5_2_1" localSheetId="52">{"'Summary'!$A$1:$J$24"}</definedName>
    <definedName name="HTML_Control_5_2_1" localSheetId="57">{"'Summary'!$A$1:$J$24"}</definedName>
    <definedName name="HTML_Control_5_2_1">{"'Summary'!$A$1:$J$24"}</definedName>
    <definedName name="HTML_Control_5_3" localSheetId="19">{"'Summary'!$A$1:$J$24"}</definedName>
    <definedName name="HTML_Control_5_3" localSheetId="37">{"'Summary'!$A$1:$J$24"}</definedName>
    <definedName name="HTML_Control_5_3" localSheetId="52">{"'Summary'!$A$1:$J$24"}</definedName>
    <definedName name="HTML_Control_5_3" localSheetId="57">{"'Summary'!$A$1:$J$24"}</definedName>
    <definedName name="HTML_Control_5_3">{"'Summary'!$A$1:$J$24"}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mputent" localSheetId="33">#REF!</definedName>
    <definedName name="imputent" localSheetId="52">#REF!</definedName>
    <definedName name="imputent" localSheetId="6">#REF!</definedName>
    <definedName name="imputent" localSheetId="51">#REF!</definedName>
    <definedName name="imputent" localSheetId="53">#REF!</definedName>
    <definedName name="imputent">#REF!</definedName>
    <definedName name="Inc" localSheetId="33">#REF!</definedName>
    <definedName name="Inc" localSheetId="52">#REF!</definedName>
    <definedName name="Inc" localSheetId="6">#REF!</definedName>
    <definedName name="Inc" localSheetId="51">#REF!</definedName>
    <definedName name="Inc" localSheetId="53">#REF!</definedName>
    <definedName name="Inc">#REF!</definedName>
    <definedName name="IncAcct" localSheetId="33">#REF!</definedName>
    <definedName name="IncAcct" localSheetId="52">#REF!</definedName>
    <definedName name="IncAcct" localSheetId="6">#REF!</definedName>
    <definedName name="IncAcct" localSheetId="51">#REF!</definedName>
    <definedName name="IncAcct" localSheetId="53">#REF!</definedName>
    <definedName name="IncAcct">#REF!</definedName>
    <definedName name="IncDesc" localSheetId="33">#REF!</definedName>
    <definedName name="IncDesc" localSheetId="52">#REF!</definedName>
    <definedName name="IncDesc" localSheetId="6">#REF!</definedName>
    <definedName name="IncDesc" localSheetId="51">#REF!</definedName>
    <definedName name="IncDesc" localSheetId="53">#REF!</definedName>
    <definedName name="IncDesc">#REF!</definedName>
    <definedName name="input" localSheetId="33">#REF!</definedName>
    <definedName name="input" localSheetId="52">#REF!</definedName>
    <definedName name="input" localSheetId="5">#REF!</definedName>
    <definedName name="input" localSheetId="6">#REF!</definedName>
    <definedName name="input" localSheetId="7">#REF!</definedName>
    <definedName name="input" localSheetId="8">#REF!</definedName>
    <definedName name="input" localSheetId="47">#REF!</definedName>
    <definedName name="input" localSheetId="53">#REF!</definedName>
    <definedName name="input">#REF!</definedName>
    <definedName name="INPUT1" localSheetId="33">#REF!</definedName>
    <definedName name="INPUT1" localSheetId="52">#REF!</definedName>
    <definedName name="INPUT1" localSheetId="6">#REF!</definedName>
    <definedName name="INPUT1" localSheetId="42">#REF!</definedName>
    <definedName name="INPUT1" localSheetId="47">#REF!</definedName>
    <definedName name="INPUT1" localSheetId="51">#REF!</definedName>
    <definedName name="INPUT1" localSheetId="53">#REF!</definedName>
    <definedName name="INPUT1">#REF!</definedName>
    <definedName name="INPUT2" localSheetId="33">#REF!</definedName>
    <definedName name="INPUT2" localSheetId="52">#REF!</definedName>
    <definedName name="INPUT2" localSheetId="6">#REF!</definedName>
    <definedName name="INPUT2" localSheetId="42">#REF!</definedName>
    <definedName name="INPUT2" localSheetId="47">#REF!</definedName>
    <definedName name="INPUT2" localSheetId="51">#REF!</definedName>
    <definedName name="INPUT2" localSheetId="53">#REF!</definedName>
    <definedName name="INPUT2">#REF!</definedName>
    <definedName name="INPUTCOL" localSheetId="33">#REF!</definedName>
    <definedName name="INPUTCOL" localSheetId="52">#REF!</definedName>
    <definedName name="INPUTCOL" localSheetId="6">#REF!</definedName>
    <definedName name="INPUTCOL" localSheetId="42">#REF!</definedName>
    <definedName name="INPUTCOL" localSheetId="47">#REF!</definedName>
    <definedName name="INPUTCOL" localSheetId="51">#REF!</definedName>
    <definedName name="INPUTCOL" localSheetId="53">#REF!</definedName>
    <definedName name="INPUTCOL">#REF!</definedName>
    <definedName name="inputent" localSheetId="33">#REF!</definedName>
    <definedName name="inputent" localSheetId="52">#REF!</definedName>
    <definedName name="inputent" localSheetId="6">#REF!</definedName>
    <definedName name="inputent" localSheetId="51">#REF!</definedName>
    <definedName name="inputent" localSheetId="53">#REF!</definedName>
    <definedName name="inputent">#REF!</definedName>
    <definedName name="INPUTROW" localSheetId="33">#REF!</definedName>
    <definedName name="INPUTROW" localSheetId="52">#REF!</definedName>
    <definedName name="INPUTROW" localSheetId="6">#REF!</definedName>
    <definedName name="INPUTROW" localSheetId="42">#REF!</definedName>
    <definedName name="INPUTROW" localSheetId="47">#REF!</definedName>
    <definedName name="INPUTROW" localSheetId="51">#REF!</definedName>
    <definedName name="INPUTROW" localSheetId="53">#REF!</definedName>
    <definedName name="INPUTROW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Z_SCORE" hidden="1">"c1339"</definedName>
    <definedName name="IS_1" localSheetId="33">#REF!</definedName>
    <definedName name="IS_1" localSheetId="52">#REF!</definedName>
    <definedName name="IS_1" localSheetId="6">#REF!</definedName>
    <definedName name="IS_1" localSheetId="51">#REF!</definedName>
    <definedName name="IS_1" localSheetId="53">#REF!</definedName>
    <definedName name="IS_1">#REF!</definedName>
    <definedName name="IS_2" localSheetId="33">#REF!</definedName>
    <definedName name="IS_2" localSheetId="52">#REF!</definedName>
    <definedName name="IS_2" localSheetId="6">#REF!</definedName>
    <definedName name="IS_2" localSheetId="51">#REF!</definedName>
    <definedName name="IS_2" localSheetId="53">#REF!</definedName>
    <definedName name="IS_2">#REF!</definedName>
    <definedName name="IS_3" localSheetId="33">#REF!</definedName>
    <definedName name="IS_3" localSheetId="52">#REF!</definedName>
    <definedName name="IS_3" localSheetId="6">#REF!</definedName>
    <definedName name="IS_3" localSheetId="51">#REF!</definedName>
    <definedName name="IS_3" localSheetId="53">#REF!</definedName>
    <definedName name="IS_3">#REF!</definedName>
    <definedName name="IS_4" localSheetId="33">#REF!</definedName>
    <definedName name="IS_4" localSheetId="52">#REF!</definedName>
    <definedName name="IS_4" localSheetId="6">#REF!</definedName>
    <definedName name="IS_4" localSheetId="51">#REF!</definedName>
    <definedName name="IS_4" localSheetId="53">#REF!</definedName>
    <definedName name="IS_4">#REF!</definedName>
    <definedName name="ISALL" localSheetId="37">'[48]FERC 06_2004 MTD IS'!$E$5:$J$1069</definedName>
    <definedName name="ISALL" localSheetId="52">'[48]FERC 06_2004 MTD IS'!$E$5:$J$1069</definedName>
    <definedName name="ISALL" localSheetId="5">'[48]FERC 06_2004 MTD IS'!$E$5:$J$1069</definedName>
    <definedName name="ISALL" localSheetId="57">'[48]FERC 06_2004 MTD IS'!$E$5:$J$1069</definedName>
    <definedName name="ISALL">'[49]FERC 06_2004 MTD IS'!$E$5:$J$1069</definedName>
    <definedName name="JANBS" localSheetId="33">#REF!</definedName>
    <definedName name="JANBS" localSheetId="52">#REF!</definedName>
    <definedName name="JANBS" localSheetId="6">#REF!</definedName>
    <definedName name="JANBS" localSheetId="51">#REF!</definedName>
    <definedName name="JANBS" localSheetId="53">#REF!</definedName>
    <definedName name="JANBS">#REF!</definedName>
    <definedName name="JE" localSheetId="33">#REF!</definedName>
    <definedName name="JE" localSheetId="52">#REF!</definedName>
    <definedName name="JE" localSheetId="5">#REF!</definedName>
    <definedName name="JE" localSheetId="6">#REF!</definedName>
    <definedName name="JE" localSheetId="7">#REF!</definedName>
    <definedName name="JE" localSheetId="8">#REF!</definedName>
    <definedName name="JE" localSheetId="47">#REF!</definedName>
    <definedName name="JE" localSheetId="51">#REF!</definedName>
    <definedName name="JE" localSheetId="53">#REF!</definedName>
    <definedName name="JE">#REF!</definedName>
    <definedName name="lastyearofservice" localSheetId="33">#REF!</definedName>
    <definedName name="lastyearofservice" localSheetId="52">#REF!</definedName>
    <definedName name="lastyearofservice" localSheetId="6">#REF!</definedName>
    <definedName name="lastyearofservice" localSheetId="51">#REF!</definedName>
    <definedName name="lastyearofservice" localSheetId="53">#REF!</definedName>
    <definedName name="lastyearofservice">#REF!</definedName>
    <definedName name="limcount" hidden="1">1</definedName>
    <definedName name="MAIN" localSheetId="33">#REF!</definedName>
    <definedName name="MAIN" localSheetId="52">#REF!</definedName>
    <definedName name="MAIN" localSheetId="6">#REF!</definedName>
    <definedName name="MAIN" localSheetId="42">#REF!</definedName>
    <definedName name="MAIN" localSheetId="47">#REF!</definedName>
    <definedName name="MAIN" localSheetId="51">#REF!</definedName>
    <definedName name="MAIN" localSheetId="53">#REF!</definedName>
    <definedName name="MAIN">#REF!</definedName>
    <definedName name="MEMO">[2]Sheet2!$B$1:$G$45</definedName>
    <definedName name="MESG1" localSheetId="33">#REF!</definedName>
    <definedName name="MESG1" localSheetId="52">#REF!</definedName>
    <definedName name="MESG1" localSheetId="6">#REF!</definedName>
    <definedName name="MESG1" localSheetId="42">#REF!</definedName>
    <definedName name="MESG1" localSheetId="47">#REF!</definedName>
    <definedName name="MESG1" localSheetId="51">#REF!</definedName>
    <definedName name="MESG1" localSheetId="53">#REF!</definedName>
    <definedName name="MESG1">#REF!</definedName>
    <definedName name="MESG2" localSheetId="33">#REF!</definedName>
    <definedName name="MESG2" localSheetId="52">#REF!</definedName>
    <definedName name="MESG2" localSheetId="6">#REF!</definedName>
    <definedName name="MESG2" localSheetId="42">#REF!</definedName>
    <definedName name="MESG2" localSheetId="47">#REF!</definedName>
    <definedName name="MESG2" localSheetId="51">#REF!</definedName>
    <definedName name="MESG2" localSheetId="53">#REF!</definedName>
    <definedName name="MESG2">#REF!</definedName>
    <definedName name="MISC1" localSheetId="33">#REF!</definedName>
    <definedName name="MISC1" localSheetId="52">#REF!</definedName>
    <definedName name="MISC1" localSheetId="6">#REF!</definedName>
    <definedName name="MISC1">#REF!</definedName>
    <definedName name="MISC2" localSheetId="33">#REF!</definedName>
    <definedName name="MISC2" localSheetId="52">#REF!</definedName>
    <definedName name="MISC2" localSheetId="6">#REF!</definedName>
    <definedName name="MISC2">#REF!</definedName>
    <definedName name="MISC3" localSheetId="33">#REF!</definedName>
    <definedName name="MISC3" localSheetId="52">#REF!</definedName>
    <definedName name="MISC3" localSheetId="6">#REF!</definedName>
    <definedName name="MISC3">#REF!</definedName>
    <definedName name="MISC4" localSheetId="33">#REF!</definedName>
    <definedName name="MISC4" localSheetId="52">#REF!</definedName>
    <definedName name="MISC4" localSheetId="6">#REF!</definedName>
    <definedName name="MISC4">#REF!</definedName>
    <definedName name="MODEL" localSheetId="33">#REF!</definedName>
    <definedName name="MODEL" localSheetId="52">#REF!</definedName>
    <definedName name="MODEL" localSheetId="6">#REF!</definedName>
    <definedName name="MODEL" localSheetId="51">#REF!</definedName>
    <definedName name="MODEL" localSheetId="53">#REF!</definedName>
    <definedName name="MODEL">#REF!</definedName>
    <definedName name="month" localSheetId="33">#REF!</definedName>
    <definedName name="month" localSheetId="52">#REF!</definedName>
    <definedName name="month" localSheetId="5">#REF!</definedName>
    <definedName name="month" localSheetId="6">#REF!</definedName>
    <definedName name="month" localSheetId="7">#REF!</definedName>
    <definedName name="month" localSheetId="8">#REF!</definedName>
    <definedName name="month" localSheetId="47">#REF!</definedName>
    <definedName name="month" localSheetId="53">#REF!</definedName>
    <definedName name="month">#REF!</definedName>
    <definedName name="MONTHLYREC" localSheetId="33">#REF!</definedName>
    <definedName name="MONTHLYREC" localSheetId="52">#REF!</definedName>
    <definedName name="MONTHLYREC" localSheetId="6">#REF!</definedName>
    <definedName name="MONTHLYREC" localSheetId="51">#REF!</definedName>
    <definedName name="MONTHLYREC" localSheetId="53">#REF!</definedName>
    <definedName name="MONTHLYREC">#REF!</definedName>
    <definedName name="N_A" localSheetId="33">'[18]CAP ADJ'!#REF!</definedName>
    <definedName name="N_A" localSheetId="37">'[19]CAP ADJ'!#REF!</definedName>
    <definedName name="N_A" localSheetId="52">'[19]CAP ADJ'!#REF!</definedName>
    <definedName name="N_A" localSheetId="5">'[19]CAP ADJ'!#REF!</definedName>
    <definedName name="N_A" localSheetId="6">'[18]CAP ADJ'!#REF!</definedName>
    <definedName name="N_A" localSheetId="42">'[18]CAP ADJ'!#REF!</definedName>
    <definedName name="N_A" localSheetId="47">'[18]CAP ADJ'!#REF!</definedName>
    <definedName name="N_A" localSheetId="51">'[20]CAP ADJ'!#REF!</definedName>
    <definedName name="N_A" localSheetId="53">'[20]CAP ADJ'!#REF!</definedName>
    <definedName name="N_A" localSheetId="57">'[19]CAP ADJ'!#REF!</definedName>
    <definedName name="N_A">'[18]CAP ADJ'!#REF!</definedName>
    <definedName name="NO" localSheetId="33">#REF!</definedName>
    <definedName name="NO" localSheetId="52">#REF!</definedName>
    <definedName name="NO" localSheetId="6">#REF!</definedName>
    <definedName name="NO" localSheetId="42">#REF!</definedName>
    <definedName name="NO" localSheetId="47">#REF!</definedName>
    <definedName name="NO">#REF!</definedName>
    <definedName name="noe" localSheetId="33">#REF!</definedName>
    <definedName name="noe" localSheetId="52">#REF!</definedName>
    <definedName name="noe" localSheetId="6">#REF!</definedName>
    <definedName name="noe" localSheetId="42">#REF!</definedName>
    <definedName name="noe" localSheetId="47">#REF!</definedName>
    <definedName name="noe">#REF!</definedName>
    <definedName name="Non_Operating">'[43]lookup tables'!$I$5:$K$17</definedName>
    <definedName name="NormFedTax?" localSheetId="33">#REF!</definedName>
    <definedName name="NormFedTax?" localSheetId="52">#REF!</definedName>
    <definedName name="NormFedTax?" localSheetId="6">#REF!</definedName>
    <definedName name="NormFedTax?" localSheetId="51">#REF!</definedName>
    <definedName name="NormFedTax?" localSheetId="53">#REF!</definedName>
    <definedName name="NormFedTax?">#REF!</definedName>
    <definedName name="NormStateTax?" localSheetId="33">#REF!</definedName>
    <definedName name="NormStateTax?" localSheetId="52">#REF!</definedName>
    <definedName name="NormStateTax?" localSheetId="6">#REF!</definedName>
    <definedName name="NormStateTax?" localSheetId="51">#REF!</definedName>
    <definedName name="NormStateTax?" localSheetId="53">#REF!</definedName>
    <definedName name="NormStateTax?">#REF!</definedName>
    <definedName name="now" localSheetId="33">#REF!</definedName>
    <definedName name="now" localSheetId="52">#REF!</definedName>
    <definedName name="now" localSheetId="6">#REF!</definedName>
    <definedName name="now" localSheetId="42">#REF!</definedName>
    <definedName name="now" localSheetId="47">#REF!</definedName>
    <definedName name="now">#REF!</definedName>
    <definedName name="O" localSheetId="33">#REF!</definedName>
    <definedName name="O" localSheetId="52">#REF!</definedName>
    <definedName name="O" localSheetId="6">#REF!</definedName>
    <definedName name="O" localSheetId="51">#REF!</definedName>
    <definedName name="O" localSheetId="53">#REF!</definedName>
    <definedName name="O">#REF!</definedName>
    <definedName name="oms" localSheetId="33">'[40]Empl&amp;Benefit Data'!#REF!</definedName>
    <definedName name="oms" localSheetId="37">'[41]Empl&amp;Benefit Data'!#REF!</definedName>
    <definedName name="oms" localSheetId="52">'[41]Empl&amp;Benefit Data'!#REF!</definedName>
    <definedName name="oms" localSheetId="5">'[41]Empl&amp;Benefit Data'!#REF!</definedName>
    <definedName name="oms" localSheetId="6">'[40]Empl&amp;Benefit Data'!#REF!</definedName>
    <definedName name="oms" localSheetId="42">'[40]Empl&amp;Benefit Data'!#REF!</definedName>
    <definedName name="oms" localSheetId="47">'[40]Empl&amp;Benefit Data'!#REF!</definedName>
    <definedName name="oms" localSheetId="51">'[42]Empl&amp;Benefit Data'!#REF!</definedName>
    <definedName name="oms" localSheetId="53">'[42]Empl&amp;Benefit Data'!#REF!</definedName>
    <definedName name="oms" localSheetId="57">'[41]Empl&amp;Benefit Data'!#REF!</definedName>
    <definedName name="oms">'[40]Empl&amp;Benefit Data'!#REF!</definedName>
    <definedName name="one" localSheetId="19">{"'Summary'!$A$1:$J$24"}</definedName>
    <definedName name="one" localSheetId="37">{"'Summary'!$A$1:$J$24"}</definedName>
    <definedName name="one" localSheetId="52">{"'Summary'!$A$1:$J$24"}</definedName>
    <definedName name="one" localSheetId="57">{"'Summary'!$A$1:$J$24"}</definedName>
    <definedName name="one">{"'Summary'!$A$1:$J$24"}</definedName>
    <definedName name="one_1" localSheetId="19">{"'Summary'!$A$1:$J$24"}</definedName>
    <definedName name="one_1" localSheetId="37">{"'Summary'!$A$1:$J$24"}</definedName>
    <definedName name="one_1" localSheetId="52">{"'Summary'!$A$1:$J$24"}</definedName>
    <definedName name="one_1" localSheetId="57">{"'Summary'!$A$1:$J$24"}</definedName>
    <definedName name="one_1">{"'Summary'!$A$1:$J$24"}</definedName>
    <definedName name="one_1_1" localSheetId="19">{"'Summary'!$A$1:$J$24"}</definedName>
    <definedName name="one_1_1" localSheetId="37">{"'Summary'!$A$1:$J$24"}</definedName>
    <definedName name="one_1_1" localSheetId="52">{"'Summary'!$A$1:$J$24"}</definedName>
    <definedName name="one_1_1" localSheetId="57">{"'Summary'!$A$1:$J$24"}</definedName>
    <definedName name="one_1_1">{"'Summary'!$A$1:$J$24"}</definedName>
    <definedName name="one_1_1_1" localSheetId="19">{"'Summary'!$A$1:$J$24"}</definedName>
    <definedName name="one_1_1_1" localSheetId="37">{"'Summary'!$A$1:$J$24"}</definedName>
    <definedName name="one_1_1_1" localSheetId="52">{"'Summary'!$A$1:$J$24"}</definedName>
    <definedName name="one_1_1_1" localSheetId="57">{"'Summary'!$A$1:$J$24"}</definedName>
    <definedName name="one_1_1_1">{"'Summary'!$A$1:$J$24"}</definedName>
    <definedName name="one_1_2" localSheetId="19">{"'Summary'!$A$1:$J$24"}</definedName>
    <definedName name="one_1_2" localSheetId="37">{"'Summary'!$A$1:$J$24"}</definedName>
    <definedName name="one_1_2" localSheetId="52">{"'Summary'!$A$1:$J$24"}</definedName>
    <definedName name="one_1_2" localSheetId="57">{"'Summary'!$A$1:$J$24"}</definedName>
    <definedName name="one_1_2">{"'Summary'!$A$1:$J$24"}</definedName>
    <definedName name="one_1_2_1" localSheetId="19">{"'Summary'!$A$1:$J$24"}</definedName>
    <definedName name="one_1_2_1" localSheetId="37">{"'Summary'!$A$1:$J$24"}</definedName>
    <definedName name="one_1_2_1" localSheetId="52">{"'Summary'!$A$1:$J$24"}</definedName>
    <definedName name="one_1_2_1" localSheetId="57">{"'Summary'!$A$1:$J$24"}</definedName>
    <definedName name="one_1_2_1">{"'Summary'!$A$1:$J$24"}</definedName>
    <definedName name="one_1_3" localSheetId="19">{"'Summary'!$A$1:$J$24"}</definedName>
    <definedName name="one_1_3" localSheetId="37">{"'Summary'!$A$1:$J$24"}</definedName>
    <definedName name="one_1_3" localSheetId="52">{"'Summary'!$A$1:$J$24"}</definedName>
    <definedName name="one_1_3" localSheetId="57">{"'Summary'!$A$1:$J$24"}</definedName>
    <definedName name="one_1_3">{"'Summary'!$A$1:$J$24"}</definedName>
    <definedName name="one_2" localSheetId="19">{"'Summary'!$A$1:$J$24"}</definedName>
    <definedName name="one_2" localSheetId="37">{"'Summary'!$A$1:$J$24"}</definedName>
    <definedName name="one_2" localSheetId="52">{"'Summary'!$A$1:$J$24"}</definedName>
    <definedName name="one_2" localSheetId="57">{"'Summary'!$A$1:$J$24"}</definedName>
    <definedName name="one_2">{"'Summary'!$A$1:$J$24"}</definedName>
    <definedName name="one_2_1" localSheetId="19">{"'Summary'!$A$1:$J$24"}</definedName>
    <definedName name="one_2_1" localSheetId="37">{"'Summary'!$A$1:$J$24"}</definedName>
    <definedName name="one_2_1" localSheetId="52">{"'Summary'!$A$1:$J$24"}</definedName>
    <definedName name="one_2_1" localSheetId="57">{"'Summary'!$A$1:$J$24"}</definedName>
    <definedName name="one_2_1">{"'Summary'!$A$1:$J$24"}</definedName>
    <definedName name="one_2_1_1" localSheetId="19">{"'Summary'!$A$1:$J$24"}</definedName>
    <definedName name="one_2_1_1" localSheetId="37">{"'Summary'!$A$1:$J$24"}</definedName>
    <definedName name="one_2_1_1" localSheetId="52">{"'Summary'!$A$1:$J$24"}</definedName>
    <definedName name="one_2_1_1" localSheetId="57">{"'Summary'!$A$1:$J$24"}</definedName>
    <definedName name="one_2_1_1">{"'Summary'!$A$1:$J$24"}</definedName>
    <definedName name="one_2_2" localSheetId="19">{"'Summary'!$A$1:$J$24"}</definedName>
    <definedName name="one_2_2" localSheetId="37">{"'Summary'!$A$1:$J$24"}</definedName>
    <definedName name="one_2_2" localSheetId="52">{"'Summary'!$A$1:$J$24"}</definedName>
    <definedName name="one_2_2" localSheetId="57">{"'Summary'!$A$1:$J$24"}</definedName>
    <definedName name="one_2_2">{"'Summary'!$A$1:$J$24"}</definedName>
    <definedName name="one_2_2_1" localSheetId="19">{"'Summary'!$A$1:$J$24"}</definedName>
    <definedName name="one_2_2_1" localSheetId="37">{"'Summary'!$A$1:$J$24"}</definedName>
    <definedName name="one_2_2_1" localSheetId="52">{"'Summary'!$A$1:$J$24"}</definedName>
    <definedName name="one_2_2_1" localSheetId="57">{"'Summary'!$A$1:$J$24"}</definedName>
    <definedName name="one_2_2_1">{"'Summary'!$A$1:$J$24"}</definedName>
    <definedName name="one_2_3" localSheetId="19">{"'Summary'!$A$1:$J$24"}</definedName>
    <definedName name="one_2_3" localSheetId="37">{"'Summary'!$A$1:$J$24"}</definedName>
    <definedName name="one_2_3" localSheetId="52">{"'Summary'!$A$1:$J$24"}</definedName>
    <definedName name="one_2_3" localSheetId="57">{"'Summary'!$A$1:$J$24"}</definedName>
    <definedName name="one_2_3">{"'Summary'!$A$1:$J$24"}</definedName>
    <definedName name="one_3" localSheetId="19">{"'Summary'!$A$1:$J$24"}</definedName>
    <definedName name="one_3" localSheetId="37">{"'Summary'!$A$1:$J$24"}</definedName>
    <definedName name="one_3" localSheetId="52">{"'Summary'!$A$1:$J$24"}</definedName>
    <definedName name="one_3" localSheetId="57">{"'Summary'!$A$1:$J$24"}</definedName>
    <definedName name="one_3">{"'Summary'!$A$1:$J$24"}</definedName>
    <definedName name="one_3_1" localSheetId="19">{"'Summary'!$A$1:$J$24"}</definedName>
    <definedName name="one_3_1" localSheetId="37">{"'Summary'!$A$1:$J$24"}</definedName>
    <definedName name="one_3_1" localSheetId="52">{"'Summary'!$A$1:$J$24"}</definedName>
    <definedName name="one_3_1" localSheetId="57">{"'Summary'!$A$1:$J$24"}</definedName>
    <definedName name="one_3_1">{"'Summary'!$A$1:$J$24"}</definedName>
    <definedName name="one_3_1_1" localSheetId="19">{"'Summary'!$A$1:$J$24"}</definedName>
    <definedName name="one_3_1_1" localSheetId="37">{"'Summary'!$A$1:$J$24"}</definedName>
    <definedName name="one_3_1_1" localSheetId="52">{"'Summary'!$A$1:$J$24"}</definedName>
    <definedName name="one_3_1_1" localSheetId="57">{"'Summary'!$A$1:$J$24"}</definedName>
    <definedName name="one_3_1_1">{"'Summary'!$A$1:$J$24"}</definedName>
    <definedName name="one_3_2" localSheetId="19">{"'Summary'!$A$1:$J$24"}</definedName>
    <definedName name="one_3_2" localSheetId="37">{"'Summary'!$A$1:$J$24"}</definedName>
    <definedName name="one_3_2" localSheetId="52">{"'Summary'!$A$1:$J$24"}</definedName>
    <definedName name="one_3_2" localSheetId="57">{"'Summary'!$A$1:$J$24"}</definedName>
    <definedName name="one_3_2">{"'Summary'!$A$1:$J$24"}</definedName>
    <definedName name="one_3_2_1" localSheetId="19">{"'Summary'!$A$1:$J$24"}</definedName>
    <definedName name="one_3_2_1" localSheetId="37">{"'Summary'!$A$1:$J$24"}</definedName>
    <definedName name="one_3_2_1" localSheetId="52">{"'Summary'!$A$1:$J$24"}</definedName>
    <definedName name="one_3_2_1" localSheetId="57">{"'Summary'!$A$1:$J$24"}</definedName>
    <definedName name="one_3_2_1">{"'Summary'!$A$1:$J$24"}</definedName>
    <definedName name="one_3_3" localSheetId="19">{"'Summary'!$A$1:$J$24"}</definedName>
    <definedName name="one_3_3" localSheetId="37">{"'Summary'!$A$1:$J$24"}</definedName>
    <definedName name="one_3_3" localSheetId="52">{"'Summary'!$A$1:$J$24"}</definedName>
    <definedName name="one_3_3" localSheetId="57">{"'Summary'!$A$1:$J$24"}</definedName>
    <definedName name="one_3_3">{"'Summary'!$A$1:$J$24"}</definedName>
    <definedName name="one_4" localSheetId="19">{"'Summary'!$A$1:$J$24"}</definedName>
    <definedName name="one_4" localSheetId="37">{"'Summary'!$A$1:$J$24"}</definedName>
    <definedName name="one_4" localSheetId="52">{"'Summary'!$A$1:$J$24"}</definedName>
    <definedName name="one_4" localSheetId="57">{"'Summary'!$A$1:$J$24"}</definedName>
    <definedName name="one_4">{"'Summary'!$A$1:$J$24"}</definedName>
    <definedName name="one_4_1" localSheetId="19">{"'Summary'!$A$1:$J$24"}</definedName>
    <definedName name="one_4_1" localSheetId="37">{"'Summary'!$A$1:$J$24"}</definedName>
    <definedName name="one_4_1" localSheetId="52">{"'Summary'!$A$1:$J$24"}</definedName>
    <definedName name="one_4_1" localSheetId="57">{"'Summary'!$A$1:$J$24"}</definedName>
    <definedName name="one_4_1">{"'Summary'!$A$1:$J$24"}</definedName>
    <definedName name="one_4_1_1" localSheetId="19">{"'Summary'!$A$1:$J$24"}</definedName>
    <definedName name="one_4_1_1" localSheetId="37">{"'Summary'!$A$1:$J$24"}</definedName>
    <definedName name="one_4_1_1" localSheetId="52">{"'Summary'!$A$1:$J$24"}</definedName>
    <definedName name="one_4_1_1" localSheetId="57">{"'Summary'!$A$1:$J$24"}</definedName>
    <definedName name="one_4_1_1">{"'Summary'!$A$1:$J$24"}</definedName>
    <definedName name="one_4_2" localSheetId="19">{"'Summary'!$A$1:$J$24"}</definedName>
    <definedName name="one_4_2" localSheetId="37">{"'Summary'!$A$1:$J$24"}</definedName>
    <definedName name="one_4_2" localSheetId="52">{"'Summary'!$A$1:$J$24"}</definedName>
    <definedName name="one_4_2" localSheetId="57">{"'Summary'!$A$1:$J$24"}</definedName>
    <definedName name="one_4_2">{"'Summary'!$A$1:$J$24"}</definedName>
    <definedName name="one_4_2_1" localSheetId="19">{"'Summary'!$A$1:$J$24"}</definedName>
    <definedName name="one_4_2_1" localSheetId="37">{"'Summary'!$A$1:$J$24"}</definedName>
    <definedName name="one_4_2_1" localSheetId="52">{"'Summary'!$A$1:$J$24"}</definedName>
    <definedName name="one_4_2_1" localSheetId="57">{"'Summary'!$A$1:$J$24"}</definedName>
    <definedName name="one_4_2_1">{"'Summary'!$A$1:$J$24"}</definedName>
    <definedName name="one_4_3" localSheetId="19">{"'Summary'!$A$1:$J$24"}</definedName>
    <definedName name="one_4_3" localSheetId="37">{"'Summary'!$A$1:$J$24"}</definedName>
    <definedName name="one_4_3" localSheetId="52">{"'Summary'!$A$1:$J$24"}</definedName>
    <definedName name="one_4_3" localSheetId="57">{"'Summary'!$A$1:$J$24"}</definedName>
    <definedName name="one_4_3">{"'Summary'!$A$1:$J$24"}</definedName>
    <definedName name="one_5" localSheetId="19">{"'Summary'!$A$1:$J$24"}</definedName>
    <definedName name="one_5" localSheetId="37">{"'Summary'!$A$1:$J$24"}</definedName>
    <definedName name="one_5" localSheetId="52">{"'Summary'!$A$1:$J$24"}</definedName>
    <definedName name="one_5" localSheetId="57">{"'Summary'!$A$1:$J$24"}</definedName>
    <definedName name="one_5">{"'Summary'!$A$1:$J$24"}</definedName>
    <definedName name="one_5_1" localSheetId="19">{"'Summary'!$A$1:$J$24"}</definedName>
    <definedName name="one_5_1" localSheetId="37">{"'Summary'!$A$1:$J$24"}</definedName>
    <definedName name="one_5_1" localSheetId="52">{"'Summary'!$A$1:$J$24"}</definedName>
    <definedName name="one_5_1" localSheetId="57">{"'Summary'!$A$1:$J$24"}</definedName>
    <definedName name="one_5_1">{"'Summary'!$A$1:$J$24"}</definedName>
    <definedName name="one_5_1_1" localSheetId="19">{"'Summary'!$A$1:$J$24"}</definedName>
    <definedName name="one_5_1_1" localSheetId="37">{"'Summary'!$A$1:$J$24"}</definedName>
    <definedName name="one_5_1_1" localSheetId="52">{"'Summary'!$A$1:$J$24"}</definedName>
    <definedName name="one_5_1_1" localSheetId="57">{"'Summary'!$A$1:$J$24"}</definedName>
    <definedName name="one_5_1_1">{"'Summary'!$A$1:$J$24"}</definedName>
    <definedName name="one_5_2" localSheetId="19">{"'Summary'!$A$1:$J$24"}</definedName>
    <definedName name="one_5_2" localSheetId="37">{"'Summary'!$A$1:$J$24"}</definedName>
    <definedName name="one_5_2" localSheetId="52">{"'Summary'!$A$1:$J$24"}</definedName>
    <definedName name="one_5_2" localSheetId="57">{"'Summary'!$A$1:$J$24"}</definedName>
    <definedName name="one_5_2">{"'Summary'!$A$1:$J$24"}</definedName>
    <definedName name="one_5_2_1" localSheetId="19">{"'Summary'!$A$1:$J$24"}</definedName>
    <definedName name="one_5_2_1" localSheetId="37">{"'Summary'!$A$1:$J$24"}</definedName>
    <definedName name="one_5_2_1" localSheetId="52">{"'Summary'!$A$1:$J$24"}</definedName>
    <definedName name="one_5_2_1" localSheetId="57">{"'Summary'!$A$1:$J$24"}</definedName>
    <definedName name="one_5_2_1">{"'Summary'!$A$1:$J$24"}</definedName>
    <definedName name="one_5_3" localSheetId="19">{"'Summary'!$A$1:$J$24"}</definedName>
    <definedName name="one_5_3" localSheetId="37">{"'Summary'!$A$1:$J$24"}</definedName>
    <definedName name="one_5_3" localSheetId="52">{"'Summary'!$A$1:$J$24"}</definedName>
    <definedName name="one_5_3" localSheetId="57">{"'Summary'!$A$1:$J$24"}</definedName>
    <definedName name="one_5_3">{"'Summary'!$A$1:$J$24"}</definedName>
    <definedName name="Option_05a">[50]Options!$B$46</definedName>
    <definedName name="Option_05b">[50]Options!$B$50</definedName>
    <definedName name="originalbooklife">'[51]Depreciation (go here 1st)'!$B$21</definedName>
    <definedName name="Other" localSheetId="33">#REF!</definedName>
    <definedName name="Other" localSheetId="52">#REF!</definedName>
    <definedName name="Other" localSheetId="5">#REF!</definedName>
    <definedName name="Other" localSheetId="6">#REF!</definedName>
    <definedName name="Other" localSheetId="7">#REF!</definedName>
    <definedName name="Other" localSheetId="8">#REF!</definedName>
    <definedName name="Other" localSheetId="51">#REF!</definedName>
    <definedName name="Other" localSheetId="53">#REF!</definedName>
    <definedName name="Other">#REF!</definedName>
    <definedName name="Other_detail" localSheetId="33">#REF!</definedName>
    <definedName name="Other_detail" localSheetId="52">#REF!</definedName>
    <definedName name="Other_detail" localSheetId="5">#REF!</definedName>
    <definedName name="Other_detail" localSheetId="7">#REF!</definedName>
    <definedName name="Other_detail" localSheetId="8">#REF!</definedName>
    <definedName name="Other_detail">#REF!</definedName>
    <definedName name="otherrev" localSheetId="19" hidden="1">{#N/A,#N/A,TRUE,"SDGE";#N/A,#N/A,TRUE,"GBU";#N/A,#N/A,TRUE,"TBU";#N/A,#N/A,TRUE,"EDBU";#N/A,#N/A,TRUE,"ExclCC"}</definedName>
    <definedName name="otherrev" localSheetId="36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41" hidden="1">{#N/A,#N/A,TRUE,"SDGE";#N/A,#N/A,TRUE,"GBU";#N/A,#N/A,TRUE,"TBU";#N/A,#N/A,TRUE,"EDBU";#N/A,#N/A,TRUE,"ExclCC"}</definedName>
    <definedName name="otherrev" localSheetId="52" hidden="1">{#N/A,#N/A,TRUE,"SDGE";#N/A,#N/A,TRUE,"GBU";#N/A,#N/A,TRUE,"TBU";#N/A,#N/A,TRUE,"EDBU";#N/A,#N/A,TRUE,"ExclCC"}</definedName>
    <definedName name="otherrev" localSheetId="5" hidden="1">{#N/A,#N/A,TRUE,"SDGE";#N/A,#N/A,TRUE,"GBU";#N/A,#N/A,TRUE,"TBU";#N/A,#N/A,TRUE,"EDBU";#N/A,#N/A,TRUE,"ExclCC"}</definedName>
    <definedName name="otherrev" localSheetId="57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pa" localSheetId="33">#REF!</definedName>
    <definedName name="pa" localSheetId="52">#REF!</definedName>
    <definedName name="pa" localSheetId="6">#REF!</definedName>
    <definedName name="pa" localSheetId="42">#REF!</definedName>
    <definedName name="pa" localSheetId="47">#REF!</definedName>
    <definedName name="pa">#REF!</definedName>
    <definedName name="PAGE1" localSheetId="33">#REF!</definedName>
    <definedName name="PAGE1" localSheetId="52">#REF!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47">#REF!</definedName>
    <definedName name="PAGE1" localSheetId="53">#REF!</definedName>
    <definedName name="PAGE1">#REF!</definedName>
    <definedName name="page1997" localSheetId="33">#REF!</definedName>
    <definedName name="page1997" localSheetId="52">#REF!</definedName>
    <definedName name="page1997" localSheetId="5">#REF!</definedName>
    <definedName name="page1997" localSheetId="6">#REF!</definedName>
    <definedName name="page1997" localSheetId="7">#REF!</definedName>
    <definedName name="page1997" localSheetId="8">#REF!</definedName>
    <definedName name="page1997" localSheetId="47">#REF!</definedName>
    <definedName name="page1997" localSheetId="51">#REF!</definedName>
    <definedName name="page1997" localSheetId="53">#REF!</definedName>
    <definedName name="page1997">#REF!</definedName>
    <definedName name="PAGE2" localSheetId="33">#REF!</definedName>
    <definedName name="PAGE2" localSheetId="52">#REF!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47">#REF!</definedName>
    <definedName name="PAGE2" localSheetId="53">#REF!</definedName>
    <definedName name="PAGE2">#REF!</definedName>
    <definedName name="PAGE3">[52]B!$A$119:$N$173</definedName>
    <definedName name="PAGE4">[52]B!$A$176:$N$236</definedName>
    <definedName name="PAGE5">[52]B!$A$237:$N$275</definedName>
    <definedName name="PayType">'[31]Drop Down List'!$B$65:$B$77</definedName>
    <definedName name="PBR_06">[53]Options!$B$231</definedName>
    <definedName name="period" localSheetId="33">#REF!</definedName>
    <definedName name="period" localSheetId="52">#REF!</definedName>
    <definedName name="period" localSheetId="6">#REF!</definedName>
    <definedName name="period" localSheetId="51">#REF!</definedName>
    <definedName name="period" localSheetId="53">#REF!</definedName>
    <definedName name="period">#REF!</definedName>
    <definedName name="PG565A" localSheetId="33">#REF!</definedName>
    <definedName name="PG565A" localSheetId="52">#REF!</definedName>
    <definedName name="PG565A" localSheetId="6">#REF!</definedName>
    <definedName name="PG565A" localSheetId="51">#REF!</definedName>
    <definedName name="PG565A" localSheetId="53">#REF!</definedName>
    <definedName name="PG565A">#REF!</definedName>
    <definedName name="PG568A" localSheetId="33">[2]Sheet2!#REF!</definedName>
    <definedName name="PG568A" localSheetId="52">[2]Sheet2!#REF!</definedName>
    <definedName name="PG568A" localSheetId="6">[2]Sheet2!#REF!</definedName>
    <definedName name="PG568A" localSheetId="51">[2]Sheet2!#REF!</definedName>
    <definedName name="PG568A" localSheetId="53">[2]Sheet2!#REF!</definedName>
    <definedName name="PG568A">[2]Sheet2!#REF!</definedName>
    <definedName name="PG568A1" localSheetId="33">[2]Sheet2!#REF!</definedName>
    <definedName name="PG568A1" localSheetId="52">[2]Sheet2!#REF!</definedName>
    <definedName name="PG568A1" localSheetId="6">[2]Sheet2!#REF!</definedName>
    <definedName name="PG568A1" localSheetId="51">[2]Sheet2!#REF!</definedName>
    <definedName name="PG568A1" localSheetId="53">[2]Sheet2!#REF!</definedName>
    <definedName name="PG568A1">[2]Sheet2!#REF!</definedName>
    <definedName name="PG568B" localSheetId="33">[2]Sheet2!#REF!</definedName>
    <definedName name="PG568B" localSheetId="52">[2]Sheet2!#REF!</definedName>
    <definedName name="PG568B" localSheetId="6">[2]Sheet2!#REF!</definedName>
    <definedName name="PG568B" localSheetId="51">[2]Sheet2!#REF!</definedName>
    <definedName name="PG568B" localSheetId="53">[2]Sheet2!#REF!</definedName>
    <definedName name="PG568B">[2]Sheet2!#REF!</definedName>
    <definedName name="pmcat" localSheetId="33">#REF!</definedName>
    <definedName name="pmcat" localSheetId="52">#REF!</definedName>
    <definedName name="pmcat" localSheetId="6">#REF!</definedName>
    <definedName name="pmcat" localSheetId="51">#REF!</definedName>
    <definedName name="pmcat" localSheetId="53">#REF!</definedName>
    <definedName name="pmcat">#REF!</definedName>
    <definedName name="pmper" localSheetId="33">#REF!</definedName>
    <definedName name="pmper" localSheetId="52">#REF!</definedName>
    <definedName name="pmper" localSheetId="6">#REF!</definedName>
    <definedName name="pmper" localSheetId="51">#REF!</definedName>
    <definedName name="pmper" localSheetId="53">#REF!</definedName>
    <definedName name="pmper">#REF!</definedName>
    <definedName name="POOL_ORDER_2005_amts_AULT3" localSheetId="33">#REF!</definedName>
    <definedName name="POOL_ORDER_2005_amts_AULT3" localSheetId="52">#REF!</definedName>
    <definedName name="POOL_ORDER_2005_amts_AULT3" localSheetId="6">#REF!</definedName>
    <definedName name="POOL_ORDER_2005_amts_AULT3">#REF!</definedName>
    <definedName name="PRINT" localSheetId="33">#REF!</definedName>
    <definedName name="PRINT" localSheetId="52">#REF!</definedName>
    <definedName name="PRINT" localSheetId="5">#REF!</definedName>
    <definedName name="PRINT" localSheetId="6">#REF!</definedName>
    <definedName name="PRINT" localSheetId="7">#REF!</definedName>
    <definedName name="PRINT" localSheetId="8">#REF!</definedName>
    <definedName name="PRINT" localSheetId="51">#REF!</definedName>
    <definedName name="PRINT" localSheetId="53">#REF!</definedName>
    <definedName name="PRINT">#REF!</definedName>
    <definedName name="_xlnm.Print_Area" localSheetId="2">'A. Sec.1 - Direct Maintenance'!$A$1:$H$28</definedName>
    <definedName name="_xlnm.Print_Area" localSheetId="11">'AD-1'!$A$1:$G$37</definedName>
    <definedName name="_xlnm.Print_Area" localSheetId="22">'AD-10'!$A$1:$F$24</definedName>
    <definedName name="_xlnm.Print_Area" localSheetId="12">'AD-2'!$A$1:$G$37</definedName>
    <definedName name="_xlnm.Print_Area" localSheetId="13">'AD-3'!$A$1:$G$37</definedName>
    <definedName name="_xlnm.Print_Area" localSheetId="14">'AD-4'!$A$1:$G$37</definedName>
    <definedName name="_xlnm.Print_Area" localSheetId="15">'AD-5'!$A$1:$G$26</definedName>
    <definedName name="_xlnm.Print_Area" localSheetId="16">'AD-6'!$A$1:$G$43</definedName>
    <definedName name="_xlnm.Print_Area" localSheetId="17">'AD-6A'!$A$1:$M$39</definedName>
    <definedName name="_xlnm.Print_Area" localSheetId="18">'AD-6B'!$A$1:$M$39</definedName>
    <definedName name="_xlnm.Print_Area" localSheetId="19">'AD-7'!$A$1:$G$34</definedName>
    <definedName name="_xlnm.Print_Area" localSheetId="20">'AD-8'!$A$1:$E$21</definedName>
    <definedName name="_xlnm.Print_Area" localSheetId="21">'AD-9'!$A$1:$E$21</definedName>
    <definedName name="_xlnm.Print_Area" localSheetId="24">'AE-1'!$A$1:$G$41</definedName>
    <definedName name="_xlnm.Print_Area" localSheetId="25">'AE-1A'!$A$1:$G$36</definedName>
    <definedName name="_xlnm.Print_Area" localSheetId="26">'AE-1B'!$A$1:$M$40</definedName>
    <definedName name="_xlnm.Print_Area" localSheetId="27">'AE-1C'!$A$1:$M$40</definedName>
    <definedName name="_xlnm.Print_Area" localSheetId="28">'AE-2'!$A$1:$E$21</definedName>
    <definedName name="_xlnm.Print_Area" localSheetId="29">'AE-3'!$A$1:$E$21</definedName>
    <definedName name="_xlnm.Print_Area" localSheetId="30">'AE-4'!$A$1:$H$24</definedName>
    <definedName name="_xlnm.Print_Area" localSheetId="32">'AF-1'!$A$1:$K$46</definedName>
    <definedName name="_xlnm.Print_Area" localSheetId="33">'AF-2'!$A$1:$K$46</definedName>
    <definedName name="_xlnm.Print_Area" localSheetId="34">'AF-3'!$A$1:$G$24</definedName>
    <definedName name="_xlnm.Print_Area" localSheetId="36">'AG-1'!$A$1:$E$33</definedName>
    <definedName name="_xlnm.Print_Area" localSheetId="37">'AG-1A'!$A$1:$G$18</definedName>
    <definedName name="_xlnm.Print_Area" localSheetId="39">'AH-1'!$A$1:$E$63</definedName>
    <definedName name="_xlnm.Print_Area" localSheetId="40">'AH-2'!$A$1:$H$75</definedName>
    <definedName name="_xlnm.Print_Area" localSheetId="41">'AH-3'!$A$1:$H$56</definedName>
    <definedName name="_xlnm.Print_Area" localSheetId="43">'AI-1'!$A$1:$F$59</definedName>
    <definedName name="_xlnm.Print_Area" localSheetId="45">'AJ-1'!$A$1:$E$17</definedName>
    <definedName name="_xlnm.Print_Area" localSheetId="46">'AJ-2'!$A$1:$F$17</definedName>
    <definedName name="_xlnm.Print_Area" localSheetId="49">'AL-1'!$A$1:$E$34</definedName>
    <definedName name="_xlnm.Print_Area" localSheetId="50">'AL-2'!$A$1:$E$32</definedName>
    <definedName name="_xlnm.Print_Area" localSheetId="52">'AR-1'!$A$1:$I$39</definedName>
    <definedName name="_xlnm.Print_Area" localSheetId="58">Automation!$A$1:$D$17</definedName>
    <definedName name="_xlnm.Print_Area" localSheetId="54">'AV-2A'!$A$1:$D$61</definedName>
    <definedName name="_xlnm.Print_Area" localSheetId="55">'AV-2B'!$A$1:$E$29</definedName>
    <definedName name="_xlnm.Print_Area" localSheetId="56">'AV-4'!$A$1:$F$85</definedName>
    <definedName name="_xlnm.Print_Area" localSheetId="3">'B. Sec.2 - Non-Direct Expenses'!$A$1:$H$98</definedName>
    <definedName name="_xlnm.Print_Area" localSheetId="4">'C. Sec.3 - Other Costs'!$A$1:$J$47</definedName>
    <definedName name="_xlnm.Print_Area" localSheetId="5">'D. Sec.4 - TU'!$A$1:$N$42</definedName>
    <definedName name="_xlnm.Print_Area" localSheetId="6">'D1. Sec.4 - PY Invoice Summary'!$A$1:$E$54</definedName>
    <definedName name="_xlnm.Print_Area" localSheetId="7">'E. Sec.5 - Interest TU (BP)'!$A$1:$I$37</definedName>
    <definedName name="_xlnm.Print_Area" localSheetId="8">'E1. Sec.5 - Interest TU (CY)'!$A$1:$J$39</definedName>
    <definedName name="_xlnm.Print_Area" localSheetId="10">'Stmt AD'!$A$1:$L$53</definedName>
    <definedName name="_xlnm.Print_Area" localSheetId="23">'Stmt AE'!$A$1:$L$36</definedName>
    <definedName name="_xlnm.Print_Area" localSheetId="31">'Stmt AF'!$A$1:$L$29</definedName>
    <definedName name="_xlnm.Print_Area" localSheetId="35">'Stmt AG'!$A$1:$H$15</definedName>
    <definedName name="_xlnm.Print_Area" localSheetId="38">'Stmt AH'!$A$1:$H$70</definedName>
    <definedName name="_xlnm.Print_Area" localSheetId="42">'Stmt AI'!$A$1:$H$32</definedName>
    <definedName name="_xlnm.Print_Area" localSheetId="44">'Stmt AJ'!$A$1:$H$37</definedName>
    <definedName name="_xlnm.Print_Area" localSheetId="47">'Stmt AK'!$A$1:$H$44</definedName>
    <definedName name="_xlnm.Print_Area" localSheetId="48">'Stmt AL'!$A$1:$J$33</definedName>
    <definedName name="_xlnm.Print_Area" localSheetId="51">'Stmt AR'!$A$1:$H$25</definedName>
    <definedName name="_xlnm.Print_Area" localSheetId="53">'Stmt AV'!$A$1:$J$156</definedName>
    <definedName name="_xlnm.Print_Area" localSheetId="57">'Stmt Misc.'!$A$1:$H$21</definedName>
    <definedName name="_xlnm.Print_Area" localSheetId="1">'Summary of Cost Components'!$A$1:$E$54</definedName>
    <definedName name="_xlnm.Print_Area">#REF!</definedName>
    <definedName name="Print_Area_MI" localSheetId="33">#REF!</definedName>
    <definedName name="Print_Area_MI" localSheetId="52">#REF!</definedName>
    <definedName name="Print_Area_MI" localSheetId="6">#REF!</definedName>
    <definedName name="Print_Area_MI" localSheetId="51">#REF!</definedName>
    <definedName name="Print_Area_MI" localSheetId="53">#REF!</definedName>
    <definedName name="Print_Area_MI">#REF!</definedName>
    <definedName name="PRINT1" localSheetId="33">#REF!</definedName>
    <definedName name="PRINT1" localSheetId="52">#REF!</definedName>
    <definedName name="PRINT1" localSheetId="6">#REF!</definedName>
    <definedName name="PRINT1" localSheetId="42">#REF!</definedName>
    <definedName name="PRINT1" localSheetId="47">#REF!</definedName>
    <definedName name="PRINT1" localSheetId="51">#REF!</definedName>
    <definedName name="PRINT1" localSheetId="53">#REF!</definedName>
    <definedName name="PRINT1">#REF!</definedName>
    <definedName name="PRINTCAT" localSheetId="19">#N/A</definedName>
    <definedName name="PRINTCAT" localSheetId="33">#N/A</definedName>
    <definedName name="PRINTCAT" localSheetId="36">'AG-1'!PRINTCAT</definedName>
    <definedName name="PRINTCAT" localSheetId="37">#N/A</definedName>
    <definedName name="PRINTCAT" localSheetId="41">'AH-3'!PRINTCAT</definedName>
    <definedName name="PRINTCAT" localSheetId="52">#N/A</definedName>
    <definedName name="PRINTCAT" localSheetId="5">#N/A</definedName>
    <definedName name="PRINTCAT" localSheetId="6">#N/A</definedName>
    <definedName name="PRINTCAT" localSheetId="42">'Stmt AI'!PRINTCAT</definedName>
    <definedName name="PRINTCAT" localSheetId="47">'Stmt AK'!PRINTCAT</definedName>
    <definedName name="PRINTCAT" localSheetId="57">#N/A</definedName>
    <definedName name="PRINTCAT">'AG-1'!PRINTCAT</definedName>
    <definedName name="PRINTPAGE1" localSheetId="19">#N/A</definedName>
    <definedName name="PRINTPAGE1" localSheetId="33">#N/A</definedName>
    <definedName name="PRINTPAGE1" localSheetId="36">'AG-1'!PRINTPAGE1</definedName>
    <definedName name="PRINTPAGE1" localSheetId="37">#N/A</definedName>
    <definedName name="PRINTPAGE1" localSheetId="41">'AH-3'!PRINTPAGE1</definedName>
    <definedName name="PRINTPAGE1" localSheetId="52">#N/A</definedName>
    <definedName name="PRINTPAGE1" localSheetId="5">#N/A</definedName>
    <definedName name="PRINTPAGE1" localSheetId="6">#N/A</definedName>
    <definedName name="PRINTPAGE1" localSheetId="42">'Stmt AI'!PRINTPAGE1</definedName>
    <definedName name="PRINTPAGE1" localSheetId="47">'Stmt AK'!PRINTPAGE1</definedName>
    <definedName name="PRINTPAGE1" localSheetId="57">#N/A</definedName>
    <definedName name="PRINTPAGE1">'AG-1'!PRINTPAGE1</definedName>
    <definedName name="Project" localSheetId="37">[34]Sheet2!$C$3:$C$26</definedName>
    <definedName name="Project" localSheetId="52">[34]Sheet2!$C$3:$C$26</definedName>
    <definedName name="Project" localSheetId="5">[34]Sheet2!$C$3:$C$26</definedName>
    <definedName name="Project" localSheetId="51">[54]Sheet2!$C$3:$C$26</definedName>
    <definedName name="Project" localSheetId="53">[54]Sheet2!$C$3:$C$26</definedName>
    <definedName name="Project" localSheetId="57">[34]Sheet2!$C$3:$C$26</definedName>
    <definedName name="Project">[36]Sheet2!$C$3:$C$26</definedName>
    <definedName name="pyeper" localSheetId="33">#REF!</definedName>
    <definedName name="pyeper" localSheetId="52">#REF!</definedName>
    <definedName name="pyeper" localSheetId="6">#REF!</definedName>
    <definedName name="pyeper" localSheetId="51">#REF!</definedName>
    <definedName name="pyeper" localSheetId="53">#REF!</definedName>
    <definedName name="pyeper">#REF!</definedName>
    <definedName name="qry_501_COR" localSheetId="33">#REF!</definedName>
    <definedName name="qry_501_COR" localSheetId="52">#REF!</definedName>
    <definedName name="qry_501_COR" localSheetId="6">#REF!</definedName>
    <definedName name="qry_501_COR" localSheetId="51">#REF!</definedName>
    <definedName name="qry_501_COR" localSheetId="53">#REF!</definedName>
    <definedName name="qry_501_COR">#REF!</definedName>
    <definedName name="qry_Cost_of_Removal" localSheetId="33">#REF!</definedName>
    <definedName name="qry_Cost_of_Removal" localSheetId="52">#REF!</definedName>
    <definedName name="qry_Cost_of_Removal" localSheetId="6">#REF!</definedName>
    <definedName name="qry_Cost_of_Removal" localSheetId="51">#REF!</definedName>
    <definedName name="qry_Cost_of_Removal" localSheetId="53">#REF!</definedName>
    <definedName name="qry_Cost_of_Removal">#REF!</definedName>
    <definedName name="RateCase" localSheetId="33">#REF!</definedName>
    <definedName name="RateCase" localSheetId="52">#REF!</definedName>
    <definedName name="RateCase" localSheetId="6">#REF!</definedName>
    <definedName name="RateCase" localSheetId="51">#REF!</definedName>
    <definedName name="RateCase" localSheetId="53">#REF!</definedName>
    <definedName name="RateCase">#REF!</definedName>
    <definedName name="RawData" localSheetId="33">#REF!</definedName>
    <definedName name="RawData" localSheetId="52">#REF!</definedName>
    <definedName name="RawData" localSheetId="6">#REF!</definedName>
    <definedName name="RawData" localSheetId="51">#REF!</definedName>
    <definedName name="RawData" localSheetId="53">#REF!</definedName>
    <definedName name="RawData">#REF!</definedName>
    <definedName name="Regulated_Export" localSheetId="33">#REF!</definedName>
    <definedName name="Regulated_Export" localSheetId="52">#REF!</definedName>
    <definedName name="Regulated_Export" localSheetId="6">#REF!</definedName>
    <definedName name="Regulated_Export" localSheetId="42">#REF!</definedName>
    <definedName name="Regulated_Export" localSheetId="47">#REF!</definedName>
    <definedName name="Regulated_Export" localSheetId="51">#REF!</definedName>
    <definedName name="Regulated_Export" localSheetId="53">#REF!</definedName>
    <definedName name="Regulated_Export">#REF!</definedName>
    <definedName name="report01" localSheetId="33">#REF!</definedName>
    <definedName name="report01" localSheetId="52">#REF!</definedName>
    <definedName name="report01" localSheetId="5">#REF!</definedName>
    <definedName name="report01" localSheetId="6">#REF!</definedName>
    <definedName name="report01" localSheetId="7">#REF!</definedName>
    <definedName name="report01" localSheetId="8">#REF!</definedName>
    <definedName name="report01" localSheetId="47">#REF!</definedName>
    <definedName name="report01" localSheetId="53">#REF!</definedName>
    <definedName name="report01">#REF!</definedName>
    <definedName name="report02" localSheetId="33">#REF!</definedName>
    <definedName name="report02" localSheetId="52">#REF!</definedName>
    <definedName name="report02" localSheetId="5">#REF!</definedName>
    <definedName name="report02" localSheetId="6">#REF!</definedName>
    <definedName name="report02" localSheetId="7">#REF!</definedName>
    <definedName name="report02" localSheetId="8">#REF!</definedName>
    <definedName name="report02" localSheetId="47">#REF!</definedName>
    <definedName name="report02" localSheetId="53">#REF!</definedName>
    <definedName name="report02">#REF!</definedName>
    <definedName name="report04" localSheetId="33">#REF!</definedName>
    <definedName name="report04" localSheetId="52">#REF!</definedName>
    <definedName name="report04" localSheetId="5">#REF!</definedName>
    <definedName name="report04" localSheetId="6">#REF!</definedName>
    <definedName name="report04" localSheetId="7">#REF!</definedName>
    <definedName name="report04" localSheetId="8">#REF!</definedName>
    <definedName name="report04" localSheetId="47">#REF!</definedName>
    <definedName name="report04" localSheetId="53">#REF!</definedName>
    <definedName name="report04">#REF!</definedName>
    <definedName name="report05" localSheetId="33">#REF!</definedName>
    <definedName name="report05" localSheetId="52">#REF!</definedName>
    <definedName name="report05" localSheetId="5">#REF!</definedName>
    <definedName name="report05" localSheetId="6">#REF!</definedName>
    <definedName name="report05" localSheetId="7">#REF!</definedName>
    <definedName name="report05" localSheetId="8">#REF!</definedName>
    <definedName name="report05" localSheetId="47">#REF!</definedName>
    <definedName name="report05" localSheetId="53">#REF!</definedName>
    <definedName name="report05">#REF!</definedName>
    <definedName name="report06" localSheetId="33">#REF!</definedName>
    <definedName name="report06" localSheetId="52">#REF!</definedName>
    <definedName name="report06" localSheetId="5">#REF!</definedName>
    <definedName name="report06" localSheetId="6">#REF!</definedName>
    <definedName name="report06" localSheetId="7">#REF!</definedName>
    <definedName name="report06" localSheetId="8">#REF!</definedName>
    <definedName name="report06" localSheetId="47">#REF!</definedName>
    <definedName name="report06" localSheetId="53">#REF!</definedName>
    <definedName name="report06">#REF!</definedName>
    <definedName name="report07" localSheetId="33">#REF!</definedName>
    <definedName name="report07" localSheetId="52">#REF!</definedName>
    <definedName name="report07" localSheetId="5">#REF!</definedName>
    <definedName name="report07" localSheetId="6">#REF!</definedName>
    <definedName name="report07" localSheetId="7">#REF!</definedName>
    <definedName name="report07" localSheetId="8">#REF!</definedName>
    <definedName name="report07" localSheetId="47">#REF!</definedName>
    <definedName name="report07" localSheetId="53">#REF!</definedName>
    <definedName name="report07">#REF!</definedName>
    <definedName name="report08" localSheetId="33">#REF!</definedName>
    <definedName name="report08" localSheetId="52">#REF!</definedName>
    <definedName name="report08" localSheetId="5">#REF!</definedName>
    <definedName name="report08" localSheetId="6">#REF!</definedName>
    <definedName name="report08" localSheetId="7">#REF!</definedName>
    <definedName name="report08" localSheetId="8">#REF!</definedName>
    <definedName name="report08" localSheetId="47">#REF!</definedName>
    <definedName name="report08" localSheetId="53">#REF!</definedName>
    <definedName name="report08">#REF!</definedName>
    <definedName name="report09" localSheetId="33">#REF!</definedName>
    <definedName name="report09" localSheetId="52">#REF!</definedName>
    <definedName name="report09" localSheetId="5">#REF!</definedName>
    <definedName name="report09" localSheetId="6">#REF!</definedName>
    <definedName name="report09" localSheetId="7">#REF!</definedName>
    <definedName name="report09" localSheetId="8">#REF!</definedName>
    <definedName name="report09" localSheetId="47">#REF!</definedName>
    <definedName name="report09" localSheetId="53">#REF!</definedName>
    <definedName name="report09">#REF!</definedName>
    <definedName name="report10" localSheetId="33">#REF!</definedName>
    <definedName name="report10" localSheetId="52">#REF!</definedName>
    <definedName name="report10" localSheetId="5">#REF!</definedName>
    <definedName name="report10" localSheetId="6">#REF!</definedName>
    <definedName name="report10" localSheetId="7">#REF!</definedName>
    <definedName name="report10" localSheetId="8">#REF!</definedName>
    <definedName name="report10" localSheetId="47">#REF!</definedName>
    <definedName name="report10" localSheetId="53">#REF!</definedName>
    <definedName name="report10">#REF!</definedName>
    <definedName name="report11" localSheetId="33">#REF!</definedName>
    <definedName name="report11" localSheetId="52">#REF!</definedName>
    <definedName name="report11" localSheetId="5">#REF!</definedName>
    <definedName name="report11" localSheetId="6">#REF!</definedName>
    <definedName name="report11" localSheetId="7">#REF!</definedName>
    <definedName name="report11" localSheetId="8">#REF!</definedName>
    <definedName name="report11" localSheetId="47">#REF!</definedName>
    <definedName name="report11" localSheetId="53">#REF!</definedName>
    <definedName name="report11">#REF!</definedName>
    <definedName name="report12" localSheetId="33">#REF!</definedName>
    <definedName name="report12" localSheetId="52">#REF!</definedName>
    <definedName name="report12" localSheetId="5">#REF!</definedName>
    <definedName name="report12" localSheetId="6">#REF!</definedName>
    <definedName name="report12" localSheetId="7">#REF!</definedName>
    <definedName name="report12" localSheetId="8">#REF!</definedName>
    <definedName name="report12" localSheetId="47">#REF!</definedName>
    <definedName name="report12" localSheetId="53">#REF!</definedName>
    <definedName name="report12">#REF!</definedName>
    <definedName name="Revenues" localSheetId="33">#REF!</definedName>
    <definedName name="Revenues" localSheetId="52">#REF!</definedName>
    <definedName name="Revenues" localSheetId="5">#REF!</definedName>
    <definedName name="Revenues" localSheetId="6">#REF!</definedName>
    <definedName name="Revenues" localSheetId="7">#REF!</definedName>
    <definedName name="Revenues" localSheetId="8">#REF!</definedName>
    <definedName name="Revenues" localSheetId="51">#REF!</definedName>
    <definedName name="Revenues" localSheetId="53">#REF!</definedName>
    <definedName name="Revenues">#REF!</definedName>
    <definedName name="rngCompany" localSheetId="33">#REF!</definedName>
    <definedName name="rngCompany" localSheetId="52">#REF!</definedName>
    <definedName name="rngCompany" localSheetId="6">#REF!</definedName>
    <definedName name="rngCompany" localSheetId="53">#REF!</definedName>
    <definedName name="rngCompany">#REF!</definedName>
    <definedName name="rngEscalated" localSheetId="33">#REF!</definedName>
    <definedName name="rngEscalated" localSheetId="52">#REF!</definedName>
    <definedName name="rngEscalated" localSheetId="6">#REF!</definedName>
    <definedName name="rngEscalated" localSheetId="53">#REF!</definedName>
    <definedName name="rngEscalated">#REF!</definedName>
    <definedName name="rngETElecCap" localSheetId="33">#REF!</definedName>
    <definedName name="rngETElecCap" localSheetId="52">#REF!</definedName>
    <definedName name="rngETElecCap" localSheetId="6">#REF!</definedName>
    <definedName name="rngETElecCap" localSheetId="53">#REF!</definedName>
    <definedName name="rngETElecCap">#REF!</definedName>
    <definedName name="rngETElecOM" localSheetId="33">#REF!</definedName>
    <definedName name="rngETElecOM" localSheetId="52">#REF!</definedName>
    <definedName name="rngETElecOM" localSheetId="6">#REF!</definedName>
    <definedName name="rngETElecOM" localSheetId="53">#REF!</definedName>
    <definedName name="rngETElecOM">#REF!</definedName>
    <definedName name="rngFactors" localSheetId="33">#REF!</definedName>
    <definedName name="rngFactors" localSheetId="52">#REF!</definedName>
    <definedName name="rngFactors" localSheetId="6">#REF!</definedName>
    <definedName name="rngFactors" localSheetId="53">#REF!</definedName>
    <definedName name="rngFactors">#REF!</definedName>
    <definedName name="rngfrmAdjustmentsSource" localSheetId="33">#REF!</definedName>
    <definedName name="rngfrmAdjustmentsSource" localSheetId="52">#REF!</definedName>
    <definedName name="rngfrmAdjustmentsSource" localSheetId="6">#REF!</definedName>
    <definedName name="rngfrmAdjustmentsSource" localSheetId="53">#REF!</definedName>
    <definedName name="rngfrmAdjustmentsSource">#REF!</definedName>
    <definedName name="rngfrmAdjustmentsTarget" localSheetId="33">#REF!</definedName>
    <definedName name="rngfrmAdjustmentsTarget" localSheetId="52">#REF!</definedName>
    <definedName name="rngfrmAdjustmentsTarget" localSheetId="6">#REF!</definedName>
    <definedName name="rngfrmAdjustmentsTarget" localSheetId="53">#REF!</definedName>
    <definedName name="rngfrmAdjustmentsTarget">#REF!</definedName>
    <definedName name="rngLookupAdjustmentData" localSheetId="33">#REF!</definedName>
    <definedName name="rngLookupAdjustmentData" localSheetId="52">#REF!</definedName>
    <definedName name="rngLookupAdjustmentData" localSheetId="6">#REF!</definedName>
    <definedName name="rngLookupAdjustmentData" localSheetId="53">#REF!</definedName>
    <definedName name="rngLookupAdjustmentData">#REF!</definedName>
    <definedName name="rngReassignmentGas" localSheetId="33">#REF!</definedName>
    <definedName name="rngReassignmentGas" localSheetId="52">#REF!</definedName>
    <definedName name="rngReassignmentGas" localSheetId="6">#REF!</definedName>
    <definedName name="rngReassignmentGas" localSheetId="53">#REF!</definedName>
    <definedName name="rngReassignmentGas">#REF!</definedName>
    <definedName name="ROUNDED" localSheetId="33">'[12]SDGE EVA budget'!#REF!</definedName>
    <definedName name="ROUNDED" localSheetId="37">'[13]SDGE EVA budget'!#REF!</definedName>
    <definedName name="ROUNDED" localSheetId="52">'[13]SDGE EVA budget'!#REF!</definedName>
    <definedName name="ROUNDED" localSheetId="5">'[13]SDGE EVA budget'!#REF!</definedName>
    <definedName name="ROUNDED" localSheetId="6">'[12]SDGE EVA budget'!#REF!</definedName>
    <definedName name="ROUNDED" localSheetId="57">'[13]SDGE EVA budget'!#REF!</definedName>
    <definedName name="ROUNDED">'[12]SDGE EVA budget'!#REF!</definedName>
    <definedName name="RPTCOL" localSheetId="33">#REF!</definedName>
    <definedName name="RPTCOL" localSheetId="52">#REF!</definedName>
    <definedName name="RPTCOL" localSheetId="6">#REF!</definedName>
    <definedName name="RPTCOL" localSheetId="42">#REF!</definedName>
    <definedName name="RPTCOL" localSheetId="47">#REF!</definedName>
    <definedName name="RPTCOL" localSheetId="51">#REF!</definedName>
    <definedName name="RPTCOL" localSheetId="53">#REF!</definedName>
    <definedName name="RPTCOL">#REF!</definedName>
    <definedName name="RPTROW" localSheetId="33">#REF!</definedName>
    <definedName name="RPTROW" localSheetId="52">#REF!</definedName>
    <definedName name="RPTROW" localSheetId="6">#REF!</definedName>
    <definedName name="RPTROW" localSheetId="42">#REF!</definedName>
    <definedName name="RPTROW" localSheetId="47">#REF!</definedName>
    <definedName name="RPTROW" localSheetId="51">#REF!</definedName>
    <definedName name="RPTROW" localSheetId="53">#REF!</definedName>
    <definedName name="RPTROW">#REF!</definedName>
    <definedName name="salvage" localSheetId="33">#REF!</definedName>
    <definedName name="salvage" localSheetId="52">#REF!</definedName>
    <definedName name="salvage" localSheetId="6">#REF!</definedName>
    <definedName name="salvage" localSheetId="51">#REF!</definedName>
    <definedName name="salvage" localSheetId="53">#REF!</definedName>
    <definedName name="salvage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2" hidden="1">"3HLUHWD7UCRUUESL6DDMKVCIX"</definedName>
    <definedName name="SAPBEXwbID" localSheetId="47" hidden="1">"3HLUHWD7UCRUUESL6DDMKVCIX"</definedName>
    <definedName name="SAPBEXwbID" localSheetId="51" hidden="1">"3OI398WBFRH41IFEVHKOMVZ17"</definedName>
    <definedName name="SAPBEXwbID" localSheetId="53" hidden="1">"3OI398WBFRH41IFEVHKOMVZ17"</definedName>
    <definedName name="SAPBEXwbID" hidden="1">"3Y9K8GEQN19DC4O0QNCMECQOR"</definedName>
    <definedName name="SAPBEXwbID_1" hidden="1">"3XUXMIA5RU11H3RNT5ERG5LI3"</definedName>
    <definedName name="SAPsysID" hidden="1">"708C5W7SBKP804JT78WJ0JNKI"</definedName>
    <definedName name="SAPwbID" hidden="1">"ARS"</definedName>
    <definedName name="scgbs" localSheetId="33">#REF!</definedName>
    <definedName name="scgbs" localSheetId="52">#REF!</definedName>
    <definedName name="scgbs" localSheetId="6">#REF!</definedName>
    <definedName name="scgbs" localSheetId="51">#REF!</definedName>
    <definedName name="scgbs" localSheetId="53">#REF!</definedName>
    <definedName name="scgbs">#REF!</definedName>
    <definedName name="scgpl" localSheetId="33">#REF!</definedName>
    <definedName name="scgpl" localSheetId="52">#REF!</definedName>
    <definedName name="scgpl" localSheetId="6">#REF!</definedName>
    <definedName name="scgpl" localSheetId="51">#REF!</definedName>
    <definedName name="scgpl" localSheetId="53">#REF!</definedName>
    <definedName name="scgpl">#REF!</definedName>
    <definedName name="SDGE">12</definedName>
    <definedName name="sdge_gaselec" localSheetId="33">#REF!</definedName>
    <definedName name="sdge_gaselec" localSheetId="52">#REF!</definedName>
    <definedName name="sdge_gaselec" localSheetId="5">#REF!</definedName>
    <definedName name="sdge_gaselec" localSheetId="7">#REF!</definedName>
    <definedName name="sdge_gaselec" localSheetId="8">#REF!</definedName>
    <definedName name="sdge_gaselec">#REF!</definedName>
    <definedName name="sencount" hidden="1">1</definedName>
    <definedName name="SFAColumn" localSheetId="19">#REF!</definedName>
    <definedName name="SFAColumn" localSheetId="33">#REF!</definedName>
    <definedName name="SFAColumn" localSheetId="37">#REF!</definedName>
    <definedName name="SFAColumn" localSheetId="52">#REF!</definedName>
    <definedName name="SFAColumn" localSheetId="6">#REF!</definedName>
    <definedName name="SFAColumn" localSheetId="53">#REF!</definedName>
    <definedName name="SFAColumn">#REF!</definedName>
    <definedName name="SFAStart" localSheetId="33">#REF!</definedName>
    <definedName name="SFAStart" localSheetId="52">#REF!</definedName>
    <definedName name="SFAStart" localSheetId="6">#REF!</definedName>
    <definedName name="SFAStart" localSheetId="53">#REF!</definedName>
    <definedName name="SFAStart">#REF!</definedName>
    <definedName name="SHEET_B1">'[24]C:D2_Bal_Act'!$A$2:$V$181</definedName>
    <definedName name="SOEColumn" localSheetId="19">#REF!</definedName>
    <definedName name="SOEColumn" localSheetId="33">#REF!</definedName>
    <definedName name="SOEColumn" localSheetId="37">#REF!</definedName>
    <definedName name="SOEColumn" localSheetId="52">#REF!</definedName>
    <definedName name="SOEColumn" localSheetId="6">#REF!</definedName>
    <definedName name="SOEColumn" localSheetId="53">#REF!</definedName>
    <definedName name="SOEColumn">#REF!</definedName>
    <definedName name="SOEStart" localSheetId="33">#REF!</definedName>
    <definedName name="SOEStart" localSheetId="52">#REF!</definedName>
    <definedName name="SOEStart" localSheetId="6">#REF!</definedName>
    <definedName name="SOEStart" localSheetId="53">#REF!</definedName>
    <definedName name="SOEStart">#REF!</definedName>
    <definedName name="sort" localSheetId="33">#REF!</definedName>
    <definedName name="sort" localSheetId="52">#REF!</definedName>
    <definedName name="sort" localSheetId="6">#REF!</definedName>
    <definedName name="sort">#REF!</definedName>
    <definedName name="SORTALLOC" localSheetId="33">#REF!</definedName>
    <definedName name="SORTALLOC" localSheetId="52">#REF!</definedName>
    <definedName name="SORTALLOC" localSheetId="6">#REF!</definedName>
    <definedName name="SORTALLOC">#REF!</definedName>
    <definedName name="SPLIT" localSheetId="33">#REF!</definedName>
    <definedName name="SPLIT" localSheetId="52">#REF!</definedName>
    <definedName name="SPLIT" localSheetId="5">#REF!</definedName>
    <definedName name="SPLIT" localSheetId="6">#REF!</definedName>
    <definedName name="SPLIT" localSheetId="7">#REF!</definedName>
    <definedName name="SPLIT" localSheetId="8">#REF!</definedName>
    <definedName name="SPLIT" localSheetId="47">#REF!</definedName>
    <definedName name="SPLIT" localSheetId="53">#REF!</definedName>
    <definedName name="SPLIT">#REF!</definedName>
    <definedName name="START" localSheetId="33">#REF!</definedName>
    <definedName name="START" localSheetId="52">#REF!</definedName>
    <definedName name="START" localSheetId="6">#REF!</definedName>
    <definedName name="START" localSheetId="42">#REF!</definedName>
    <definedName name="START" localSheetId="47">#REF!</definedName>
    <definedName name="START" localSheetId="51">#REF!</definedName>
    <definedName name="START" localSheetId="53">#REF!</definedName>
    <definedName name="START">#REF!</definedName>
    <definedName name="START2" localSheetId="33">#REF!</definedName>
    <definedName name="START2" localSheetId="52">#REF!</definedName>
    <definedName name="START2" localSheetId="6">#REF!</definedName>
    <definedName name="START2" localSheetId="42">#REF!</definedName>
    <definedName name="START2" localSheetId="47">#REF!</definedName>
    <definedName name="START2" localSheetId="51">#REF!</definedName>
    <definedName name="START2" localSheetId="53">#REF!</definedName>
    <definedName name="START2">#REF!</definedName>
    <definedName name="START3" localSheetId="33">#REF!</definedName>
    <definedName name="START3" localSheetId="52">#REF!</definedName>
    <definedName name="START3" localSheetId="6">#REF!</definedName>
    <definedName name="START3" localSheetId="42">#REF!</definedName>
    <definedName name="START3" localSheetId="47">#REF!</definedName>
    <definedName name="START3" localSheetId="51">#REF!</definedName>
    <definedName name="START3" localSheetId="53">#REF!</definedName>
    <definedName name="START3">#REF!</definedName>
    <definedName name="StateTaxRate" localSheetId="33">#REF!</definedName>
    <definedName name="StateTaxRate" localSheetId="52">#REF!</definedName>
    <definedName name="StateTaxRate" localSheetId="6">#REF!</definedName>
    <definedName name="StateTaxRate" localSheetId="51">#REF!</definedName>
    <definedName name="StateTaxRate" localSheetId="53">#REF!</definedName>
    <definedName name="StateTaxRate">#REF!</definedName>
    <definedName name="STDM" localSheetId="33">#REF!</definedName>
    <definedName name="STDM" localSheetId="52">#REF!</definedName>
    <definedName name="STDM" localSheetId="6">#REF!</definedName>
    <definedName name="STDM" localSheetId="51">#REF!</definedName>
    <definedName name="STDM" localSheetId="53">#REF!</definedName>
    <definedName name="STDM">#REF!</definedName>
    <definedName name="summary" localSheetId="33">#REF!</definedName>
    <definedName name="summary" localSheetId="52">#REF!</definedName>
    <definedName name="summary" localSheetId="5">#REF!</definedName>
    <definedName name="summary" localSheetId="6">#REF!</definedName>
    <definedName name="summary" localSheetId="7">#REF!</definedName>
    <definedName name="summary" localSheetId="8">#REF!</definedName>
    <definedName name="summary" localSheetId="47">#REF!</definedName>
    <definedName name="summary" localSheetId="53">#REF!</definedName>
    <definedName name="summary">#REF!</definedName>
    <definedName name="summaryBU" localSheetId="33">#REF!</definedName>
    <definedName name="summaryBU" localSheetId="52">#REF!</definedName>
    <definedName name="summaryBU" localSheetId="5">#REF!</definedName>
    <definedName name="summaryBU" localSheetId="6">#REF!</definedName>
    <definedName name="summaryBU" localSheetId="7">#REF!</definedName>
    <definedName name="summaryBU" localSheetId="8">#REF!</definedName>
    <definedName name="summaryBU" localSheetId="47">#REF!</definedName>
    <definedName name="summaryBU" localSheetId="53">#REF!</definedName>
    <definedName name="summaryBU">#REF!</definedName>
    <definedName name="Support" localSheetId="33">#REF!</definedName>
    <definedName name="Support" localSheetId="52">#REF!</definedName>
    <definedName name="Support" localSheetId="6">#REF!</definedName>
    <definedName name="Support" localSheetId="42">#REF!</definedName>
    <definedName name="Support" localSheetId="47">#REF!</definedName>
    <definedName name="Support" localSheetId="51">#REF!</definedName>
    <definedName name="Support" localSheetId="53">#REF!</definedName>
    <definedName name="Support">#REF!</definedName>
    <definedName name="SW_Cost_A" localSheetId="33">#REF!</definedName>
    <definedName name="SW_Cost_A" localSheetId="52">#REF!</definedName>
    <definedName name="SW_Cost_A" localSheetId="6">#REF!</definedName>
    <definedName name="SW_Cost_A">#REF!</definedName>
    <definedName name="SW_Cost_A_All" localSheetId="33">'[55]software study'!#REF!</definedName>
    <definedName name="SW_Cost_A_All" localSheetId="37">'[56]software study'!#REF!</definedName>
    <definedName name="SW_Cost_A_All" localSheetId="52">'[56]software study'!#REF!</definedName>
    <definedName name="SW_Cost_A_All" localSheetId="5">'[56]software study'!#REF!</definedName>
    <definedName name="SW_Cost_A_All" localSheetId="6">'[55]software study'!#REF!</definedName>
    <definedName name="SW_Cost_A_All" localSheetId="57">'[56]software study'!#REF!</definedName>
    <definedName name="SW_Cost_A_All">'[55]software study'!#REF!</definedName>
    <definedName name="SW_Cost_A_All_2" localSheetId="33">'[55]software study'!#REF!</definedName>
    <definedName name="SW_Cost_A_All_2" localSheetId="37">'[56]software study'!#REF!</definedName>
    <definedName name="SW_Cost_A_All_2" localSheetId="52">'[56]software study'!#REF!</definedName>
    <definedName name="SW_Cost_A_All_2" localSheetId="5">'[56]software study'!#REF!</definedName>
    <definedName name="SW_Cost_A_All_2" localSheetId="6">'[55]software study'!#REF!</definedName>
    <definedName name="SW_Cost_A_All_2" localSheetId="57">'[56]software study'!#REF!</definedName>
    <definedName name="SW_Cost_A_All_2">'[55]software study'!#REF!</definedName>
    <definedName name="SW_Cost_B_All_2" localSheetId="33">'[55]software study'!#REF!</definedName>
    <definedName name="SW_Cost_B_All_2" localSheetId="37">'[56]software study'!#REF!</definedName>
    <definedName name="SW_Cost_B_All_2" localSheetId="52">'[56]software study'!#REF!</definedName>
    <definedName name="SW_Cost_B_All_2" localSheetId="5">'[56]software study'!#REF!</definedName>
    <definedName name="SW_Cost_B_All_2" localSheetId="6">'[55]software study'!#REF!</definedName>
    <definedName name="SW_Cost_B_All_2" localSheetId="57">'[56]software study'!#REF!</definedName>
    <definedName name="SW_Cost_B_All_2">'[55]software study'!#REF!</definedName>
    <definedName name="SW_NBV_A" localSheetId="19">#REF!</definedName>
    <definedName name="SW_NBV_A" localSheetId="33">#REF!</definedName>
    <definedName name="SW_NBV_A" localSheetId="37">#REF!</definedName>
    <definedName name="SW_NBV_A" localSheetId="52">#REF!</definedName>
    <definedName name="SW_NBV_A" localSheetId="5">#REF!</definedName>
    <definedName name="SW_NBV_A" localSheetId="6">#REF!</definedName>
    <definedName name="SW_NBV_A">#REF!</definedName>
    <definedName name="SW_NBV_A_All" localSheetId="19">'[55]software study'!#REF!</definedName>
    <definedName name="SW_NBV_A_All" localSheetId="33">'[55]software study'!#REF!</definedName>
    <definedName name="SW_NBV_A_All" localSheetId="37">'[56]software study'!#REF!</definedName>
    <definedName name="SW_NBV_A_All" localSheetId="52">'[56]software study'!#REF!</definedName>
    <definedName name="SW_NBV_A_All" localSheetId="5">'[56]software study'!#REF!</definedName>
    <definedName name="SW_NBV_A_All" localSheetId="6">'[55]software study'!#REF!</definedName>
    <definedName name="SW_NBV_A_All" localSheetId="57">'[56]software study'!#REF!</definedName>
    <definedName name="SW_NBV_A_All">'[55]software study'!#REF!</definedName>
    <definedName name="SW_NBV_A_All_2" localSheetId="33">'[55]software study'!#REF!</definedName>
    <definedName name="SW_NBV_A_All_2" localSheetId="37">'[56]software study'!#REF!</definedName>
    <definedName name="SW_NBV_A_All_2" localSheetId="52">'[56]software study'!#REF!</definedName>
    <definedName name="SW_NBV_A_All_2" localSheetId="5">'[56]software study'!#REF!</definedName>
    <definedName name="SW_NBV_A_All_2" localSheetId="6">'[55]software study'!#REF!</definedName>
    <definedName name="SW_NBV_A_All_2" localSheetId="57">'[56]software study'!#REF!</definedName>
    <definedName name="SW_NBV_A_All_2">'[55]software study'!#REF!</definedName>
    <definedName name="SW_NBV_B_All_2" localSheetId="33">'[55]software study'!#REF!</definedName>
    <definedName name="SW_NBV_B_All_2" localSheetId="37">'[56]software study'!#REF!</definedName>
    <definedName name="SW_NBV_B_All_2" localSheetId="52">'[56]software study'!#REF!</definedName>
    <definedName name="SW_NBV_B_All_2" localSheetId="5">'[56]software study'!#REF!</definedName>
    <definedName name="SW_NBV_B_All_2" localSheetId="6">'[55]software study'!#REF!</definedName>
    <definedName name="SW_NBV_B_All_2" localSheetId="57">'[56]software study'!#REF!</definedName>
    <definedName name="SW_NBV_B_All_2">'[55]software study'!#REF!</definedName>
    <definedName name="TaxReturn1992" localSheetId="33">#REF!</definedName>
    <definedName name="TaxReturn1992" localSheetId="52">#REF!</definedName>
    <definedName name="TaxReturn1992" localSheetId="6">#REF!</definedName>
    <definedName name="TaxReturn1992" localSheetId="51">#REF!</definedName>
    <definedName name="TaxReturn1992" localSheetId="53">#REF!</definedName>
    <definedName name="TaxReturn1992">#REF!</definedName>
    <definedName name="TaxReturn1993" localSheetId="33">#REF!</definedName>
    <definedName name="TaxReturn1993" localSheetId="52">#REF!</definedName>
    <definedName name="TaxReturn1993" localSheetId="6">#REF!</definedName>
    <definedName name="TaxReturn1993" localSheetId="51">#REF!</definedName>
    <definedName name="TaxReturn1993" localSheetId="53">#REF!</definedName>
    <definedName name="TaxReturn1993">#REF!</definedName>
    <definedName name="TaxType">'[31]Drop Down List'!$B$50:$B$63</definedName>
    <definedName name="TB_1999" localSheetId="37">'[57]FERC 99 TB'!$A$4:$T$570</definedName>
    <definedName name="TB_1999" localSheetId="52">'[57]FERC 99 TB'!$A$4:$T$570</definedName>
    <definedName name="TB_1999" localSheetId="5">'[57]FERC 99 TB'!$A$4:$T$570</definedName>
    <definedName name="TB_1999" localSheetId="57">'[57]FERC 99 TB'!$A$4:$T$570</definedName>
    <definedName name="TB_1999">'[58]FERC 99 TB'!$A$4:$T$570</definedName>
    <definedName name="TB_2000" localSheetId="37">'[57]sdge FERC00 TB'!$A$4:$Q$537</definedName>
    <definedName name="TB_2000" localSheetId="52">'[57]sdge FERC00 TB'!$A$4:$Q$537</definedName>
    <definedName name="TB_2000" localSheetId="5">'[57]sdge FERC00 TB'!$A$4:$Q$537</definedName>
    <definedName name="TB_2000" localSheetId="57">'[57]sdge FERC00 TB'!$A$4:$Q$537</definedName>
    <definedName name="TB_2000">'[58]sdge FERC00 TB'!$A$4:$Q$537</definedName>
    <definedName name="TB_2001" localSheetId="37">'[57]FERC 2001 TB'!$A$25:$Q$679</definedName>
    <definedName name="TB_2001" localSheetId="52">'[57]FERC 2001 TB'!$A$25:$Q$679</definedName>
    <definedName name="TB_2001" localSheetId="5">'[57]FERC 2001 TB'!$A$25:$Q$679</definedName>
    <definedName name="TB_2001" localSheetId="57">'[57]FERC 2001 TB'!$A$25:$Q$679</definedName>
    <definedName name="TB_2001">'[58]FERC 2001 TB'!$A$25:$Q$679</definedName>
    <definedName name="TB_2002" localSheetId="19">#REF!</definedName>
    <definedName name="TB_2002" localSheetId="33">#REF!</definedName>
    <definedName name="TB_2002" localSheetId="37">#REF!</definedName>
    <definedName name="TB_2002" localSheetId="52">#REF!</definedName>
    <definedName name="TB_2002" localSheetId="5">#REF!</definedName>
    <definedName name="TB_2002" localSheetId="6">#REF!</definedName>
    <definedName name="TB_2002">#REF!</definedName>
    <definedName name="tb_by_acct" localSheetId="33">#REF!</definedName>
    <definedName name="tb_by_acct" localSheetId="52">#REF!</definedName>
    <definedName name="tb_by_acct" localSheetId="6">#REF!</definedName>
    <definedName name="tb_by_acct" localSheetId="51">#REF!</definedName>
    <definedName name="tb_by_acct" localSheetId="53">#REF!</definedName>
    <definedName name="tb_by_acct">#REF!</definedName>
    <definedName name="tb01_11_06" localSheetId="37">[59]TB_BY_ACCT!$A$9:$D$2407</definedName>
    <definedName name="tb01_11_06" localSheetId="52">[59]TB_BY_ACCT!$A$9:$D$2407</definedName>
    <definedName name="tb01_11_06" localSheetId="5">[59]TB_BY_ACCT!$A$9:$D$2407</definedName>
    <definedName name="tb01_11_06" localSheetId="51">[60]TB_BY_ACCT!$A$9:$D$2407</definedName>
    <definedName name="tb01_11_06" localSheetId="53">[60]TB_BY_ACCT!$A$9:$D$2407</definedName>
    <definedName name="tb01_11_06" localSheetId="57">[59]TB_BY_ACCT!$A$9:$D$2407</definedName>
    <definedName name="tb01_11_06">[61]TB_BY_ACCT!$A$9:$D$2407</definedName>
    <definedName name="TB01_13_06" localSheetId="33">#REF!</definedName>
    <definedName name="TB01_13_06" localSheetId="52">#REF!</definedName>
    <definedName name="TB01_13_06" localSheetId="6">#REF!</definedName>
    <definedName name="TB01_13_06" localSheetId="51">#REF!</definedName>
    <definedName name="TB01_13_06" localSheetId="53">#REF!</definedName>
    <definedName name="TB01_13_06">#REF!</definedName>
    <definedName name="TB02_14_06" localSheetId="33">#REF!</definedName>
    <definedName name="TB02_14_06" localSheetId="52">#REF!</definedName>
    <definedName name="TB02_14_06" localSheetId="6">#REF!</definedName>
    <definedName name="TB02_14_06" localSheetId="51">#REF!</definedName>
    <definedName name="TB02_14_06" localSheetId="53">#REF!</definedName>
    <definedName name="TB02_14_06">#REF!</definedName>
    <definedName name="tblChgCodes" localSheetId="33">#REF!</definedName>
    <definedName name="tblChgCodes" localSheetId="52">#REF!</definedName>
    <definedName name="tblChgCodes" localSheetId="6">#REF!</definedName>
    <definedName name="tblChgCodes">#REF!</definedName>
    <definedName name="tblRates" localSheetId="33">#REF!</definedName>
    <definedName name="tblRates" localSheetId="52">#REF!</definedName>
    <definedName name="tblRates" localSheetId="6">#REF!</definedName>
    <definedName name="tblRates">#REF!</definedName>
    <definedName name="TEMP" localSheetId="33">#REF!</definedName>
    <definedName name="TEMP" localSheetId="52">#REF!</definedName>
    <definedName name="TEMP" localSheetId="6">#REF!</definedName>
    <definedName name="TEMP" localSheetId="51">#REF!</definedName>
    <definedName name="TEMP" localSheetId="53">#REF!</definedName>
    <definedName name="TEMP">#REF!</definedName>
    <definedName name="test" localSheetId="19" hidden="1">{"Control_DataContact",#N/A,FALSE,"Control"}</definedName>
    <definedName name="test" localSheetId="36" hidden="1">{"Control_DataContact",#N/A,FALSE,"Control"}</definedName>
    <definedName name="test" localSheetId="37" hidden="1">{"Control_DataContact",#N/A,FALSE,"Control"}</definedName>
    <definedName name="test" localSheetId="52" hidden="1">{"Control_DataContact",#N/A,FALSE,"Control"}</definedName>
    <definedName name="test" localSheetId="5" hidden="1">{"Control_DataContact",#N/A,FALSE,"Control"}</definedName>
    <definedName name="test" localSheetId="53" hidden="1">{"Control_DataContact",#N/A,FALSE,"Control"}</definedName>
    <definedName name="test" localSheetId="57" hidden="1">{"Control_DataContact",#N/A,FALSE,"Control"}</definedName>
    <definedName name="test" hidden="1">{"Control_DataContact",#N/A,FALSE,"Control"}</definedName>
    <definedName name="TEST0" localSheetId="33">#REF!</definedName>
    <definedName name="TEST0" localSheetId="52">#REF!</definedName>
    <definedName name="TEST0" localSheetId="6">#REF!</definedName>
    <definedName name="TEST0" localSheetId="42">#REF!</definedName>
    <definedName name="TEST0" localSheetId="47">#REF!</definedName>
    <definedName name="TEST0" localSheetId="51">#REF!</definedName>
    <definedName name="TEST0" localSheetId="53">#REF!</definedName>
    <definedName name="TEST0">#REF!</definedName>
    <definedName name="TEST1" localSheetId="33">#REF!</definedName>
    <definedName name="TEST1" localSheetId="52">#REF!</definedName>
    <definedName name="TEST1" localSheetId="6">#REF!</definedName>
    <definedName name="TEST1" localSheetId="51">#REF!</definedName>
    <definedName name="TEST1" localSheetId="53">#REF!</definedName>
    <definedName name="TEST1">#REF!</definedName>
    <definedName name="TEST2" localSheetId="33">#REF!</definedName>
    <definedName name="TEST2" localSheetId="52">#REF!</definedName>
    <definedName name="TEST2" localSheetId="6">#REF!</definedName>
    <definedName name="TEST2" localSheetId="51">#REF!</definedName>
    <definedName name="TEST2" localSheetId="53">#REF!</definedName>
    <definedName name="TEST2">#REF!</definedName>
    <definedName name="TEST3" localSheetId="33">#REF!</definedName>
    <definedName name="TEST3" localSheetId="52">#REF!</definedName>
    <definedName name="TEST3" localSheetId="6">#REF!</definedName>
    <definedName name="TEST3" localSheetId="51">#REF!</definedName>
    <definedName name="TEST3" localSheetId="53">#REF!</definedName>
    <definedName name="TEST3">#REF!</definedName>
    <definedName name="TEST4" localSheetId="33">#REF!</definedName>
    <definedName name="TEST4" localSheetId="52">#REF!</definedName>
    <definedName name="TEST4" localSheetId="6">#REF!</definedName>
    <definedName name="TEST4">#REF!</definedName>
    <definedName name="TESTHKEY" localSheetId="33">#REF!</definedName>
    <definedName name="TESTHKEY" localSheetId="52">#REF!</definedName>
    <definedName name="TESTHKEY" localSheetId="6">#REF!</definedName>
    <definedName name="TESTHKEY" localSheetId="47">#REF!</definedName>
    <definedName name="TESTHKEY" localSheetId="51">#REF!</definedName>
    <definedName name="TESTHKEY" localSheetId="53">#REF!</definedName>
    <definedName name="TESTHKEY">#REF!</definedName>
    <definedName name="TESTKEYS" localSheetId="33">#REF!</definedName>
    <definedName name="TESTKEYS" localSheetId="52">#REF!</definedName>
    <definedName name="TESTKEYS" localSheetId="6">#REF!</definedName>
    <definedName name="TESTKEYS" localSheetId="42">#REF!</definedName>
    <definedName name="TESTKEYS" localSheetId="47">#REF!</definedName>
    <definedName name="TESTKEYS" localSheetId="51">#REF!</definedName>
    <definedName name="TESTKEYS" localSheetId="53">#REF!</definedName>
    <definedName name="TESTKEYS">#REF!</definedName>
    <definedName name="TESTVKEY" localSheetId="33">#REF!</definedName>
    <definedName name="TESTVKEY" localSheetId="52">#REF!</definedName>
    <definedName name="TESTVKEY" localSheetId="6">#REF!</definedName>
    <definedName name="TESTVKEY" localSheetId="42">#REF!</definedName>
    <definedName name="TESTVKEY" localSheetId="47">#REF!</definedName>
    <definedName name="TESTVKEY" localSheetId="51">#REF!</definedName>
    <definedName name="TESTVKEY" localSheetId="53">#REF!</definedName>
    <definedName name="TESTVKEY">#REF!</definedName>
    <definedName name="TextRefCopyRangeCount" hidden="1">39</definedName>
    <definedName name="TOT138L" localSheetId="33">#REF!</definedName>
    <definedName name="TOT138L" localSheetId="52">#REF!</definedName>
    <definedName name="TOT138L" localSheetId="6">#REF!</definedName>
    <definedName name="TOT138L" localSheetId="51">#REF!</definedName>
    <definedName name="TOT138L" localSheetId="53">#REF!</definedName>
    <definedName name="TOT138L">#REF!</definedName>
    <definedName name="TOT138M" localSheetId="33">#REF!</definedName>
    <definedName name="TOT138M" localSheetId="52">#REF!</definedName>
    <definedName name="TOT138M" localSheetId="6">#REF!</definedName>
    <definedName name="TOT138M" localSheetId="51">#REF!</definedName>
    <definedName name="TOT138M" localSheetId="53">#REF!</definedName>
    <definedName name="TOT138M">#REF!</definedName>
    <definedName name="TOT230L" localSheetId="33">#REF!</definedName>
    <definedName name="TOT230L" localSheetId="52">#REF!</definedName>
    <definedName name="TOT230L" localSheetId="6">#REF!</definedName>
    <definedName name="TOT230L" localSheetId="51">#REF!</definedName>
    <definedName name="TOT230L" localSheetId="53">#REF!</definedName>
    <definedName name="TOT230L">#REF!</definedName>
    <definedName name="TOT230M" localSheetId="33">#REF!</definedName>
    <definedName name="TOT230M" localSheetId="52">#REF!</definedName>
    <definedName name="TOT230M" localSheetId="6">#REF!</definedName>
    <definedName name="TOT230M" localSheetId="51">#REF!</definedName>
    <definedName name="TOT230M" localSheetId="53">#REF!</definedName>
    <definedName name="TOT230M">#REF!</definedName>
    <definedName name="TOT69OHL" localSheetId="33">#REF!</definedName>
    <definedName name="TOT69OHL" localSheetId="52">#REF!</definedName>
    <definedName name="TOT69OHL" localSheetId="6">#REF!</definedName>
    <definedName name="TOT69OHL" localSheetId="51">#REF!</definedName>
    <definedName name="TOT69OHL" localSheetId="53">#REF!</definedName>
    <definedName name="TOT69OHL">#REF!</definedName>
    <definedName name="TOT69OHM" localSheetId="33">#REF!</definedName>
    <definedName name="TOT69OHM" localSheetId="52">#REF!</definedName>
    <definedName name="TOT69OHM" localSheetId="6">#REF!</definedName>
    <definedName name="TOT69OHM" localSheetId="51">#REF!</definedName>
    <definedName name="TOT69OHM" localSheetId="53">#REF!</definedName>
    <definedName name="TOT69OHM">#REF!</definedName>
    <definedName name="TOT69UGL" localSheetId="33">#REF!</definedName>
    <definedName name="TOT69UGL" localSheetId="52">#REF!</definedName>
    <definedName name="TOT69UGL" localSheetId="6">#REF!</definedName>
    <definedName name="TOT69UGL" localSheetId="51">#REF!</definedName>
    <definedName name="TOT69UGL" localSheetId="53">#REF!</definedName>
    <definedName name="TOT69UGL">#REF!</definedName>
    <definedName name="TOT69UGM" localSheetId="33">#REF!</definedName>
    <definedName name="TOT69UGM" localSheetId="52">#REF!</definedName>
    <definedName name="TOT69UGM" localSheetId="6">#REF!</definedName>
    <definedName name="TOT69UGM" localSheetId="51">#REF!</definedName>
    <definedName name="TOT69UGM" localSheetId="53">#REF!</definedName>
    <definedName name="TOT69UGM">#REF!</definedName>
    <definedName name="TownCode" localSheetId="33">#REF!</definedName>
    <definedName name="TownCode" localSheetId="52">#REF!</definedName>
    <definedName name="TownCode" localSheetId="6">#REF!</definedName>
    <definedName name="TownCode">#REF!</definedName>
    <definedName name="TrialBal" localSheetId="33">#REF!</definedName>
    <definedName name="TrialBal" localSheetId="52">#REF!</definedName>
    <definedName name="TrialBal" localSheetId="6">#REF!</definedName>
    <definedName name="TrialBal" localSheetId="51">#REF!</definedName>
    <definedName name="TrialBal" localSheetId="53">#REF!</definedName>
    <definedName name="TrialBal">#REF!</definedName>
    <definedName name="TRX">'[31]Drop Down List'!$B$45:$B$48</definedName>
    <definedName name="TUCU" localSheetId="19" hidden="1">[62]Input!#REF!</definedName>
    <definedName name="TUCU" localSheetId="33" hidden="1">[62]Input!#REF!</definedName>
    <definedName name="TUCU" localSheetId="37" hidden="1">[62]Input!#REF!</definedName>
    <definedName name="TUCU" localSheetId="52" hidden="1">[62]Input!#REF!</definedName>
    <definedName name="TUCU" localSheetId="5" hidden="1">[62]Input!#REF!</definedName>
    <definedName name="TUCU" localSheetId="6" hidden="1">[62]Input!#REF!</definedName>
    <definedName name="TUCU" localSheetId="57" hidden="1">[62]Input!#REF!</definedName>
    <definedName name="TUCU" hidden="1">[62]Input!#REF!</definedName>
    <definedName name="Type" localSheetId="37">[34]Sheet2!$E$3:$E$6</definedName>
    <definedName name="Type" localSheetId="52">[34]Sheet2!$E$3:$E$6</definedName>
    <definedName name="Type" localSheetId="5">[34]Sheet2!$E$3:$E$6</definedName>
    <definedName name="Type" localSheetId="51">[35]Sheet2!$E$3:$E$6</definedName>
    <definedName name="Type" localSheetId="53">[35]Sheet2!$E$3:$E$6</definedName>
    <definedName name="Type" localSheetId="57">[34]Sheet2!$E$3:$E$6</definedName>
    <definedName name="Type">[36]Sheet2!$E$3:$E$6</definedName>
    <definedName name="UNITS" localSheetId="33">#REF!</definedName>
    <definedName name="UNITS" localSheetId="52">#REF!</definedName>
    <definedName name="UNITS" localSheetId="6">#REF!</definedName>
    <definedName name="UNITS" localSheetId="51">#REF!</definedName>
    <definedName name="UNITS" localSheetId="53">#REF!</definedName>
    <definedName name="UNITS">#REF!</definedName>
    <definedName name="Validation" localSheetId="33">#REF!</definedName>
    <definedName name="Validation" localSheetId="52">#REF!</definedName>
    <definedName name="Validation" localSheetId="6">#REF!</definedName>
    <definedName name="Validation" localSheetId="51">#REF!</definedName>
    <definedName name="Validation" localSheetId="53">#REF!</definedName>
    <definedName name="Validation">#REF!</definedName>
    <definedName name="VARXPLAN" localSheetId="33">#REF!</definedName>
    <definedName name="VARXPLAN" localSheetId="52">#REF!</definedName>
    <definedName name="VARXPLAN" localSheetId="6">#REF!</definedName>
    <definedName name="VARXPLAN" localSheetId="51">#REF!</definedName>
    <definedName name="VARXPLAN" localSheetId="53">#REF!</definedName>
    <definedName name="VARXPLAN">#REF!</definedName>
    <definedName name="view_cis_e0p40_1" localSheetId="37">[63]view_cis_e0p40_1!$A$2:$AW$919</definedName>
    <definedName name="view_cis_e0p40_1" localSheetId="52">[63]view_cis_e0p40_1!$A$2:$AW$919</definedName>
    <definedName name="view_cis_e0p40_1" localSheetId="5">[63]view_cis_e0p40_1!$A$2:$AW$919</definedName>
    <definedName name="view_cis_e0p40_1" localSheetId="57">[63]view_cis_e0p40_1!$A$2:$AW$919</definedName>
    <definedName name="view_cis_e0p40_1">[64]view_cis_e0p40_1!$A$2:$AW$919</definedName>
    <definedName name="VIEW1" localSheetId="33">#REF!</definedName>
    <definedName name="VIEW1" localSheetId="52">#REF!</definedName>
    <definedName name="VIEW1" localSheetId="6">#REF!</definedName>
    <definedName name="VIEW1" localSheetId="42">#REF!</definedName>
    <definedName name="VIEW1" localSheetId="47">#REF!</definedName>
    <definedName name="VIEW1" localSheetId="51">#REF!</definedName>
    <definedName name="VIEW1" localSheetId="53">#REF!</definedName>
    <definedName name="VIEW1">#REF!</definedName>
    <definedName name="voltsort" localSheetId="33">#REF!</definedName>
    <definedName name="voltsort" localSheetId="52">#REF!</definedName>
    <definedName name="voltsort" localSheetId="6">#REF!</definedName>
    <definedName name="voltsort">#REF!</definedName>
    <definedName name="WEIGHTED">[2]Sheet2!$BA$131:$BI$196</definedName>
    <definedName name="WKGRPColumn" localSheetId="19">#REF!</definedName>
    <definedName name="WKGRPColumn" localSheetId="33">#REF!</definedName>
    <definedName name="WKGRPColumn" localSheetId="37">#REF!</definedName>
    <definedName name="WKGRPColumn" localSheetId="52">#REF!</definedName>
    <definedName name="WKGRPColumn" localSheetId="6">#REF!</definedName>
    <definedName name="WKGRPColumn" localSheetId="53">#REF!</definedName>
    <definedName name="WKGRPColumn">#REF!</definedName>
    <definedName name="WKGRPStart" localSheetId="33">#REF!</definedName>
    <definedName name="WKGRPStart" localSheetId="52">#REF!</definedName>
    <definedName name="WKGRPStart" localSheetId="6">#REF!</definedName>
    <definedName name="WKGRPStart" localSheetId="53">#REF!</definedName>
    <definedName name="WKGRPStart">#REF!</definedName>
    <definedName name="WORKFORCE" localSheetId="33">#REF!</definedName>
    <definedName name="WORKFORCE" localSheetId="52">#REF!</definedName>
    <definedName name="WORKFORCE" localSheetId="6">#REF!</definedName>
    <definedName name="WORKFORCE" localSheetId="42">#REF!</definedName>
    <definedName name="WORKFORCE" localSheetId="47">#REF!</definedName>
    <definedName name="WORKFORCE">#REF!</definedName>
    <definedName name="Workstream" localSheetId="37">[34]Sheet2!$B$3:$B$8</definedName>
    <definedName name="Workstream" localSheetId="52">[34]Sheet2!$B$3:$B$8</definedName>
    <definedName name="Workstream" localSheetId="5">[34]Sheet2!$B$3:$B$8</definedName>
    <definedName name="Workstream" localSheetId="51">[35]Sheet2!$B$3:$B$8</definedName>
    <definedName name="Workstream" localSheetId="53">[35]Sheet2!$B$3:$B$8</definedName>
    <definedName name="Workstream" localSheetId="57">[34]Sheet2!$B$3:$B$8</definedName>
    <definedName name="Workstream">[36]Sheet2!$B$3:$B$8</definedName>
    <definedName name="wrn.AllSummarySheets." localSheetId="19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2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S._.Elements." localSheetId="19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2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9" hidden="1">{#N/A,#N/A,TRUE,"SDGE";#N/A,#N/A,TRUE,"GBU";#N/A,#N/A,TRUE,"TBU";#N/A,#N/A,TRUE,"EDBU";#N/A,#N/A,TRUE,"ExclCC"}</definedName>
    <definedName name="wrn.busum." localSheetId="36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41" hidden="1">{#N/A,#N/A,TRUE,"SDGE";#N/A,#N/A,TRUE,"GBU";#N/A,#N/A,TRUE,"TBU";#N/A,#N/A,TRUE,"EDBU";#N/A,#N/A,TRUE,"ExclCC"}</definedName>
    <definedName name="wrn.busum." localSheetId="52" hidden="1">{#N/A,#N/A,TRUE,"SDGE";#N/A,#N/A,TRUE,"GBU";#N/A,#N/A,TRUE,"TBU";#N/A,#N/A,TRUE,"EDBU";#N/A,#N/A,TRUE,"ExclCC"}</definedName>
    <definedName name="wrn.busum." localSheetId="5" hidden="1">{#N/A,#N/A,TRUE,"SDGE";#N/A,#N/A,TRUE,"GBU";#N/A,#N/A,TRUE,"TBU";#N/A,#N/A,TRUE,"EDBU";#N/A,#N/A,TRUE,"ExclCC"}</definedName>
    <definedName name="wrn.busum." localSheetId="57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ntrolSheets." localSheetId="19" hidden="1">{"Control_P1",#N/A,FALSE,"Control";"Control_P2",#N/A,FALSE,"Control";"Control_P3",#N/A,FALSE,"Control";"Control_P4",#N/A,FALSE,"Control"}</definedName>
    <definedName name="wrn.ControlSheets." localSheetId="36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52" hidden="1">{"Control_P1",#N/A,FALSE,"Control";"Control_P2",#N/A,FALSE,"Control";"Control_P3",#N/A,FALSE,"Control";"Control_P4",#N/A,FALSE,"Control"}</definedName>
    <definedName name="wrn.ControlSheets." localSheetId="5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57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Data_Contact." localSheetId="19" hidden="1">{"Control_DataContact",#N/A,FALSE,"Control"}</definedName>
    <definedName name="wrn.Data_Contact." localSheetId="36" hidden="1">{"Control_DataContact",#N/A,FALSE,"Control"}</definedName>
    <definedName name="wrn.Data_Contact." localSheetId="37" hidden="1">{"Control_DataContact",#N/A,FALSE,"Control"}</definedName>
    <definedName name="wrn.Data_Contact." localSheetId="52" hidden="1">{"Control_DataContact",#N/A,FALSE,"Control"}</definedName>
    <definedName name="wrn.Data_Contact." localSheetId="5" hidden="1">{"Control_DataContact",#N/A,FALSE,"Control"}</definedName>
    <definedName name="wrn.Data_Contact." localSheetId="53" hidden="1">{"Control_DataContact",#N/A,FALSE,"Control"}</definedName>
    <definedName name="wrn.Data_Contact." localSheetId="57" hidden="1">{"Control_DataContact",#N/A,FALSE,"Control"}</definedName>
    <definedName name="wrn.Data_Contact." hidden="1">{"Control_DataContact",#N/A,FALSE,"Control"}</definedName>
    <definedName name="wrn.Est_2003." localSheetId="19" hidden="1">{"Est_Pg1",#N/A,FALSE,"Estimate2003";"Est_Pg2",#N/A,FALSE,"Estimate2003";"Est_Pg3",#N/A,FALSE,"Estimate2003";"Escalation,",#N/A,FALSE,"Escalation"}</definedName>
    <definedName name="wrn.Est_2003." localSheetId="36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52" hidden="1">{"Est_Pg1",#N/A,FALSE,"Estimate2003";"Est_Pg2",#N/A,FALSE,"Estimate2003";"Est_Pg3",#N/A,FALSE,"Estimate2003";"Escalation,",#N/A,FALSE,"Escalation"}</definedName>
    <definedName name="wrn.Est_2003." localSheetId="5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57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MyTestReport." localSheetId="19" hidden="1">{"Alberta",#N/A,FALSE,"Pivot Data";#N/A,#N/A,FALSE,"Pivot Data";"HiddenColumns",#N/A,FALSE,"Pivot Data"}</definedName>
    <definedName name="wrn.MyTestReport." localSheetId="36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52" hidden="1">{"Alberta",#N/A,FALSE,"Pivot Data";#N/A,#N/A,FALSE,"Pivot Data";"HiddenColumns",#N/A,FALSE,"Pivot Data"}</definedName>
    <definedName name="wrn.MyTestReport." localSheetId="5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57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Sch.A._.B." localSheetId="19" hidden="1">{"Sch.A_CWC_Summary",#N/A,FALSE,"Sch.A,B";"Sch.B_LLSummary",#N/A,FALSE,"Sch.A,B"}</definedName>
    <definedName name="wrn.Sch.A._.B." localSheetId="36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52" hidden="1">{"Sch.A_CWC_Summary",#N/A,FALSE,"Sch.A,B";"Sch.B_LLSummary",#N/A,FALSE,"Sch.A,B"}</definedName>
    <definedName name="wrn.Sch.A._.B." localSheetId="5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57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C." localSheetId="19" hidden="1">{"Sch.C_Rev_lag",#N/A,FALSE,"Sch.C"}</definedName>
    <definedName name="wrn.Sch.C." localSheetId="36" hidden="1">{"Sch.C_Rev_lag",#N/A,FALSE,"Sch.C"}</definedName>
    <definedName name="wrn.Sch.C." localSheetId="37" hidden="1">{"Sch.C_Rev_lag",#N/A,FALSE,"Sch.C"}</definedName>
    <definedName name="wrn.Sch.C." localSheetId="52" hidden="1">{"Sch.C_Rev_lag",#N/A,FALSE,"Sch.C"}</definedName>
    <definedName name="wrn.Sch.C." localSheetId="5" hidden="1">{"Sch.C_Rev_lag",#N/A,FALSE,"Sch.C"}</definedName>
    <definedName name="wrn.Sch.C." localSheetId="53" hidden="1">{"Sch.C_Rev_lag",#N/A,FALSE,"Sch.C"}</definedName>
    <definedName name="wrn.Sch.C." localSheetId="57" hidden="1">{"Sch.C_Rev_lag",#N/A,FALSE,"Sch.C"}</definedName>
    <definedName name="wrn.Sch.C." hidden="1">{"Sch.C_Rev_lag",#N/A,FALSE,"Sch.C"}</definedName>
    <definedName name="wrn.Sch.D." localSheetId="19" hidden="1">{"Sch.D1_GasPurch",#N/A,FALSE,"Sch.D";"Sch.D2_ElecPurch",#N/A,FALSE,"Sch.D"}</definedName>
    <definedName name="wrn.Sch.D." localSheetId="36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52" hidden="1">{"Sch.D1_GasPurch",#N/A,FALSE,"Sch.D";"Sch.D2_ElecPurch",#N/A,FALSE,"Sch.D"}</definedName>
    <definedName name="wrn.Sch.D." localSheetId="5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57" hidden="1">{"Sch.D1_GasPurch",#N/A,FALSE,"Sch.D";"Sch.D2_ElecPurch",#N/A,FALSE,"Sch.D"}</definedName>
    <definedName name="wrn.Sch.D." hidden="1">{"Sch.D1_GasPurch",#N/A,FALSE,"Sch.D";"Sch.D2_ElecPurch",#N/A,FALSE,"Sch.D"}</definedName>
    <definedName name="wrn.Sch.E._.F." localSheetId="19" hidden="1">{"Sch.E_PayrollExp",#N/A,TRUE,"Sch.E,F";"Sch.F_FICA",#N/A,TRUE,"Sch.E,F"}</definedName>
    <definedName name="wrn.Sch.E._.F." localSheetId="36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52" hidden="1">{"Sch.E_PayrollExp",#N/A,TRUE,"Sch.E,F";"Sch.F_FICA",#N/A,TRUE,"Sch.E,F"}</definedName>
    <definedName name="wrn.Sch.E._.F." localSheetId="5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57" hidden="1">{"Sch.E_PayrollExp",#N/A,TRUE,"Sch.E,F";"Sch.F_FICA",#N/A,TRUE,"Sch.E,F"}</definedName>
    <definedName name="wrn.Sch.E._.F." hidden="1">{"Sch.E_PayrollExp",#N/A,TRUE,"Sch.E,F";"Sch.F_FICA",#N/A,TRUE,"Sch.E,F"}</definedName>
    <definedName name="wrn.Sch.G." localSheetId="19" hidden="1">{"Sch.G_ICP",#N/A,FALSE,"Sch.G"}</definedName>
    <definedName name="wrn.Sch.G." localSheetId="36" hidden="1">{"Sch.G_ICP",#N/A,FALSE,"Sch.G"}</definedName>
    <definedName name="wrn.Sch.G." localSheetId="37" hidden="1">{"Sch.G_ICP",#N/A,FALSE,"Sch.G"}</definedName>
    <definedName name="wrn.Sch.G." localSheetId="52" hidden="1">{"Sch.G_ICP",#N/A,FALSE,"Sch.G"}</definedName>
    <definedName name="wrn.Sch.G." localSheetId="5" hidden="1">{"Sch.G_ICP",#N/A,FALSE,"Sch.G"}</definedName>
    <definedName name="wrn.Sch.G." localSheetId="53" hidden="1">{"Sch.G_ICP",#N/A,FALSE,"Sch.G"}</definedName>
    <definedName name="wrn.Sch.G." localSheetId="57" hidden="1">{"Sch.G_ICP",#N/A,FALSE,"Sch.G"}</definedName>
    <definedName name="wrn.Sch.G." hidden="1">{"Sch.G_ICP",#N/A,FALSE,"Sch.G"}</definedName>
    <definedName name="wrn.Sch.H." localSheetId="19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2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9" hidden="1">{"Sch.I_Goods&amp;Svcs",#N/A,FALSE,"Sch.I"}</definedName>
    <definedName name="wrn.Sch.I." localSheetId="36" hidden="1">{"Sch.I_Goods&amp;Svcs",#N/A,FALSE,"Sch.I"}</definedName>
    <definedName name="wrn.Sch.I." localSheetId="37" hidden="1">{"Sch.I_Goods&amp;Svcs",#N/A,FALSE,"Sch.I"}</definedName>
    <definedName name="wrn.Sch.I." localSheetId="52" hidden="1">{"Sch.I_Goods&amp;Svcs",#N/A,FALSE,"Sch.I"}</definedName>
    <definedName name="wrn.Sch.I." localSheetId="5" hidden="1">{"Sch.I_Goods&amp;Svcs",#N/A,FALSE,"Sch.I"}</definedName>
    <definedName name="wrn.Sch.I." localSheetId="53" hidden="1">{"Sch.I_Goods&amp;Svcs",#N/A,FALSE,"Sch.I"}</definedName>
    <definedName name="wrn.Sch.I." localSheetId="57" hidden="1">{"Sch.I_Goods&amp;Svcs",#N/A,FALSE,"Sch.I"}</definedName>
    <definedName name="wrn.Sch.I." hidden="1">{"Sch.I_Goods&amp;Svcs",#N/A,FALSE,"Sch.I"}</definedName>
    <definedName name="wrn.Sch.J." localSheetId="19" hidden="1">{"Sch.J_CorpChgs",#N/A,FALSE,"Sch.J"}</definedName>
    <definedName name="wrn.Sch.J." localSheetId="36" hidden="1">{"Sch.J_CorpChgs",#N/A,FALSE,"Sch.J"}</definedName>
    <definedName name="wrn.Sch.J." localSheetId="37" hidden="1">{"Sch.J_CorpChgs",#N/A,FALSE,"Sch.J"}</definedName>
    <definedName name="wrn.Sch.J." localSheetId="52" hidden="1">{"Sch.J_CorpChgs",#N/A,FALSE,"Sch.J"}</definedName>
    <definedName name="wrn.Sch.J." localSheetId="5" hidden="1">{"Sch.J_CorpChgs",#N/A,FALSE,"Sch.J"}</definedName>
    <definedName name="wrn.Sch.J." localSheetId="53" hidden="1">{"Sch.J_CorpChgs",#N/A,FALSE,"Sch.J"}</definedName>
    <definedName name="wrn.Sch.J." localSheetId="57" hidden="1">{"Sch.J_CorpChgs",#N/A,FALSE,"Sch.J"}</definedName>
    <definedName name="wrn.Sch.J." hidden="1">{"Sch.J_CorpChgs",#N/A,FALSE,"Sch.J"}</definedName>
    <definedName name="wrn.Sch.K." localSheetId="19" hidden="1">{"Sch.K_P1_PropLease",#N/A,FALSE,"Sch.K";"Sch.K_P2_PropLease",#N/A,FALSE,"Sch.K"}</definedName>
    <definedName name="wrn.Sch.K." localSheetId="36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52" hidden="1">{"Sch.K_P1_PropLease",#N/A,FALSE,"Sch.K";"Sch.K_P2_PropLease",#N/A,FALSE,"Sch.K"}</definedName>
    <definedName name="wrn.Sch.K." localSheetId="5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57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L." localSheetId="19" hidden="1">{"Sch.L_MaterialIssue",#N/A,FALSE,"Sch.L"}</definedName>
    <definedName name="wrn.Sch.L." localSheetId="36" hidden="1">{"Sch.L_MaterialIssue",#N/A,FALSE,"Sch.L"}</definedName>
    <definedName name="wrn.Sch.L." localSheetId="37" hidden="1">{"Sch.L_MaterialIssue",#N/A,FALSE,"Sch.L"}</definedName>
    <definedName name="wrn.Sch.L." localSheetId="52" hidden="1">{"Sch.L_MaterialIssue",#N/A,FALSE,"Sch.L"}</definedName>
    <definedName name="wrn.Sch.L." localSheetId="5" hidden="1">{"Sch.L_MaterialIssue",#N/A,FALSE,"Sch.L"}</definedName>
    <definedName name="wrn.Sch.L." localSheetId="53" hidden="1">{"Sch.L_MaterialIssue",#N/A,FALSE,"Sch.L"}</definedName>
    <definedName name="wrn.Sch.L." localSheetId="57" hidden="1">{"Sch.L_MaterialIssue",#N/A,FALSE,"Sch.L"}</definedName>
    <definedName name="wrn.Sch.L." hidden="1">{"Sch.L_MaterialIssue",#N/A,FALSE,"Sch.L"}</definedName>
    <definedName name="wrn.Sch.M." localSheetId="19" hidden="1">{"Sch.M_Prop&amp;FFTaxes",#N/A,FALSE,"Sch.M"}</definedName>
    <definedName name="wrn.Sch.M." localSheetId="36" hidden="1">{"Sch.M_Prop&amp;FFTaxes",#N/A,FALSE,"Sch.M"}</definedName>
    <definedName name="wrn.Sch.M." localSheetId="37" hidden="1">{"Sch.M_Prop&amp;FFTaxes",#N/A,FALSE,"Sch.M"}</definedName>
    <definedName name="wrn.Sch.M." localSheetId="52" hidden="1">{"Sch.M_Prop&amp;FFTaxes",#N/A,FALSE,"Sch.M"}</definedName>
    <definedName name="wrn.Sch.M." localSheetId="5" hidden="1">{"Sch.M_Prop&amp;FFTaxes",#N/A,FALSE,"Sch.M"}</definedName>
    <definedName name="wrn.Sch.M." localSheetId="53" hidden="1">{"Sch.M_Prop&amp;FFTaxes",#N/A,FALSE,"Sch.M"}</definedName>
    <definedName name="wrn.Sch.M." localSheetId="57" hidden="1">{"Sch.M_Prop&amp;FFTaxes",#N/A,FALSE,"Sch.M"}</definedName>
    <definedName name="wrn.Sch.M." hidden="1">{"Sch.M_Prop&amp;FFTaxes",#N/A,FALSE,"Sch.M"}</definedName>
    <definedName name="wrn.Sch.N." localSheetId="19" hidden="1">{"Sch.N_IncTaxes",#N/A,FALSE,"Sch. N, O"}</definedName>
    <definedName name="wrn.Sch.N." localSheetId="36" hidden="1">{"Sch.N_IncTaxes",#N/A,FALSE,"Sch. N, O"}</definedName>
    <definedName name="wrn.Sch.N." localSheetId="37" hidden="1">{"Sch.N_IncTaxes",#N/A,FALSE,"Sch. N, O"}</definedName>
    <definedName name="wrn.Sch.N." localSheetId="52" hidden="1">{"Sch.N_IncTaxes",#N/A,FALSE,"Sch. N, O"}</definedName>
    <definedName name="wrn.Sch.N." localSheetId="5" hidden="1">{"Sch.N_IncTaxes",#N/A,FALSE,"Sch. N, O"}</definedName>
    <definedName name="wrn.Sch.N." localSheetId="53" hidden="1">{"Sch.N_IncTaxes",#N/A,FALSE,"Sch. N, O"}</definedName>
    <definedName name="wrn.Sch.N." localSheetId="57" hidden="1">{"Sch.N_IncTaxes",#N/A,FALSE,"Sch. N, O"}</definedName>
    <definedName name="wrn.Sch.N." hidden="1">{"Sch.N_IncTaxes",#N/A,FALSE,"Sch. N, O"}</definedName>
    <definedName name="wrn.Sch.O." localSheetId="19" hidden="1">{"Sch.O1_FedITDeferred",#N/A,FALSE,"Sch. N, O";"Sch_O2_Depreciation",#N/A,FALSE,"Sch. N, O";"Sch_O3_AmortInsurance",#N/A,FALSE,"Sch. N, O"}</definedName>
    <definedName name="wrn.Sch.O." localSheetId="36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52" hidden="1">{"Sch.O1_FedITDeferred",#N/A,FALSE,"Sch. N, O";"Sch_O2_Depreciation",#N/A,FALSE,"Sch. N, O";"Sch_O3_AmortInsurance",#N/A,FALSE,"Sch. N, O"}</definedName>
    <definedName name="wrn.Sch.O." localSheetId="5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57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P." localSheetId="19" hidden="1">{"Sch.P_BS_Bal",#N/A,FALSE,"WP-BS Elem"}</definedName>
    <definedName name="wrn.Sch.P." localSheetId="36" hidden="1">{"Sch.P_BS_Bal",#N/A,FALSE,"WP-BS Elem"}</definedName>
    <definedName name="wrn.Sch.P." localSheetId="37" hidden="1">{"Sch.P_BS_Bal",#N/A,FALSE,"WP-BS Elem"}</definedName>
    <definedName name="wrn.Sch.P." localSheetId="52" hidden="1">{"Sch.P_BS_Bal",#N/A,FALSE,"WP-BS Elem"}</definedName>
    <definedName name="wrn.Sch.P." localSheetId="5" hidden="1">{"Sch.P_BS_Bal",#N/A,FALSE,"WP-BS Elem"}</definedName>
    <definedName name="wrn.Sch.P." localSheetId="53" hidden="1">{"Sch.P_BS_Bal",#N/A,FALSE,"WP-BS Elem"}</definedName>
    <definedName name="wrn.Sch.P." localSheetId="57" hidden="1">{"Sch.P_BS_Bal",#N/A,FALSE,"WP-BS Elem"}</definedName>
    <definedName name="wrn.Sch.P." hidden="1">{"Sch.P_BS_Bal",#N/A,FALSE,"WP-BS Elem"}</definedName>
    <definedName name="wrn.Sch.P._.Accts." localSheetId="19" hidden="1">{"Sch.P_BS_Accts",#N/A,FALSE,"WP-BS Elem"}</definedName>
    <definedName name="wrn.Sch.P._.Accts." localSheetId="36" hidden="1">{"Sch.P_BS_Accts",#N/A,FALSE,"WP-BS Elem"}</definedName>
    <definedName name="wrn.Sch.P._.Accts." localSheetId="37" hidden="1">{"Sch.P_BS_Accts",#N/A,FALSE,"WP-BS Elem"}</definedName>
    <definedName name="wrn.Sch.P._.Accts." localSheetId="52" hidden="1">{"Sch.P_BS_Accts",#N/A,FALSE,"WP-BS Elem"}</definedName>
    <definedName name="wrn.Sch.P._.Accts." localSheetId="5" hidden="1">{"Sch.P_BS_Accts",#N/A,FALSE,"WP-BS Elem"}</definedName>
    <definedName name="wrn.Sch.P._.Accts." localSheetId="53" hidden="1">{"Sch.P_BS_Accts",#N/A,FALSE,"WP-BS Elem"}</definedName>
    <definedName name="wrn.Sch.P._.Accts." localSheetId="57" hidden="1">{"Sch.P_BS_Accts",#N/A,FALSE,"WP-BS Elem"}</definedName>
    <definedName name="wrn.Sch.P._.Accts." hidden="1">{"Sch.P_BS_Accts",#N/A,FALSE,"WP-BS Elem"}</definedName>
    <definedName name="XmnRefRange" localSheetId="19">#REF!</definedName>
    <definedName name="XmnRefRange" localSheetId="33">#REF!</definedName>
    <definedName name="XmnRefRange" localSheetId="37">#REF!</definedName>
    <definedName name="XmnRefRange" localSheetId="52">#REF!</definedName>
    <definedName name="XmnRefRange" localSheetId="5">#REF!</definedName>
    <definedName name="XmnRefRange" localSheetId="6">#REF!</definedName>
    <definedName name="XmnRefRange">#REF!</definedName>
    <definedName name="xsTYPE">"tbl"</definedName>
    <definedName name="xxx" localSheetId="19" hidden="1">[65]A!#REF!</definedName>
    <definedName name="xxx" localSheetId="33" hidden="1">[65]A!#REF!</definedName>
    <definedName name="xxx" localSheetId="37" hidden="1">[66]A!#REF!</definedName>
    <definedName name="xxx" localSheetId="52" hidden="1">[66]A!#REF!</definedName>
    <definedName name="xxx" localSheetId="5" hidden="1">[66]A!#REF!</definedName>
    <definedName name="xxx" localSheetId="6" hidden="1">[65]A!#REF!</definedName>
    <definedName name="xxx" localSheetId="57" hidden="1">[66]A!#REF!</definedName>
    <definedName name="xxx" hidden="1">[65]A!#REF!</definedName>
    <definedName name="year" localSheetId="33">#REF!</definedName>
    <definedName name="year" localSheetId="52">#REF!</definedName>
    <definedName name="year" localSheetId="6">#REF!</definedName>
    <definedName name="year" localSheetId="51">#REF!</definedName>
    <definedName name="year" localSheetId="53">#REF!</definedName>
    <definedName name="year">#REF!</definedName>
    <definedName name="YEARRATES">[2]Sheet2!$BN$1:$CD$50</definedName>
    <definedName name="YEClose1992" localSheetId="33">#REF!</definedName>
    <definedName name="YEClose1992" localSheetId="52">#REF!</definedName>
    <definedName name="YEClose1992" localSheetId="6">#REF!</definedName>
    <definedName name="YEClose1992" localSheetId="51">#REF!</definedName>
    <definedName name="YEClose1992" localSheetId="53">#REF!</definedName>
    <definedName name="YEClose1992">#REF!</definedName>
    <definedName name="yeperiod" localSheetId="33">#REF!</definedName>
    <definedName name="yeperiod" localSheetId="52">#REF!</definedName>
    <definedName name="yeperiod" localSheetId="6">#REF!</definedName>
    <definedName name="yeperiod" localSheetId="51">#REF!</definedName>
    <definedName name="yeperiod" localSheetId="53">#REF!</definedName>
    <definedName name="yeperiod">#REF!</definedName>
    <definedName name="YTDInc" localSheetId="33">#REF!</definedName>
    <definedName name="YTDInc" localSheetId="52">#REF!</definedName>
    <definedName name="YTDInc" localSheetId="6">#REF!</definedName>
    <definedName name="YTDInc" localSheetId="51">#REF!</definedName>
    <definedName name="YTDInc" localSheetId="53">#REF!</definedName>
    <definedName name="YTDIn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154" l="1"/>
  <c r="B5" i="84" l="1"/>
  <c r="E40" i="40" l="1"/>
  <c r="E39" i="40"/>
  <c r="E38" i="40"/>
  <c r="E32" i="40"/>
  <c r="E37" i="40"/>
  <c r="E36" i="40"/>
  <c r="E35" i="40"/>
  <c r="E34" i="40"/>
  <c r="E33" i="40"/>
  <c r="J13" i="165"/>
  <c r="J14" i="165"/>
  <c r="J15" i="165"/>
  <c r="J19" i="165"/>
  <c r="J24" i="165"/>
  <c r="C50" i="84" l="1"/>
  <c r="G87" i="82" s="1"/>
  <c r="B5" i="112" l="1"/>
  <c r="E47" i="42" l="1"/>
  <c r="E44" i="42"/>
  <c r="E37" i="42"/>
  <c r="E50" i="42" l="1"/>
  <c r="D14" i="25" l="1"/>
  <c r="D14" i="26"/>
  <c r="F14" i="23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25" i="11"/>
  <c r="K26" i="11"/>
  <c r="K27" i="11"/>
  <c r="K28" i="11"/>
  <c r="K29" i="11"/>
  <c r="D15" i="14"/>
  <c r="K21" i="11" l="1"/>
  <c r="B5" i="161" l="1"/>
  <c r="C53" i="42" l="1"/>
  <c r="J40" i="167"/>
  <c r="J35" i="167"/>
  <c r="J30" i="167"/>
  <c r="J40" i="165"/>
  <c r="J35" i="165"/>
  <c r="J30" i="165"/>
  <c r="B2" i="158" l="1"/>
  <c r="B2" i="157" l="1"/>
  <c r="B2" i="154"/>
  <c r="B2" i="156"/>
  <c r="B2" i="114"/>
  <c r="B2" i="113"/>
  <c r="B38" i="113" s="1"/>
  <c r="B2" i="111"/>
  <c r="J45" i="165" l="1"/>
  <c r="B3" i="158" l="1"/>
  <c r="G31" i="46" l="1"/>
  <c r="I14" i="114"/>
  <c r="C42" i="154" l="1"/>
  <c r="F19" i="156" s="1"/>
  <c r="C44" i="154"/>
  <c r="B52" i="146" l="1"/>
  <c r="B51" i="146"/>
  <c r="G27" i="46"/>
  <c r="G25" i="46" l="1"/>
  <c r="G23" i="46"/>
  <c r="G21" i="46"/>
  <c r="G93" i="113"/>
  <c r="G15" i="46"/>
  <c r="E15" i="46"/>
  <c r="E23" i="41" l="1"/>
  <c r="E10" i="133" l="1"/>
  <c r="B69" i="40" l="1"/>
  <c r="B27" i="163" l="1"/>
  <c r="B16" i="163"/>
  <c r="B15" i="163"/>
  <c r="B5" i="163"/>
  <c r="B5" i="9" l="1"/>
  <c r="G146" i="82" l="1"/>
  <c r="G143" i="82"/>
  <c r="G134" i="82"/>
  <c r="G144" i="82"/>
  <c r="J126" i="82"/>
  <c r="J127" i="82" s="1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B146" i="82"/>
  <c r="B145" i="82"/>
  <c r="B143" i="82"/>
  <c r="B142" i="82"/>
  <c r="B134" i="82"/>
  <c r="B131" i="82"/>
  <c r="B130" i="82"/>
  <c r="A126" i="82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H10" i="162"/>
  <c r="H11" i="162" s="1"/>
  <c r="H12" i="162" s="1"/>
  <c r="H13" i="162" s="1"/>
  <c r="H14" i="162" s="1"/>
  <c r="H15" i="162" s="1"/>
  <c r="H16" i="162" s="1"/>
  <c r="A11" i="162"/>
  <c r="A12" i="162" s="1"/>
  <c r="A13" i="162" s="1"/>
  <c r="A14" i="162" s="1"/>
  <c r="A15" i="162" s="1"/>
  <c r="A16" i="162" s="1"/>
  <c r="I142" i="82" l="1"/>
  <c r="I143" i="82"/>
  <c r="I151" i="82"/>
  <c r="I144" i="82"/>
  <c r="I145" i="82"/>
  <c r="I155" i="82"/>
  <c r="E84" i="146" l="1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 s="1"/>
  <c r="G42" i="167"/>
  <c r="E42" i="167"/>
  <c r="C42" i="167"/>
  <c r="I41" i="167"/>
  <c r="I40" i="167"/>
  <c r="G37" i="167"/>
  <c r="E37" i="167"/>
  <c r="C37" i="167"/>
  <c r="I36" i="167"/>
  <c r="I35" i="167"/>
  <c r="G32" i="167"/>
  <c r="E32" i="167"/>
  <c r="C32" i="167"/>
  <c r="I31" i="167"/>
  <c r="I30" i="167"/>
  <c r="G26" i="167"/>
  <c r="E26" i="167"/>
  <c r="C26" i="167"/>
  <c r="I25" i="167"/>
  <c r="J24" i="167"/>
  <c r="I24" i="167"/>
  <c r="G21" i="167"/>
  <c r="E21" i="167"/>
  <c r="C21" i="167"/>
  <c r="I20" i="167"/>
  <c r="J19" i="167"/>
  <c r="I19" i="167"/>
  <c r="G16" i="167"/>
  <c r="E16" i="167"/>
  <c r="C16" i="167"/>
  <c r="J15" i="167"/>
  <c r="I15" i="167"/>
  <c r="J14" i="167"/>
  <c r="I14" i="167"/>
  <c r="J13" i="167"/>
  <c r="I13" i="167"/>
  <c r="A13" i="167"/>
  <c r="K12" i="167"/>
  <c r="K13" i="167" s="1"/>
  <c r="K14" i="167" s="1"/>
  <c r="K15" i="167" s="1"/>
  <c r="K16" i="167" s="1"/>
  <c r="K17" i="167" s="1"/>
  <c r="K18" i="167" s="1"/>
  <c r="K19" i="167" s="1"/>
  <c r="K20" i="167" s="1"/>
  <c r="K21" i="167" s="1"/>
  <c r="K22" i="167" s="1"/>
  <c r="K23" i="167" s="1"/>
  <c r="K24" i="167" s="1"/>
  <c r="K25" i="167" s="1"/>
  <c r="K26" i="167" s="1"/>
  <c r="K27" i="167" s="1"/>
  <c r="K28" i="167" s="1"/>
  <c r="K29" i="167" s="1"/>
  <c r="K30" i="167" s="1"/>
  <c r="K31" i="167" s="1"/>
  <c r="K32" i="167" s="1"/>
  <c r="K33" i="167" s="1"/>
  <c r="K34" i="167" s="1"/>
  <c r="K35" i="167" s="1"/>
  <c r="K36" i="167" s="1"/>
  <c r="K37" i="167" s="1"/>
  <c r="K38" i="167" s="1"/>
  <c r="K39" i="167" s="1"/>
  <c r="K40" i="167" s="1"/>
  <c r="K41" i="167" s="1"/>
  <c r="K42" i="167" s="1"/>
  <c r="K43" i="167" s="1"/>
  <c r="K44" i="167" s="1"/>
  <c r="K45" i="167" s="1"/>
  <c r="I45" i="165"/>
  <c r="E21" i="34" s="1"/>
  <c r="G42" i="165"/>
  <c r="E42" i="165"/>
  <c r="C42" i="165"/>
  <c r="I41" i="165"/>
  <c r="I40" i="165"/>
  <c r="G37" i="165"/>
  <c r="E37" i="165"/>
  <c r="C37" i="165"/>
  <c r="I36" i="165"/>
  <c r="I35" i="165"/>
  <c r="G32" i="165"/>
  <c r="E32" i="165"/>
  <c r="C32" i="165"/>
  <c r="I31" i="165"/>
  <c r="I30" i="165"/>
  <c r="B5" i="165"/>
  <c r="G26" i="165"/>
  <c r="E26" i="165"/>
  <c r="C26" i="165"/>
  <c r="I25" i="165"/>
  <c r="I24" i="165"/>
  <c r="G21" i="165"/>
  <c r="E21" i="165"/>
  <c r="C21" i="165"/>
  <c r="I20" i="165"/>
  <c r="I19" i="165"/>
  <c r="G16" i="165"/>
  <c r="E16" i="165"/>
  <c r="C16" i="165"/>
  <c r="I15" i="165"/>
  <c r="I14" i="165"/>
  <c r="I13" i="165"/>
  <c r="A13" i="165"/>
  <c r="K12" i="165"/>
  <c r="K13" i="165" s="1"/>
  <c r="K14" i="165" s="1"/>
  <c r="K15" i="165" s="1"/>
  <c r="K16" i="165" s="1"/>
  <c r="K17" i="165" s="1"/>
  <c r="K18" i="165" s="1"/>
  <c r="K19" i="165" s="1"/>
  <c r="K20" i="165" s="1"/>
  <c r="K21" i="165" s="1"/>
  <c r="K22" i="165" s="1"/>
  <c r="K23" i="165" s="1"/>
  <c r="K24" i="165" s="1"/>
  <c r="K25" i="165" s="1"/>
  <c r="K26" i="165" s="1"/>
  <c r="K27" i="165" s="1"/>
  <c r="K28" i="165" s="1"/>
  <c r="K29" i="165" s="1"/>
  <c r="K30" i="165" s="1"/>
  <c r="K31" i="165" s="1"/>
  <c r="K32" i="165" s="1"/>
  <c r="K33" i="165" s="1"/>
  <c r="K34" i="165" s="1"/>
  <c r="K35" i="165" s="1"/>
  <c r="K36" i="165" s="1"/>
  <c r="K37" i="165" s="1"/>
  <c r="K38" i="165" s="1"/>
  <c r="K39" i="165" s="1"/>
  <c r="K40" i="165" s="1"/>
  <c r="K41" i="165" s="1"/>
  <c r="K42" i="165" s="1"/>
  <c r="K43" i="165" s="1"/>
  <c r="K44" i="165" s="1"/>
  <c r="K45" i="165" s="1"/>
  <c r="A14" i="167" l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J16" i="167"/>
  <c r="I32" i="167"/>
  <c r="I37" i="167"/>
  <c r="I42" i="167"/>
  <c r="A14" i="165"/>
  <c r="A15" i="165" s="1"/>
  <c r="A16" i="165" s="1"/>
  <c r="A17" i="165" s="1"/>
  <c r="A18" i="165" s="1"/>
  <c r="A19" i="165" s="1"/>
  <c r="I42" i="165"/>
  <c r="I21" i="165"/>
  <c r="C84" i="146"/>
  <c r="I26" i="167"/>
  <c r="G15" i="34" s="1"/>
  <c r="I21" i="167"/>
  <c r="I16" i="167"/>
  <c r="I16" i="165"/>
  <c r="I26" i="165"/>
  <c r="I37" i="165"/>
  <c r="I32" i="165"/>
  <c r="A20" i="165" l="1"/>
  <c r="A21" i="165" s="1"/>
  <c r="A22" i="165" s="1"/>
  <c r="A23" i="165" s="1"/>
  <c r="A24" i="165" s="1"/>
  <c r="J21" i="165"/>
  <c r="J16" i="165"/>
  <c r="G13" i="34"/>
  <c r="A31" i="167"/>
  <c r="A32" i="167" s="1"/>
  <c r="A33" i="167" s="1"/>
  <c r="A34" i="167" s="1"/>
  <c r="A35" i="167" s="1"/>
  <c r="J32" i="167"/>
  <c r="G11" i="34"/>
  <c r="J21" i="167"/>
  <c r="E11" i="34"/>
  <c r="E15" i="34"/>
  <c r="E13" i="34"/>
  <c r="A25" i="165" l="1"/>
  <c r="A26" i="165" s="1"/>
  <c r="A27" i="165" s="1"/>
  <c r="A28" i="165" s="1"/>
  <c r="A29" i="165" s="1"/>
  <c r="A30" i="165" s="1"/>
  <c r="A36" i="167"/>
  <c r="A37" i="167" s="1"/>
  <c r="A38" i="167" s="1"/>
  <c r="A39" i="167" s="1"/>
  <c r="A40" i="167" s="1"/>
  <c r="J37" i="167"/>
  <c r="J26" i="167"/>
  <c r="J26" i="165" l="1"/>
  <c r="A31" i="165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A45" i="165" s="1"/>
  <c r="J32" i="165"/>
  <c r="A41" i="167"/>
  <c r="A42" i="167" s="1"/>
  <c r="A43" i="167" s="1"/>
  <c r="A44" i="167" s="1"/>
  <c r="A45" i="167" s="1"/>
  <c r="J42" i="165" l="1"/>
  <c r="J42" i="167"/>
  <c r="K11" i="34"/>
  <c r="J37" i="165" l="1"/>
  <c r="K13" i="34" l="1"/>
  <c r="I23" i="34"/>
  <c r="C46" i="146" s="1"/>
  <c r="I19" i="34"/>
  <c r="C41" i="146" s="1"/>
  <c r="E29" i="163"/>
  <c r="E32" i="163" s="1"/>
  <c r="I23" i="2" s="1"/>
  <c r="C29" i="163"/>
  <c r="C32" i="163" s="1"/>
  <c r="A16" i="163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G15" i="163"/>
  <c r="G16" i="163" s="1"/>
  <c r="G17" i="163" s="1"/>
  <c r="G18" i="163" s="1"/>
  <c r="G19" i="163" s="1"/>
  <c r="G20" i="163" s="1"/>
  <c r="G21" i="163" s="1"/>
  <c r="G22" i="163" s="1"/>
  <c r="G23" i="163" s="1"/>
  <c r="G24" i="163" s="1"/>
  <c r="G25" i="163" s="1"/>
  <c r="G26" i="163" s="1"/>
  <c r="G27" i="163" s="1"/>
  <c r="G28" i="163" s="1"/>
  <c r="G29" i="163" s="1"/>
  <c r="G30" i="163" s="1"/>
  <c r="G31" i="163" s="1"/>
  <c r="G32" i="163" s="1"/>
  <c r="G33" i="163" s="1"/>
  <c r="K15" i="34" l="1"/>
  <c r="D32" i="163"/>
  <c r="F29" i="163"/>
  <c r="F32" i="163"/>
  <c r="D29" i="163"/>
  <c r="A28" i="163"/>
  <c r="A29" i="163" s="1"/>
  <c r="A30" i="163" s="1"/>
  <c r="A31" i="163" s="1"/>
  <c r="A32" i="163" s="1"/>
  <c r="A33" i="163" l="1"/>
  <c r="K23" i="2"/>
  <c r="K21" i="34"/>
  <c r="D34" i="154" l="1"/>
  <c r="C46" i="112" l="1"/>
  <c r="D34" i="112" l="1"/>
  <c r="E19" i="146" l="1"/>
  <c r="C34" i="146"/>
  <c r="C20" i="146"/>
  <c r="E33" i="161"/>
  <c r="C33" i="161"/>
  <c r="G32" i="161"/>
  <c r="G31" i="161"/>
  <c r="G30" i="161"/>
  <c r="G29" i="161"/>
  <c r="G28" i="161"/>
  <c r="E25" i="161"/>
  <c r="C25" i="161"/>
  <c r="G24" i="161"/>
  <c r="G23" i="161"/>
  <c r="G22" i="161"/>
  <c r="G21" i="161"/>
  <c r="E18" i="161"/>
  <c r="C18" i="161"/>
  <c r="G17" i="161"/>
  <c r="G16" i="161"/>
  <c r="G15" i="161"/>
  <c r="G14" i="161"/>
  <c r="I13" i="161"/>
  <c r="I14" i="161" s="1"/>
  <c r="I15" i="161" s="1"/>
  <c r="I16" i="161" s="1"/>
  <c r="I17" i="161" s="1"/>
  <c r="I18" i="161" s="1"/>
  <c r="I19" i="161" s="1"/>
  <c r="I20" i="161" s="1"/>
  <c r="I21" i="161" s="1"/>
  <c r="I22" i="161" s="1"/>
  <c r="I23" i="161" s="1"/>
  <c r="I24" i="161" s="1"/>
  <c r="I25" i="161" s="1"/>
  <c r="I26" i="161" s="1"/>
  <c r="I27" i="161" s="1"/>
  <c r="I28" i="161" s="1"/>
  <c r="I29" i="161" s="1"/>
  <c r="I30" i="161" s="1"/>
  <c r="I31" i="161" s="1"/>
  <c r="I32" i="161" s="1"/>
  <c r="I33" i="161" s="1"/>
  <c r="G13" i="161"/>
  <c r="A13" i="161"/>
  <c r="A14" i="161" s="1"/>
  <c r="A15" i="161" s="1"/>
  <c r="A16" i="161" s="1"/>
  <c r="A17" i="161" s="1"/>
  <c r="I12" i="161"/>
  <c r="G33" i="161" l="1"/>
  <c r="E16" i="75" s="1"/>
  <c r="G18" i="161"/>
  <c r="E14" i="75" s="1"/>
  <c r="G25" i="161"/>
  <c r="E15" i="75" s="1"/>
  <c r="E20" i="146"/>
  <c r="E34" i="146"/>
  <c r="H18" i="161"/>
  <c r="A18" i="161"/>
  <c r="A19" i="161" l="1"/>
  <c r="A20" i="161" s="1"/>
  <c r="A21" i="161" s="1"/>
  <c r="G14" i="75"/>
  <c r="A22" i="161"/>
  <c r="A23" i="161" s="1"/>
  <c r="A24" i="161" s="1"/>
  <c r="A25" i="161" s="1"/>
  <c r="A26" i="161" l="1"/>
  <c r="A27" i="161" s="1"/>
  <c r="A28" i="161" s="1"/>
  <c r="G15" i="75"/>
  <c r="H25" i="161"/>
  <c r="A29" i="161"/>
  <c r="A30" i="161" s="1"/>
  <c r="A31" i="161" s="1"/>
  <c r="A32" i="161" s="1"/>
  <c r="A33" i="161" s="1"/>
  <c r="G16" i="75" s="1"/>
  <c r="H33" i="161" l="1"/>
  <c r="E20" i="40" l="1"/>
  <c r="D12" i="159" l="1"/>
  <c r="G19" i="75"/>
  <c r="E21" i="41"/>
  <c r="E38" i="41"/>
  <c r="E37" i="41"/>
  <c r="E36" i="41"/>
  <c r="E20" i="41"/>
  <c r="E19" i="41"/>
  <c r="F30" i="156" l="1"/>
  <c r="F29" i="156"/>
  <c r="F28" i="156"/>
  <c r="F27" i="156"/>
  <c r="F26" i="156"/>
  <c r="F25" i="156"/>
  <c r="F24" i="156"/>
  <c r="F23" i="156"/>
  <c r="F22" i="156"/>
  <c r="F21" i="156"/>
  <c r="F20" i="156"/>
  <c r="D17" i="157" l="1"/>
  <c r="D21" i="154" l="1"/>
  <c r="D19" i="154"/>
  <c r="D15" i="154" l="1"/>
  <c r="D13" i="154"/>
  <c r="D11" i="154"/>
  <c r="C17" i="154"/>
  <c r="C23" i="154" s="1"/>
  <c r="C46" i="154" l="1"/>
  <c r="G19" i="156" s="1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C27" i="154"/>
  <c r="C40" i="154" l="1"/>
  <c r="G30" i="156"/>
  <c r="G26" i="156"/>
  <c r="G22" i="156"/>
  <c r="G25" i="156"/>
  <c r="G21" i="156"/>
  <c r="G24" i="156"/>
  <c r="G20" i="156"/>
  <c r="G29" i="156"/>
  <c r="G28" i="156"/>
  <c r="G27" i="156"/>
  <c r="G23" i="156"/>
  <c r="B5" i="159"/>
  <c r="A13" i="159"/>
  <c r="A14" i="159" s="1"/>
  <c r="A15" i="159" s="1"/>
  <c r="A16" i="159" s="1"/>
  <c r="A17" i="159" s="1"/>
  <c r="G12" i="159"/>
  <c r="G13" i="159" s="1"/>
  <c r="G14" i="159" s="1"/>
  <c r="G15" i="159" s="1"/>
  <c r="G16" i="159" s="1"/>
  <c r="G17" i="159" s="1"/>
  <c r="C16" i="159"/>
  <c r="H19" i="156" l="1"/>
  <c r="I19" i="156" s="1"/>
  <c r="C48" i="154"/>
  <c r="C52" i="154" s="1"/>
  <c r="F16" i="159"/>
  <c r="E13" i="135" l="1"/>
  <c r="E11" i="135"/>
  <c r="B46" i="112" l="1"/>
  <c r="D32" i="112"/>
  <c r="C32" i="112"/>
  <c r="B42" i="113" l="1"/>
  <c r="B40" i="113"/>
  <c r="C17" i="158" l="1"/>
  <c r="D17" i="158"/>
  <c r="E28" i="157"/>
  <c r="E27" i="157"/>
  <c r="E26" i="157"/>
  <c r="E25" i="157"/>
  <c r="E24" i="157"/>
  <c r="E23" i="157"/>
  <c r="E22" i="157"/>
  <c r="E21" i="157"/>
  <c r="E20" i="157"/>
  <c r="E19" i="157"/>
  <c r="E18" i="157"/>
  <c r="E17" i="157"/>
  <c r="B4" i="157"/>
  <c r="B4" i="158" s="1"/>
  <c r="B3" i="157"/>
  <c r="B5" i="156" l="1"/>
  <c r="B3" i="156"/>
  <c r="B5" i="158" l="1"/>
  <c r="B5" i="157"/>
  <c r="C17" i="157" s="1"/>
  <c r="C20" i="157" s="1"/>
  <c r="D28" i="158"/>
  <c r="D24" i="158"/>
  <c r="D20" i="158"/>
  <c r="D25" i="158"/>
  <c r="C25" i="158"/>
  <c r="I12" i="158"/>
  <c r="H12" i="158"/>
  <c r="G12" i="158"/>
  <c r="F12" i="158"/>
  <c r="E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D21" i="112" s="1"/>
  <c r="J11" i="158"/>
  <c r="J12" i="158" s="1"/>
  <c r="J13" i="158" s="1"/>
  <c r="J14" i="158" s="1"/>
  <c r="J15" i="158" s="1"/>
  <c r="J16" i="158" s="1"/>
  <c r="J17" i="158" s="1"/>
  <c r="J18" i="158" s="1"/>
  <c r="J19" i="158" s="1"/>
  <c r="J20" i="158" s="1"/>
  <c r="J21" i="158" s="1"/>
  <c r="J22" i="158" s="1"/>
  <c r="J23" i="158" s="1"/>
  <c r="J24" i="158" s="1"/>
  <c r="J25" i="158" s="1"/>
  <c r="J26" i="158" s="1"/>
  <c r="J27" i="158" s="1"/>
  <c r="J28" i="158" s="1"/>
  <c r="J29" i="158" s="1"/>
  <c r="J30" i="158" s="1"/>
  <c r="F17" i="157"/>
  <c r="H12" i="157"/>
  <c r="G12" i="157"/>
  <c r="F12" i="157"/>
  <c r="E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B38" i="158" s="1"/>
  <c r="I11" i="157"/>
  <c r="I12" i="157" s="1"/>
  <c r="I13" i="157" s="1"/>
  <c r="I14" i="157" s="1"/>
  <c r="I15" i="157" s="1"/>
  <c r="I16" i="157" s="1"/>
  <c r="I17" i="157" s="1"/>
  <c r="I18" i="157" s="1"/>
  <c r="I19" i="157" s="1"/>
  <c r="I20" i="157" s="1"/>
  <c r="I21" i="157" s="1"/>
  <c r="I22" i="157" s="1"/>
  <c r="I23" i="157" s="1"/>
  <c r="I24" i="157" s="1"/>
  <c r="I25" i="157" s="1"/>
  <c r="I26" i="157" s="1"/>
  <c r="I27" i="157" s="1"/>
  <c r="I28" i="157" s="1"/>
  <c r="I29" i="157" s="1"/>
  <c r="M12" i="156"/>
  <c r="L12" i="156"/>
  <c r="K12" i="156"/>
  <c r="I12" i="156"/>
  <c r="H12" i="156"/>
  <c r="A11" i="156"/>
  <c r="A12" i="156" s="1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D19" i="112" s="1"/>
  <c r="N11" i="156"/>
  <c r="N12" i="156" s="1"/>
  <c r="N13" i="156" s="1"/>
  <c r="N14" i="156" s="1"/>
  <c r="N15" i="156" s="1"/>
  <c r="N16" i="156" s="1"/>
  <c r="N17" i="156" s="1"/>
  <c r="N18" i="156" s="1"/>
  <c r="N19" i="156" s="1"/>
  <c r="N20" i="156" s="1"/>
  <c r="N21" i="156" s="1"/>
  <c r="N22" i="156" s="1"/>
  <c r="N23" i="156" s="1"/>
  <c r="N24" i="156" s="1"/>
  <c r="N25" i="156" s="1"/>
  <c r="N26" i="156" s="1"/>
  <c r="N27" i="156" s="1"/>
  <c r="N28" i="156" s="1"/>
  <c r="N29" i="156" s="1"/>
  <c r="N30" i="156" s="1"/>
  <c r="N31" i="156" s="1"/>
  <c r="C19" i="156"/>
  <c r="A31" i="156" l="1"/>
  <c r="F12" i="156" s="1"/>
  <c r="C19" i="158"/>
  <c r="C23" i="158"/>
  <c r="C27" i="158"/>
  <c r="C18" i="158"/>
  <c r="C20" i="158"/>
  <c r="C22" i="158"/>
  <c r="C24" i="158"/>
  <c r="C26" i="158"/>
  <c r="C28" i="158"/>
  <c r="D19" i="158"/>
  <c r="C21" i="158"/>
  <c r="D23" i="158"/>
  <c r="D27" i="158"/>
  <c r="C18" i="157"/>
  <c r="C22" i="157"/>
  <c r="C24" i="157"/>
  <c r="C26" i="157"/>
  <c r="C28" i="157"/>
  <c r="C19" i="157"/>
  <c r="C21" i="157"/>
  <c r="C23" i="157"/>
  <c r="C25" i="157"/>
  <c r="C27" i="157"/>
  <c r="D18" i="158"/>
  <c r="D22" i="158"/>
  <c r="D26" i="158"/>
  <c r="D21" i="158"/>
  <c r="C27" i="156"/>
  <c r="C26" i="156"/>
  <c r="C23" i="156"/>
  <c r="C25" i="156"/>
  <c r="C24" i="156"/>
  <c r="C29" i="156"/>
  <c r="C28" i="156"/>
  <c r="C21" i="156"/>
  <c r="C20" i="156"/>
  <c r="C30" i="156"/>
  <c r="C22" i="156"/>
  <c r="G17" i="157"/>
  <c r="H17" i="157" l="1"/>
  <c r="F18" i="157" l="1"/>
  <c r="G18" i="157" s="1"/>
  <c r="H18" i="157" l="1"/>
  <c r="F19" i="157" l="1"/>
  <c r="G19" i="157" l="1"/>
  <c r="H19" i="157" s="1"/>
  <c r="F20" i="157" l="1"/>
  <c r="G20" i="157" l="1"/>
  <c r="H20" i="157" s="1"/>
  <c r="F21" i="157" l="1"/>
  <c r="G21" i="157" l="1"/>
  <c r="H21" i="157" s="1"/>
  <c r="F22" i="157" l="1"/>
  <c r="G22" i="157" l="1"/>
  <c r="H22" i="157" s="1"/>
  <c r="F23" i="157" l="1"/>
  <c r="G23" i="157" s="1"/>
  <c r="H23" i="157" l="1"/>
  <c r="F24" i="157" l="1"/>
  <c r="G24" i="157" l="1"/>
  <c r="H24" i="157" s="1"/>
  <c r="F25" i="157" l="1"/>
  <c r="G25" i="157" l="1"/>
  <c r="H25" i="157" s="1"/>
  <c r="F26" i="157" l="1"/>
  <c r="G26" i="157" l="1"/>
  <c r="H26" i="157" s="1"/>
  <c r="F27" i="157" l="1"/>
  <c r="G27" i="157" s="1"/>
  <c r="H27" i="157" l="1"/>
  <c r="F28" i="157" l="1"/>
  <c r="G28" i="157" l="1"/>
  <c r="G29" i="157" s="1"/>
  <c r="H29" i="158" s="1"/>
  <c r="H28" i="157" l="1"/>
  <c r="E17" i="158" s="1"/>
  <c r="F28" i="158" s="1"/>
  <c r="F27" i="158" l="1"/>
  <c r="F22" i="158"/>
  <c r="F23" i="158"/>
  <c r="H17" i="158"/>
  <c r="F26" i="158"/>
  <c r="F25" i="158"/>
  <c r="F18" i="158"/>
  <c r="F21" i="158"/>
  <c r="F19" i="158"/>
  <c r="F24" i="158"/>
  <c r="F17" i="158"/>
  <c r="F20" i="158"/>
  <c r="G17" i="158" l="1"/>
  <c r="I17" i="158" s="1"/>
  <c r="E18" i="158" s="1"/>
  <c r="H18" i="158" s="1"/>
  <c r="G18" i="158" l="1"/>
  <c r="I18" i="158" s="1"/>
  <c r="E19" i="158" s="1"/>
  <c r="H19" i="158" l="1"/>
  <c r="G19" i="158" l="1"/>
  <c r="I19" i="158" s="1"/>
  <c r="E20" i="158" s="1"/>
  <c r="H20" i="158" l="1"/>
  <c r="G20" i="158" l="1"/>
  <c r="I20" i="158" s="1"/>
  <c r="E21" i="158" s="1"/>
  <c r="H21" i="158" l="1"/>
  <c r="G21" i="158" s="1"/>
  <c r="I21" i="158" s="1"/>
  <c r="E22" i="158" s="1"/>
  <c r="H22" i="158" l="1"/>
  <c r="G22" i="158" s="1"/>
  <c r="I22" i="158" s="1"/>
  <c r="E23" i="158" s="1"/>
  <c r="H23" i="158" l="1"/>
  <c r="G23" i="158" s="1"/>
  <c r="I23" i="158" s="1"/>
  <c r="E24" i="158" s="1"/>
  <c r="H24" i="158" l="1"/>
  <c r="G24" i="158" s="1"/>
  <c r="I24" i="158" s="1"/>
  <c r="E25" i="158" s="1"/>
  <c r="H25" i="158" l="1"/>
  <c r="G25" i="158" s="1"/>
  <c r="I25" i="158" s="1"/>
  <c r="E26" i="158" s="1"/>
  <c r="H26" i="158" l="1"/>
  <c r="G26" i="158" s="1"/>
  <c r="I26" i="158" s="1"/>
  <c r="E27" i="158" s="1"/>
  <c r="H27" i="158" l="1"/>
  <c r="G27" i="158" s="1"/>
  <c r="I27" i="158" s="1"/>
  <c r="E28" i="158" s="1"/>
  <c r="H28" i="158" l="1"/>
  <c r="H30" i="158" s="1"/>
  <c r="C21" i="112" s="1"/>
  <c r="G28" i="158" l="1"/>
  <c r="I28" i="158" s="1"/>
  <c r="C44" i="112" l="1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4" i="136"/>
  <c r="E9" i="133" l="1"/>
  <c r="A12" i="154"/>
  <c r="A13" i="154" s="1"/>
  <c r="D36" i="154" s="1"/>
  <c r="E11" i="154"/>
  <c r="E12" i="154" s="1"/>
  <c r="E13" i="154" s="1"/>
  <c r="E14" i="154" s="1"/>
  <c r="E15" i="154" s="1"/>
  <c r="E16" i="154" s="1"/>
  <c r="E17" i="154" l="1"/>
  <c r="E18" i="154" s="1"/>
  <c r="E19" i="154" s="1"/>
  <c r="E20" i="154" s="1"/>
  <c r="E21" i="154" s="1"/>
  <c r="E22" i="154" s="1"/>
  <c r="E23" i="154" s="1"/>
  <c r="E24" i="154" s="1"/>
  <c r="E25" i="154" s="1"/>
  <c r="E26" i="154" s="1"/>
  <c r="E27" i="154" s="1"/>
  <c r="E28" i="154" s="1"/>
  <c r="E33" i="154" s="1"/>
  <c r="E34" i="154" s="1"/>
  <c r="E35" i="154" s="1"/>
  <c r="E36" i="154" s="1"/>
  <c r="E37" i="154" s="1"/>
  <c r="E38" i="154" s="1"/>
  <c r="E39" i="154" s="1"/>
  <c r="E40" i="154" s="1"/>
  <c r="E41" i="154" s="1"/>
  <c r="E42" i="154" s="1"/>
  <c r="E43" i="154" s="1"/>
  <c r="E44" i="154" s="1"/>
  <c r="E45" i="154" s="1"/>
  <c r="E46" i="154" s="1"/>
  <c r="E47" i="154" s="1"/>
  <c r="E48" i="154" s="1"/>
  <c r="E49" i="154" s="1"/>
  <c r="E50" i="154" s="1"/>
  <c r="E51" i="154" s="1"/>
  <c r="E52" i="154" s="1"/>
  <c r="E53" i="154" s="1"/>
  <c r="A14" i="154"/>
  <c r="A15" i="154" s="1"/>
  <c r="D38" i="154" s="1"/>
  <c r="D17" i="154" l="1"/>
  <c r="E29" i="156"/>
  <c r="E25" i="156"/>
  <c r="E21" i="156"/>
  <c r="E27" i="156"/>
  <c r="E23" i="156"/>
  <c r="E30" i="156"/>
  <c r="E26" i="156"/>
  <c r="E22" i="156"/>
  <c r="E28" i="156"/>
  <c r="E24" i="156"/>
  <c r="E20" i="156"/>
  <c r="A16" i="154"/>
  <c r="B3" i="85"/>
  <c r="A17" i="154" l="1"/>
  <c r="E31" i="156"/>
  <c r="A18" i="154" l="1"/>
  <c r="A19" i="154" s="1"/>
  <c r="D42" i="154" s="1"/>
  <c r="B2" i="135"/>
  <c r="K15" i="10"/>
  <c r="M15" i="10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K16" i="10"/>
  <c r="K17" i="10"/>
  <c r="K18" i="10"/>
  <c r="K19" i="10"/>
  <c r="D21" i="10"/>
  <c r="E21" i="10"/>
  <c r="F21" i="10"/>
  <c r="G21" i="10"/>
  <c r="H21" i="10"/>
  <c r="I21" i="10"/>
  <c r="J21" i="10"/>
  <c r="K23" i="10"/>
  <c r="K24" i="10"/>
  <c r="K25" i="10"/>
  <c r="K26" i="10"/>
  <c r="K27" i="10"/>
  <c r="K28" i="10"/>
  <c r="K29" i="10"/>
  <c r="K30" i="10"/>
  <c r="K31" i="10"/>
  <c r="D33" i="10"/>
  <c r="E33" i="10"/>
  <c r="F33" i="10"/>
  <c r="F35" i="10" s="1"/>
  <c r="G33" i="10"/>
  <c r="H33" i="10"/>
  <c r="I33" i="10"/>
  <c r="J33" i="10"/>
  <c r="J35" i="10" s="1"/>
  <c r="G35" i="10" l="1"/>
  <c r="H35" i="10"/>
  <c r="D35" i="10"/>
  <c r="K33" i="10"/>
  <c r="I35" i="10"/>
  <c r="E35" i="10"/>
  <c r="K21" i="10"/>
  <c r="A20" i="154"/>
  <c r="A21" i="154" s="1"/>
  <c r="D44" i="154" s="1"/>
  <c r="K35" i="10" l="1"/>
  <c r="A22" i="154"/>
  <c r="A23" i="154" s="1"/>
  <c r="D23" i="154"/>
  <c r="B3" i="114"/>
  <c r="B3" i="113"/>
  <c r="B3" i="111"/>
  <c r="A24" i="154" l="1"/>
  <c r="A25" i="154" s="1"/>
  <c r="B39" i="113"/>
  <c r="D27" i="154" l="1"/>
  <c r="D46" i="154"/>
  <c r="A26" i="154"/>
  <c r="A27" i="154" s="1"/>
  <c r="A28" i="154" s="1"/>
  <c r="A33" i="154" s="1"/>
  <c r="A34" i="154" s="1"/>
  <c r="A35" i="154" l="1"/>
  <c r="A36" i="154" s="1"/>
  <c r="A37" i="154" s="1"/>
  <c r="A38" i="154" s="1"/>
  <c r="A39" i="154" s="1"/>
  <c r="A40" i="154" s="1"/>
  <c r="D40" i="154"/>
  <c r="D54" i="153"/>
  <c r="D53" i="153"/>
  <c r="D52" i="153"/>
  <c r="D51" i="153"/>
  <c r="D50" i="153"/>
  <c r="D49" i="153"/>
  <c r="D48" i="153"/>
  <c r="D47" i="153"/>
  <c r="D46" i="153"/>
  <c r="D45" i="153"/>
  <c r="D44" i="153"/>
  <c r="D43" i="153"/>
  <c r="D42" i="153"/>
  <c r="D41" i="153"/>
  <c r="D40" i="153"/>
  <c r="D39" i="153"/>
  <c r="D38" i="153"/>
  <c r="D37" i="153"/>
  <c r="D36" i="153"/>
  <c r="D35" i="153"/>
  <c r="D34" i="153"/>
  <c r="D33" i="153"/>
  <c r="D32" i="153"/>
  <c r="D31" i="153"/>
  <c r="D30" i="153"/>
  <c r="D29" i="153"/>
  <c r="D28" i="153"/>
  <c r="D27" i="153"/>
  <c r="D26" i="153"/>
  <c r="D25" i="153"/>
  <c r="D24" i="153"/>
  <c r="D23" i="153"/>
  <c r="D22" i="153"/>
  <c r="D21" i="153"/>
  <c r="D20" i="153"/>
  <c r="D19" i="153"/>
  <c r="D18" i="153"/>
  <c r="D17" i="153"/>
  <c r="D16" i="153"/>
  <c r="D15" i="153"/>
  <c r="D14" i="153"/>
  <c r="D13" i="153"/>
  <c r="D12" i="153"/>
  <c r="D11" i="153"/>
  <c r="D10" i="153"/>
  <c r="A41" i="154" l="1"/>
  <c r="A42" i="154" s="1"/>
  <c r="A43" i="154" s="1"/>
  <c r="A44" i="154" s="1"/>
  <c r="A45" i="154" s="1"/>
  <c r="A46" i="154" s="1"/>
  <c r="A47" i="154" s="1"/>
  <c r="A48" i="154" s="1"/>
  <c r="A49" i="154" s="1"/>
  <c r="A50" i="154" s="1"/>
  <c r="A51" i="154" s="1"/>
  <c r="A52" i="154" s="1"/>
  <c r="A53" i="154" s="1"/>
  <c r="D52" i="154" l="1"/>
  <c r="D48" i="154"/>
  <c r="F31" i="23"/>
  <c r="I11" i="34" l="1"/>
  <c r="E17" i="34"/>
  <c r="D16" i="26"/>
  <c r="D16" i="25"/>
  <c r="F26" i="23"/>
  <c r="E20" i="8" l="1"/>
  <c r="E23" i="150" l="1"/>
  <c r="E22" i="150"/>
  <c r="D9" i="153" l="1"/>
  <c r="C72" i="41" l="1"/>
  <c r="B52" i="112" l="1"/>
  <c r="E25" i="40" l="1"/>
  <c r="B4" i="41"/>
  <c r="B5" i="150"/>
  <c r="B4" i="42"/>
  <c r="E24" i="40" l="1"/>
  <c r="E17" i="75" l="1"/>
  <c r="B5" i="10" l="1"/>
  <c r="E14" i="59" l="1"/>
  <c r="E13" i="59"/>
  <c r="G18" i="27"/>
  <c r="G17" i="27"/>
  <c r="G14" i="27"/>
  <c r="G13" i="27"/>
  <c r="L11" i="34" l="1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A12" i="34"/>
  <c r="A13" i="34" s="1"/>
  <c r="A14" i="34" s="1"/>
  <c r="A15" i="34" s="1"/>
  <c r="E18" i="14"/>
  <c r="E17" i="14"/>
  <c r="E14" i="14"/>
  <c r="E13" i="14"/>
  <c r="B5" i="85"/>
  <c r="B6" i="84"/>
  <c r="A16" i="34" l="1"/>
  <c r="A17" i="34" s="1"/>
  <c r="A18" i="34" s="1"/>
  <c r="A19" i="34" s="1"/>
  <c r="A20" i="34" s="1"/>
  <c r="A21" i="34" s="1"/>
  <c r="A22" i="34" s="1"/>
  <c r="A23" i="34" s="1"/>
  <c r="K17" i="34"/>
  <c r="B5" i="71"/>
  <c r="B5" i="70"/>
  <c r="B4" i="153"/>
  <c r="B4" i="135"/>
  <c r="B3" i="153"/>
  <c r="A14" i="84" l="1"/>
  <c r="E16" i="111" l="1"/>
  <c r="C34" i="114" l="1"/>
  <c r="G13" i="66" l="1"/>
  <c r="E9" i="153" l="1"/>
  <c r="E10" i="153" l="1"/>
  <c r="E11" i="153" s="1"/>
  <c r="E12" i="153" s="1"/>
  <c r="E13" i="153" s="1"/>
  <c r="E14" i="153" s="1"/>
  <c r="E15" i="153" s="1"/>
  <c r="E16" i="153" s="1"/>
  <c r="E17" i="153" s="1"/>
  <c r="E18" i="153" s="1"/>
  <c r="E19" i="153" s="1"/>
  <c r="E20" i="153" s="1"/>
  <c r="E21" i="153" s="1"/>
  <c r="E22" i="153" s="1"/>
  <c r="E23" i="153" s="1"/>
  <c r="E24" i="153" s="1"/>
  <c r="E25" i="153" s="1"/>
  <c r="E26" i="153" s="1"/>
  <c r="E27" i="153" s="1"/>
  <c r="E28" i="153" s="1"/>
  <c r="E29" i="153" s="1"/>
  <c r="E30" i="153" s="1"/>
  <c r="E31" i="153" s="1"/>
  <c r="E32" i="153" s="1"/>
  <c r="E33" i="153" s="1"/>
  <c r="E34" i="153" s="1"/>
  <c r="E35" i="153" s="1"/>
  <c r="E36" i="153" s="1"/>
  <c r="E37" i="153" s="1"/>
  <c r="E38" i="153" s="1"/>
  <c r="E39" i="153" s="1"/>
  <c r="E40" i="153" s="1"/>
  <c r="E41" i="153" s="1"/>
  <c r="E42" i="153" s="1"/>
  <c r="E43" i="153" s="1"/>
  <c r="E44" i="153" s="1"/>
  <c r="E45" i="153" s="1"/>
  <c r="E46" i="153" s="1"/>
  <c r="E47" i="153" s="1"/>
  <c r="E48" i="153" s="1"/>
  <c r="E49" i="153" s="1"/>
  <c r="E50" i="153" s="1"/>
  <c r="E51" i="153" s="1"/>
  <c r="E52" i="153" s="1"/>
  <c r="E53" i="153" s="1"/>
  <c r="E54" i="153" s="1"/>
  <c r="E55" i="153" s="1"/>
  <c r="E56" i="153" s="1"/>
  <c r="E57" i="153" s="1"/>
  <c r="A10" i="153"/>
  <c r="A11" i="153" s="1"/>
  <c r="A12" i="153" s="1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A46" i="153" s="1"/>
  <c r="A47" i="153" s="1"/>
  <c r="A48" i="153" s="1"/>
  <c r="A49" i="153" s="1"/>
  <c r="A50" i="153" s="1"/>
  <c r="A51" i="153" s="1"/>
  <c r="A52" i="153" s="1"/>
  <c r="A53" i="153" s="1"/>
  <c r="A54" i="153" s="1"/>
  <c r="A55" i="153" s="1"/>
  <c r="A56" i="153" s="1"/>
  <c r="A57" i="153" s="1"/>
  <c r="G12" i="40" l="1"/>
  <c r="D56" i="153"/>
  <c r="E12" i="40" s="1"/>
  <c r="E15" i="66" l="1"/>
  <c r="E19" i="66" s="1"/>
  <c r="B5" i="111" l="1"/>
  <c r="B6" i="24"/>
  <c r="B6" i="152"/>
  <c r="B5" i="11"/>
  <c r="E68" i="146"/>
  <c r="F11" i="146"/>
  <c r="F12" i="146" s="1"/>
  <c r="F13" i="146" s="1"/>
  <c r="F14" i="146" s="1"/>
  <c r="G83" i="113" s="1"/>
  <c r="A12" i="146"/>
  <c r="A13" i="146" s="1"/>
  <c r="A14" i="146" s="1"/>
  <c r="A15" i="146" s="1"/>
  <c r="E25" i="146"/>
  <c r="E24" i="146"/>
  <c r="C13" i="27"/>
  <c r="B4" i="162" l="1"/>
  <c r="B4" i="146"/>
  <c r="F15" i="146"/>
  <c r="G85" i="113" s="1"/>
  <c r="E16" i="146"/>
  <c r="A16" i="146"/>
  <c r="G47" i="113" s="1"/>
  <c r="B5" i="34"/>
  <c r="B13" i="59"/>
  <c r="D17" i="27"/>
  <c r="B5" i="59"/>
  <c r="A14" i="59"/>
  <c r="A15" i="59" s="1"/>
  <c r="G17" i="46" s="1"/>
  <c r="F13" i="59"/>
  <c r="F14" i="59" s="1"/>
  <c r="F15" i="59" s="1"/>
  <c r="F16" i="59" s="1"/>
  <c r="D13" i="27"/>
  <c r="C17" i="27"/>
  <c r="D5" i="27"/>
  <c r="A14" i="27"/>
  <c r="G15" i="27" s="1"/>
  <c r="H13" i="27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B17" i="14"/>
  <c r="B13" i="14"/>
  <c r="B5" i="14"/>
  <c r="A14" i="14"/>
  <c r="E15" i="14" s="1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16" i="146" l="1"/>
  <c r="F17" i="146" s="1"/>
  <c r="F18" i="146" s="1"/>
  <c r="F19" i="146" s="1"/>
  <c r="F20" i="146" s="1"/>
  <c r="F21" i="146" s="1"/>
  <c r="F22" i="146" s="1"/>
  <c r="F23" i="146" s="1"/>
  <c r="F24" i="146" s="1"/>
  <c r="F25" i="146" s="1"/>
  <c r="F26" i="146" s="1"/>
  <c r="F27" i="146" s="1"/>
  <c r="F28" i="146" s="1"/>
  <c r="F29" i="146" s="1"/>
  <c r="F30" i="146" s="1"/>
  <c r="F31" i="146" s="1"/>
  <c r="F32" i="146" s="1"/>
  <c r="F33" i="146" s="1"/>
  <c r="F34" i="146" s="1"/>
  <c r="F35" i="146" s="1"/>
  <c r="F36" i="146" s="1"/>
  <c r="F37" i="146" s="1"/>
  <c r="F38" i="146" s="1"/>
  <c r="F39" i="146" s="1"/>
  <c r="F40" i="146" s="1"/>
  <c r="F41" i="146" s="1"/>
  <c r="F42" i="146" s="1"/>
  <c r="F43" i="146" s="1"/>
  <c r="F44" i="146" s="1"/>
  <c r="F45" i="146" s="1"/>
  <c r="F46" i="146" s="1"/>
  <c r="F47" i="146" s="1"/>
  <c r="F48" i="146" s="1"/>
  <c r="A15" i="27"/>
  <c r="E15" i="59"/>
  <c r="A17" i="146"/>
  <c r="A18" i="146" s="1"/>
  <c r="A19" i="146" s="1"/>
  <c r="A16" i="59"/>
  <c r="D15" i="59"/>
  <c r="E17" i="46" s="1"/>
  <c r="F19" i="27"/>
  <c r="G17" i="22" s="1"/>
  <c r="F15" i="27"/>
  <c r="E17" i="22" s="1"/>
  <c r="A16" i="27"/>
  <c r="A17" i="27" s="1"/>
  <c r="D19" i="14"/>
  <c r="G29" i="2" s="1"/>
  <c r="A15" i="14"/>
  <c r="A20" i="146" l="1"/>
  <c r="A21" i="146" s="1"/>
  <c r="D22" i="14"/>
  <c r="E29" i="2"/>
  <c r="F22" i="27"/>
  <c r="A18" i="27"/>
  <c r="A19" i="27" s="1"/>
  <c r="G22" i="27" s="1"/>
  <c r="A16" i="14"/>
  <c r="A17" i="14" s="1"/>
  <c r="A22" i="146" l="1"/>
  <c r="A23" i="146" s="1"/>
  <c r="A24" i="146" s="1"/>
  <c r="E21" i="146"/>
  <c r="G19" i="27"/>
  <c r="A20" i="27"/>
  <c r="A21" i="27" s="1"/>
  <c r="A22" i="27" s="1"/>
  <c r="A18" i="14"/>
  <c r="A19" i="14" s="1"/>
  <c r="E19" i="14"/>
  <c r="A23" i="27" l="1"/>
  <c r="K17" i="22"/>
  <c r="A25" i="146"/>
  <c r="A26" i="146" s="1"/>
  <c r="A20" i="14"/>
  <c r="A21" i="14" s="1"/>
  <c r="A22" i="14" s="1"/>
  <c r="E22" i="14"/>
  <c r="E26" i="146" l="1"/>
  <c r="A23" i="14"/>
  <c r="K29" i="2"/>
  <c r="A27" i="146"/>
  <c r="A28" i="146" s="1"/>
  <c r="A29" i="146" s="1"/>
  <c r="A30" i="146" l="1"/>
  <c r="A31" i="146" s="1"/>
  <c r="A32" i="146" s="1"/>
  <c r="K17" i="152"/>
  <c r="F34" i="152"/>
  <c r="K32" i="152"/>
  <c r="K31" i="152"/>
  <c r="K30" i="152"/>
  <c r="K29" i="152"/>
  <c r="K28" i="152"/>
  <c r="K27" i="152"/>
  <c r="K26" i="152"/>
  <c r="K25" i="152"/>
  <c r="D34" i="152"/>
  <c r="J34" i="152"/>
  <c r="I34" i="152"/>
  <c r="H34" i="152"/>
  <c r="K24" i="152"/>
  <c r="E34" i="152"/>
  <c r="K20" i="152"/>
  <c r="K19" i="152"/>
  <c r="K18" i="152"/>
  <c r="A17" i="152"/>
  <c r="A18" i="152" s="1"/>
  <c r="A19" i="152" s="1"/>
  <c r="A20" i="152" s="1"/>
  <c r="M16" i="152"/>
  <c r="M17" i="152" s="1"/>
  <c r="M18" i="152" s="1"/>
  <c r="M19" i="152" s="1"/>
  <c r="M20" i="152" s="1"/>
  <c r="M21" i="152" s="1"/>
  <c r="M22" i="152" s="1"/>
  <c r="M23" i="152" s="1"/>
  <c r="M24" i="152" s="1"/>
  <c r="M25" i="152" s="1"/>
  <c r="M26" i="152" s="1"/>
  <c r="M27" i="152" s="1"/>
  <c r="M28" i="152" s="1"/>
  <c r="M29" i="152" s="1"/>
  <c r="M30" i="152" s="1"/>
  <c r="M31" i="152" s="1"/>
  <c r="M32" i="152" s="1"/>
  <c r="M33" i="152" s="1"/>
  <c r="M34" i="152" s="1"/>
  <c r="M35" i="152" s="1"/>
  <c r="M36" i="152" s="1"/>
  <c r="J22" i="152"/>
  <c r="I22" i="152"/>
  <c r="H22" i="152"/>
  <c r="G22" i="152"/>
  <c r="F22" i="152"/>
  <c r="E22" i="152"/>
  <c r="E32" i="146" l="1"/>
  <c r="A33" i="146"/>
  <c r="A34" i="146" s="1"/>
  <c r="A35" i="146" s="1"/>
  <c r="A36" i="146" s="1"/>
  <c r="I88" i="82" s="1"/>
  <c r="F36" i="152"/>
  <c r="H36" i="152"/>
  <c r="D22" i="152"/>
  <c r="D36" i="152" s="1"/>
  <c r="I36" i="152"/>
  <c r="E36" i="152"/>
  <c r="J36" i="152"/>
  <c r="A21" i="152"/>
  <c r="A22" i="152" s="1"/>
  <c r="L22" i="152"/>
  <c r="K34" i="152"/>
  <c r="K16" i="152"/>
  <c r="K22" i="152" s="1"/>
  <c r="G34" i="152"/>
  <c r="G36" i="152" s="1"/>
  <c r="A37" i="146" l="1"/>
  <c r="A38" i="146" s="1"/>
  <c r="A39" i="146" s="1"/>
  <c r="E36" i="146"/>
  <c r="A23" i="152"/>
  <c r="A24" i="152" s="1"/>
  <c r="K36" i="152"/>
  <c r="A40" i="146" l="1"/>
  <c r="A41" i="146" s="1"/>
  <c r="A42" i="146" s="1"/>
  <c r="A43" i="146" s="1"/>
  <c r="A44" i="146" s="1"/>
  <c r="A25" i="152"/>
  <c r="A26" i="152" s="1"/>
  <c r="A27" i="152" s="1"/>
  <c r="A28" i="152" s="1"/>
  <c r="A29" i="152" s="1"/>
  <c r="A30" i="152" s="1"/>
  <c r="A31" i="152" s="1"/>
  <c r="A32" i="152" s="1"/>
  <c r="A33" i="152" s="1"/>
  <c r="A34" i="152" s="1"/>
  <c r="E41" i="146" l="1"/>
  <c r="A45" i="146"/>
  <c r="A46" i="146" s="1"/>
  <c r="A47" i="146" s="1"/>
  <c r="A48" i="146" s="1"/>
  <c r="E75" i="146"/>
  <c r="L34" i="152"/>
  <c r="A35" i="152"/>
  <c r="A36" i="152" s="1"/>
  <c r="L36" i="152"/>
  <c r="E46" i="146" l="1"/>
  <c r="B53" i="146"/>
  <c r="B5" i="82"/>
  <c r="B119" i="82" s="1"/>
  <c r="B5" i="75"/>
  <c r="B5" i="69"/>
  <c r="B5" i="66"/>
  <c r="B5" i="46"/>
  <c r="B5" i="45"/>
  <c r="B5" i="40"/>
  <c r="B5" i="38"/>
  <c r="B5" i="22"/>
  <c r="B5" i="2"/>
  <c r="B5" i="114"/>
  <c r="E65" i="146" l="1"/>
  <c r="G26" i="40"/>
  <c r="F10" i="150" l="1"/>
  <c r="F11" i="150" s="1"/>
  <c r="F12" i="150" s="1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F46" i="150" s="1"/>
  <c r="F47" i="150" s="1"/>
  <c r="F48" i="150" s="1"/>
  <c r="F49" i="150" s="1"/>
  <c r="F50" i="150" s="1"/>
  <c r="F51" i="150" s="1"/>
  <c r="F52" i="150" s="1"/>
  <c r="F53" i="150" s="1"/>
  <c r="F54" i="150" s="1"/>
  <c r="A11" i="150"/>
  <c r="A12" i="150" s="1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E76" i="146" l="1"/>
  <c r="A52" i="150"/>
  <c r="A53" i="150" s="1"/>
  <c r="A54" i="150" s="1"/>
  <c r="E77" i="146" l="1"/>
  <c r="D5" i="133"/>
  <c r="D10" i="133" s="1"/>
  <c r="J12" i="114"/>
  <c r="J13" i="114" s="1"/>
  <c r="J14" i="114" s="1"/>
  <c r="J15" i="114" s="1"/>
  <c r="J16" i="114" s="1"/>
  <c r="J17" i="114" s="1"/>
  <c r="J18" i="114" s="1"/>
  <c r="J19" i="114" s="1"/>
  <c r="J20" i="114" s="1"/>
  <c r="J21" i="114" s="1"/>
  <c r="J22" i="114" s="1"/>
  <c r="J23" i="114" s="1"/>
  <c r="J24" i="114" s="1"/>
  <c r="J25" i="114" s="1"/>
  <c r="J26" i="114" s="1"/>
  <c r="J27" i="114" s="1"/>
  <c r="J28" i="114" s="1"/>
  <c r="J29" i="114" s="1"/>
  <c r="J30" i="114" s="1"/>
  <c r="J31" i="114" s="1"/>
  <c r="J32" i="114" s="1"/>
  <c r="J33" i="114" s="1"/>
  <c r="J34" i="114" s="1"/>
  <c r="J35" i="114" s="1"/>
  <c r="J36" i="114" s="1"/>
  <c r="J37" i="114" s="1"/>
  <c r="J38" i="114" s="1"/>
  <c r="J39" i="114" s="1"/>
  <c r="J40" i="114" s="1"/>
  <c r="J41" i="114" s="1"/>
  <c r="J42" i="114" s="1"/>
  <c r="A13" i="114"/>
  <c r="A14" i="114" s="1"/>
  <c r="D9" i="133" l="1"/>
  <c r="D7" i="133"/>
  <c r="D6" i="133"/>
  <c r="D8" i="133"/>
  <c r="E78" i="146"/>
  <c r="E72" i="146"/>
  <c r="A15" i="114"/>
  <c r="A16" i="114" s="1"/>
  <c r="A17" i="114" s="1"/>
  <c r="A18" i="114" s="1"/>
  <c r="I18" i="114" l="1"/>
  <c r="E12" i="146"/>
  <c r="A19" i="114"/>
  <c r="A20" i="114" s="1"/>
  <c r="A21" i="114" s="1"/>
  <c r="A22" i="114" s="1"/>
  <c r="A23" i="114" s="1"/>
  <c r="A24" i="114" s="1"/>
  <c r="A25" i="114" s="1"/>
  <c r="E13" i="146" l="1"/>
  <c r="A26" i="114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H47" i="113"/>
  <c r="H48" i="113" s="1"/>
  <c r="H49" i="113" s="1"/>
  <c r="H50" i="113" s="1"/>
  <c r="H51" i="113" s="1"/>
  <c r="H52" i="113" s="1"/>
  <c r="H53" i="113" s="1"/>
  <c r="H54" i="113" s="1"/>
  <c r="H55" i="113" s="1"/>
  <c r="H56" i="113" s="1"/>
  <c r="H57" i="113" s="1"/>
  <c r="H58" i="113" s="1"/>
  <c r="H59" i="113" s="1"/>
  <c r="H60" i="113" s="1"/>
  <c r="H61" i="113" s="1"/>
  <c r="H62" i="113" s="1"/>
  <c r="H63" i="113" s="1"/>
  <c r="H64" i="113" s="1"/>
  <c r="H65" i="113" s="1"/>
  <c r="H66" i="113" s="1"/>
  <c r="H67" i="113" s="1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H79" i="113" s="1"/>
  <c r="H80" i="113" s="1"/>
  <c r="H81" i="113" s="1"/>
  <c r="H82" i="113" s="1"/>
  <c r="H83" i="113" s="1"/>
  <c r="H84" i="113" s="1"/>
  <c r="H85" i="113" s="1"/>
  <c r="H86" i="113" s="1"/>
  <c r="H87" i="113" s="1"/>
  <c r="H88" i="113" s="1"/>
  <c r="H89" i="113" s="1"/>
  <c r="H90" i="113" s="1"/>
  <c r="H91" i="113" s="1"/>
  <c r="H92" i="113" s="1"/>
  <c r="H93" i="113" s="1"/>
  <c r="H94" i="113" s="1"/>
  <c r="H95" i="113" s="1"/>
  <c r="H96" i="113" s="1"/>
  <c r="H97" i="113" s="1"/>
  <c r="A48" i="113"/>
  <c r="A49" i="113" s="1"/>
  <c r="A50" i="113" s="1"/>
  <c r="H11" i="113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A12" i="113"/>
  <c r="E12" i="111"/>
  <c r="E14" i="111" s="1"/>
  <c r="E17" i="111" s="1"/>
  <c r="H11" i="111"/>
  <c r="H12" i="111" s="1"/>
  <c r="H13" i="111" s="1"/>
  <c r="H14" i="111" s="1"/>
  <c r="H15" i="111" s="1"/>
  <c r="A12" i="111"/>
  <c r="B42" i="112"/>
  <c r="E9" i="2"/>
  <c r="B38" i="112"/>
  <c r="B36" i="112"/>
  <c r="B34" i="112"/>
  <c r="E11" i="112"/>
  <c r="E12" i="112" s="1"/>
  <c r="A12" i="112"/>
  <c r="A13" i="112" s="1"/>
  <c r="C17" i="85"/>
  <c r="C15" i="85"/>
  <c r="A12" i="85"/>
  <c r="A13" i="85" s="1"/>
  <c r="A14" i="85" s="1"/>
  <c r="A15" i="85" s="1"/>
  <c r="A16" i="85" s="1"/>
  <c r="A17" i="85" s="1"/>
  <c r="A18" i="85" s="1"/>
  <c r="A19" i="85" s="1"/>
  <c r="E11" i="85"/>
  <c r="E12" i="85" s="1"/>
  <c r="E13" i="85" s="1"/>
  <c r="E14" i="85" s="1"/>
  <c r="E15" i="85" s="1"/>
  <c r="E16" i="85" s="1"/>
  <c r="E17" i="85" s="1"/>
  <c r="E18" i="85" s="1"/>
  <c r="E19" i="85" s="1"/>
  <c r="E20" i="85" s="1"/>
  <c r="E21" i="85" s="1"/>
  <c r="E22" i="85" s="1"/>
  <c r="E23" i="85" s="1"/>
  <c r="E24" i="85" s="1"/>
  <c r="E25" i="85" s="1"/>
  <c r="E26" i="85" s="1"/>
  <c r="E27" i="85" s="1"/>
  <c r="E28" i="85" s="1"/>
  <c r="B4" i="84"/>
  <c r="D13" i="84"/>
  <c r="D14" i="84" s="1"/>
  <c r="B74" i="82"/>
  <c r="J81" i="82"/>
  <c r="J82" i="82" s="1"/>
  <c r="J83" i="82" s="1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J103" i="82" s="1"/>
  <c r="J104" i="82" s="1"/>
  <c r="J105" i="82" s="1"/>
  <c r="J106" i="82" s="1"/>
  <c r="J107" i="82" s="1"/>
  <c r="J108" i="82" s="1"/>
  <c r="J109" i="82" s="1"/>
  <c r="J110" i="82" s="1"/>
  <c r="A81" i="82"/>
  <c r="A82" i="82" s="1"/>
  <c r="A83" i="82" s="1"/>
  <c r="A84" i="82" s="1"/>
  <c r="A85" i="82" s="1"/>
  <c r="E49" i="82"/>
  <c r="A12" i="82"/>
  <c r="A13" i="82" s="1"/>
  <c r="A14" i="82" s="1"/>
  <c r="A15" i="82" s="1"/>
  <c r="A16" i="82" s="1"/>
  <c r="A17" i="82" s="1"/>
  <c r="A18" i="82" s="1"/>
  <c r="A19" i="82" s="1"/>
  <c r="A20" i="82" s="1"/>
  <c r="J11" i="82"/>
  <c r="J12" i="82" s="1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J42" i="82" s="1"/>
  <c r="J43" i="82" s="1"/>
  <c r="J44" i="82" s="1"/>
  <c r="J45" i="82" s="1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G57" i="40"/>
  <c r="H11" i="40"/>
  <c r="H12" i="40" s="1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H38" i="40" s="1"/>
  <c r="H39" i="40" s="1"/>
  <c r="H40" i="40" s="1"/>
  <c r="H41" i="40" s="1"/>
  <c r="H42" i="40" s="1"/>
  <c r="H43" i="40" s="1"/>
  <c r="H44" i="40" s="1"/>
  <c r="H45" i="40" s="1"/>
  <c r="H46" i="40" s="1"/>
  <c r="H47" i="40" s="1"/>
  <c r="H48" i="40" s="1"/>
  <c r="H49" i="40" s="1"/>
  <c r="H50" i="40" s="1"/>
  <c r="H51" i="40" s="1"/>
  <c r="H52" i="40" s="1"/>
  <c r="H53" i="40" s="1"/>
  <c r="H54" i="40" s="1"/>
  <c r="H55" i="40" s="1"/>
  <c r="H56" i="40" s="1"/>
  <c r="H57" i="40" s="1"/>
  <c r="H58" i="40" s="1"/>
  <c r="H59" i="40" s="1"/>
  <c r="H60" i="40" s="1"/>
  <c r="H61" i="40" s="1"/>
  <c r="H62" i="40" s="1"/>
  <c r="H63" i="40" s="1"/>
  <c r="H64" i="40" s="1"/>
  <c r="H65" i="40" s="1"/>
  <c r="H66" i="40" s="1"/>
  <c r="A12" i="40"/>
  <c r="G12" i="111" s="1"/>
  <c r="G9" i="2"/>
  <c r="A12" i="2"/>
  <c r="A13" i="2" s="1"/>
  <c r="A14" i="2" s="1"/>
  <c r="A15" i="2" s="1"/>
  <c r="A16" i="2" s="1"/>
  <c r="A17" i="2" s="1"/>
  <c r="L11" i="2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A12" i="22"/>
  <c r="A13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D7" i="135"/>
  <c r="C7" i="135"/>
  <c r="G11" i="135"/>
  <c r="G12" i="135" s="1"/>
  <c r="G13" i="135" s="1"/>
  <c r="G14" i="135" s="1"/>
  <c r="G15" i="135" s="1"/>
  <c r="G16" i="135" s="1"/>
  <c r="H11" i="38"/>
  <c r="G15" i="45"/>
  <c r="G13" i="45"/>
  <c r="H11" i="45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A12" i="45"/>
  <c r="A13" i="45" s="1"/>
  <c r="E14" i="146" l="1"/>
  <c r="I36" i="114"/>
  <c r="A37" i="114"/>
  <c r="A38" i="114" s="1"/>
  <c r="A39" i="114" s="1"/>
  <c r="A40" i="114" s="1"/>
  <c r="I38" i="114"/>
  <c r="I34" i="114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D36" i="112"/>
  <c r="A14" i="112"/>
  <c r="A15" i="112" s="1"/>
  <c r="A16" i="112" s="1"/>
  <c r="A17" i="112" s="1"/>
  <c r="C19" i="85"/>
  <c r="A20" i="85"/>
  <c r="A21" i="85" s="1"/>
  <c r="A22" i="85" s="1"/>
  <c r="A23" i="85" s="1"/>
  <c r="A11" i="135"/>
  <c r="A18" i="2"/>
  <c r="A19" i="2" s="1"/>
  <c r="G59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G25" i="66" s="1"/>
  <c r="H16" i="111"/>
  <c r="H17" i="111" s="1"/>
  <c r="H18" i="111" s="1"/>
  <c r="H19" i="111" s="1"/>
  <c r="H20" i="111" s="1"/>
  <c r="H21" i="111" s="1"/>
  <c r="H22" i="111" s="1"/>
  <c r="H23" i="111" s="1"/>
  <c r="H24" i="111" s="1"/>
  <c r="H25" i="111" s="1"/>
  <c r="H26" i="111" s="1"/>
  <c r="H27" i="111" s="1"/>
  <c r="A13" i="111"/>
  <c r="A14" i="111" s="1"/>
  <c r="G9" i="34"/>
  <c r="G9" i="22"/>
  <c r="E9" i="34"/>
  <c r="E9" i="22"/>
  <c r="A14" i="45"/>
  <c r="A15" i="45" s="1"/>
  <c r="B5" i="113"/>
  <c r="A51" i="113"/>
  <c r="A52" i="113" s="1"/>
  <c r="A53" i="113" s="1"/>
  <c r="A54" i="113" s="1"/>
  <c r="A55" i="113" s="1"/>
  <c r="A56" i="113" s="1"/>
  <c r="A57" i="113" s="1"/>
  <c r="A58" i="113" s="1"/>
  <c r="A59" i="113" s="1"/>
  <c r="A60" i="113" s="1"/>
  <c r="G52" i="113"/>
  <c r="D15" i="85"/>
  <c r="I17" i="82"/>
  <c r="G25" i="82"/>
  <c r="G32" i="82"/>
  <c r="G17" i="82"/>
  <c r="I97" i="82"/>
  <c r="A86" i="82"/>
  <c r="A21" i="82"/>
  <c r="A22" i="82" s="1"/>
  <c r="A23" i="82" s="1"/>
  <c r="A24" i="82" s="1"/>
  <c r="A25" i="82" s="1"/>
  <c r="I27" i="82" s="1"/>
  <c r="G39" i="82"/>
  <c r="C48" i="82"/>
  <c r="I29" i="2"/>
  <c r="I17" i="22"/>
  <c r="A14" i="22"/>
  <c r="A15" i="22" s="1"/>
  <c r="H11" i="46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H11" i="66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H27" i="66" s="1"/>
  <c r="H28" i="66" s="1"/>
  <c r="H29" i="66" s="1"/>
  <c r="H30" i="66" s="1"/>
  <c r="H31" i="66" s="1"/>
  <c r="H32" i="66" s="1"/>
  <c r="H33" i="66" s="1"/>
  <c r="H34" i="66" s="1"/>
  <c r="H35" i="66" s="1"/>
  <c r="H36" i="66" s="1"/>
  <c r="H37" i="66" s="1"/>
  <c r="H38" i="66" s="1"/>
  <c r="A12" i="66"/>
  <c r="A13" i="66" s="1"/>
  <c r="G15" i="66" s="1"/>
  <c r="E27" i="69"/>
  <c r="A12" i="69"/>
  <c r="A13" i="69" s="1"/>
  <c r="J11" i="69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A11" i="75"/>
  <c r="B25" i="71"/>
  <c r="B14" i="71"/>
  <c r="B13" i="71"/>
  <c r="C63" i="82" l="1"/>
  <c r="E15" i="146"/>
  <c r="E79" i="146"/>
  <c r="G50" i="113"/>
  <c r="I40" i="114"/>
  <c r="A41" i="114"/>
  <c r="A42" i="114" s="1"/>
  <c r="D15" i="112" s="1"/>
  <c r="I42" i="114"/>
  <c r="A23" i="113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D13" i="112" s="1"/>
  <c r="G24" i="113"/>
  <c r="A18" i="112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D17" i="112"/>
  <c r="D38" i="112"/>
  <c r="A61" i="113"/>
  <c r="A62" i="113" s="1"/>
  <c r="G62" i="113"/>
  <c r="B41" i="113"/>
  <c r="C23" i="85"/>
  <c r="C27" i="85" s="1"/>
  <c r="G21" i="114" s="1"/>
  <c r="C52" i="84"/>
  <c r="C54" i="84" s="1"/>
  <c r="D23" i="85"/>
  <c r="G12" i="113"/>
  <c r="A87" i="82"/>
  <c r="A88" i="82" s="1"/>
  <c r="B24" i="75"/>
  <c r="A24" i="85"/>
  <c r="A25" i="85" s="1"/>
  <c r="A26" i="85" s="1"/>
  <c r="A27" i="85" s="1"/>
  <c r="I21" i="114" s="1"/>
  <c r="I22" i="69"/>
  <c r="E21" i="75"/>
  <c r="G86" i="82" s="1"/>
  <c r="A12" i="135"/>
  <c r="A13" i="135" s="1"/>
  <c r="A14" i="135" s="1"/>
  <c r="A15" i="135" s="1"/>
  <c r="A20" i="2"/>
  <c r="A21" i="2" s="1"/>
  <c r="G60" i="40"/>
  <c r="G27" i="40"/>
  <c r="I24" i="69"/>
  <c r="A15" i="111"/>
  <c r="A16" i="111" s="1"/>
  <c r="A17" i="111" s="1"/>
  <c r="G14" i="111"/>
  <c r="H11" i="75"/>
  <c r="H12" i="75" s="1"/>
  <c r="A14" i="66"/>
  <c r="A15" i="66" s="1"/>
  <c r="A16" i="66" s="1"/>
  <c r="A17" i="66" s="1"/>
  <c r="A18" i="66" s="1"/>
  <c r="A19" i="66" s="1"/>
  <c r="A20" i="66" s="1"/>
  <c r="A21" i="66" s="1"/>
  <c r="A22" i="66" s="1"/>
  <c r="A23" i="66" s="1"/>
  <c r="A16" i="45"/>
  <c r="A17" i="45" s="1"/>
  <c r="A18" i="45" s="1"/>
  <c r="A19" i="45" s="1"/>
  <c r="A20" i="45" s="1"/>
  <c r="A21" i="45" s="1"/>
  <c r="A22" i="45" s="1"/>
  <c r="A23" i="45" s="1"/>
  <c r="G25" i="45" s="1"/>
  <c r="E63" i="40"/>
  <c r="D19" i="85"/>
  <c r="G27" i="82"/>
  <c r="E48" i="82"/>
  <c r="C47" i="82"/>
  <c r="C49" i="82"/>
  <c r="I25" i="82"/>
  <c r="A26" i="82"/>
  <c r="A27" i="82" s="1"/>
  <c r="A16" i="22"/>
  <c r="A17" i="22" s="1"/>
  <c r="A14" i="69"/>
  <c r="A15" i="69" s="1"/>
  <c r="I15" i="69"/>
  <c r="A12" i="75"/>
  <c r="A14" i="7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E13" i="7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B27" i="70"/>
  <c r="B16" i="70"/>
  <c r="B15" i="70"/>
  <c r="D27" i="85" l="1"/>
  <c r="A22" i="2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D44" i="112"/>
  <c r="D42" i="112"/>
  <c r="D23" i="112"/>
  <c r="G28" i="113"/>
  <c r="G33" i="113"/>
  <c r="G26" i="113"/>
  <c r="E47" i="82"/>
  <c r="A63" i="113"/>
  <c r="A64" i="113" s="1"/>
  <c r="A65" i="113" s="1"/>
  <c r="A66" i="113" s="1"/>
  <c r="A67" i="113" s="1"/>
  <c r="A68" i="113" s="1"/>
  <c r="A69" i="113" s="1"/>
  <c r="A70" i="113" s="1"/>
  <c r="A71" i="113" s="1"/>
  <c r="A72" i="113" s="1"/>
  <c r="A73" i="113" s="1"/>
  <c r="A74" i="113" s="1"/>
  <c r="A75" i="113" s="1"/>
  <c r="A76" i="113" s="1"/>
  <c r="G16" i="113"/>
  <c r="A24" i="66"/>
  <c r="A25" i="66" s="1"/>
  <c r="A26" i="66" s="1"/>
  <c r="A27" i="66" s="1"/>
  <c r="F15" i="135"/>
  <c r="I98" i="82"/>
  <c r="A26" i="71"/>
  <c r="A27" i="71" s="1"/>
  <c r="A28" i="71" s="1"/>
  <c r="A29" i="71" s="1"/>
  <c r="A30" i="71" s="1"/>
  <c r="D27" i="71"/>
  <c r="A28" i="85"/>
  <c r="G17" i="111"/>
  <c r="A16" i="69"/>
  <c r="A17" i="69" s="1"/>
  <c r="A18" i="69" s="1"/>
  <c r="A19" i="69" s="1"/>
  <c r="E29" i="146"/>
  <c r="G71" i="113"/>
  <c r="A13" i="75"/>
  <c r="A14" i="75" s="1"/>
  <c r="H13" i="75"/>
  <c r="H14" i="75" s="1"/>
  <c r="H15" i="75" s="1"/>
  <c r="H16" i="75" s="1"/>
  <c r="A16" i="135"/>
  <c r="E61" i="146"/>
  <c r="G41" i="40"/>
  <c r="A18" i="111"/>
  <c r="A19" i="111" s="1"/>
  <c r="A20" i="111" s="1"/>
  <c r="A21" i="111" s="1"/>
  <c r="A24" i="45"/>
  <c r="A25" i="45" s="1"/>
  <c r="G57" i="113"/>
  <c r="G35" i="113"/>
  <c r="C50" i="82"/>
  <c r="I47" i="82"/>
  <c r="A28" i="82"/>
  <c r="A29" i="82" s="1"/>
  <c r="A30" i="82" s="1"/>
  <c r="I36" i="82" s="1"/>
  <c r="I99" i="82"/>
  <c r="A89" i="82"/>
  <c r="I134" i="82" s="1"/>
  <c r="A18" i="22"/>
  <c r="A19" i="22" s="1"/>
  <c r="K25" i="22" s="1"/>
  <c r="G19" i="66"/>
  <c r="I19" i="69"/>
  <c r="A16" i="70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E15" i="70"/>
  <c r="E16" i="70" s="1"/>
  <c r="E17" i="70" s="1"/>
  <c r="E18" i="70" s="1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B15" i="56"/>
  <c r="B5" i="56"/>
  <c r="A16" i="56"/>
  <c r="E15" i="56"/>
  <c r="E16" i="56" s="1"/>
  <c r="F28" i="42"/>
  <c r="F20" i="42"/>
  <c r="E24" i="69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A12" i="41"/>
  <c r="A13" i="41" s="1"/>
  <c r="A14" i="41" s="1"/>
  <c r="A15" i="41" s="1"/>
  <c r="F45" i="41"/>
  <c r="E21" i="40"/>
  <c r="E18" i="40"/>
  <c r="E17" i="40"/>
  <c r="K35" i="2" l="1"/>
  <c r="G61" i="82"/>
  <c r="G62" i="82"/>
  <c r="G27" i="66"/>
  <c r="A28" i="66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G60" i="113"/>
  <c r="A77" i="113"/>
  <c r="A78" i="113" s="1"/>
  <c r="A79" i="113" s="1"/>
  <c r="A80" i="113" s="1"/>
  <c r="G89" i="113"/>
  <c r="D46" i="112"/>
  <c r="D27" i="112"/>
  <c r="A15" i="75"/>
  <c r="A16" i="75" s="1"/>
  <c r="G17" i="75" s="1"/>
  <c r="G21" i="111"/>
  <c r="A28" i="70"/>
  <c r="A29" i="70" s="1"/>
  <c r="A30" i="70" s="1"/>
  <c r="A31" i="70" s="1"/>
  <c r="A32" i="70" s="1"/>
  <c r="D29" i="70"/>
  <c r="E23" i="40"/>
  <c r="F17" i="42"/>
  <c r="E19" i="40"/>
  <c r="A20" i="69"/>
  <c r="A21" i="69" s="1"/>
  <c r="A22" i="69" s="1"/>
  <c r="A23" i="69" s="1"/>
  <c r="A24" i="69" s="1"/>
  <c r="A25" i="69" s="1"/>
  <c r="E30" i="146"/>
  <c r="G72" i="113"/>
  <c r="A31" i="71"/>
  <c r="I17" i="69"/>
  <c r="E61" i="41"/>
  <c r="E24" i="41" s="1"/>
  <c r="A16" i="41"/>
  <c r="A17" i="41" s="1"/>
  <c r="A18" i="41" s="1"/>
  <c r="A19" i="41" s="1"/>
  <c r="A20" i="41" s="1"/>
  <c r="E15" i="41"/>
  <c r="D41" i="41"/>
  <c r="H38" i="42"/>
  <c r="H39" i="42" s="1"/>
  <c r="H40" i="42" s="1"/>
  <c r="H41" i="42" s="1"/>
  <c r="H42" i="42" s="1"/>
  <c r="H43" i="42" s="1"/>
  <c r="H44" i="42" s="1"/>
  <c r="H45" i="42" s="1"/>
  <c r="H17" i="75"/>
  <c r="H18" i="75" s="1"/>
  <c r="H19" i="75" s="1"/>
  <c r="H20" i="75" s="1"/>
  <c r="H21" i="75" s="1"/>
  <c r="G43" i="40"/>
  <c r="A22" i="111"/>
  <c r="A23" i="111" s="1"/>
  <c r="G25" i="111" s="1"/>
  <c r="G23" i="111"/>
  <c r="G14" i="113"/>
  <c r="G27" i="45"/>
  <c r="A26" i="45"/>
  <c r="A27" i="45" s="1"/>
  <c r="G19" i="46" s="1"/>
  <c r="G42" i="40"/>
  <c r="A16" i="42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F22" i="42"/>
  <c r="F24" i="42"/>
  <c r="G67" i="113"/>
  <c r="F19" i="42"/>
  <c r="F18" i="42"/>
  <c r="F21" i="42"/>
  <c r="F15" i="42"/>
  <c r="E42" i="40" s="1"/>
  <c r="F23" i="42"/>
  <c r="D47" i="82"/>
  <c r="G47" i="82" s="1"/>
  <c r="D49" i="82"/>
  <c r="G49" i="82" s="1"/>
  <c r="D48" i="82"/>
  <c r="G48" i="82" s="1"/>
  <c r="A90" i="82"/>
  <c r="A91" i="82" s="1"/>
  <c r="A31" i="82"/>
  <c r="A20" i="22"/>
  <c r="A21" i="22" s="1"/>
  <c r="E69" i="146" s="1"/>
  <c r="K21" i="22"/>
  <c r="K23" i="22"/>
  <c r="F12" i="42"/>
  <c r="F14" i="42"/>
  <c r="F11" i="42"/>
  <c r="F13" i="42"/>
  <c r="D26" i="42"/>
  <c r="D30" i="42" s="1"/>
  <c r="E30" i="40" s="1"/>
  <c r="A17" i="75" l="1"/>
  <c r="G65" i="82"/>
  <c r="G130" i="82" s="1"/>
  <c r="G136" i="82" s="1"/>
  <c r="G145" i="82" s="1"/>
  <c r="G60" i="82"/>
  <c r="G63" i="82" s="1"/>
  <c r="G153" i="82" s="1"/>
  <c r="D63" i="82"/>
  <c r="A81" i="113"/>
  <c r="A82" i="113" s="1"/>
  <c r="A83" i="113" s="1"/>
  <c r="G20" i="113"/>
  <c r="I25" i="69"/>
  <c r="E66" i="41"/>
  <c r="E22" i="40"/>
  <c r="A33" i="70"/>
  <c r="I11" i="69"/>
  <c r="A21" i="41"/>
  <c r="A22" i="41" s="1"/>
  <c r="A23" i="41" s="1"/>
  <c r="A24" i="41" s="1"/>
  <c r="H46" i="42"/>
  <c r="H47" i="42" s="1"/>
  <c r="H48" i="42" s="1"/>
  <c r="H49" i="42" s="1"/>
  <c r="H50" i="42" s="1"/>
  <c r="H51" i="42" s="1"/>
  <c r="H52" i="42" s="1"/>
  <c r="H53" i="42" s="1"/>
  <c r="H54" i="42" s="1"/>
  <c r="H55" i="42" s="1"/>
  <c r="G26" i="42"/>
  <c r="F16" i="42"/>
  <c r="F26" i="42" s="1"/>
  <c r="F30" i="42" s="1"/>
  <c r="A18" i="75"/>
  <c r="A19" i="75" s="1"/>
  <c r="A20" i="75" s="1"/>
  <c r="A21" i="75" s="1"/>
  <c r="I86" i="82" s="1"/>
  <c r="I23" i="69"/>
  <c r="G55" i="113"/>
  <c r="G45" i="40"/>
  <c r="A24" i="111"/>
  <c r="A25" i="111" s="1"/>
  <c r="A26" i="111" s="1"/>
  <c r="A27" i="111" s="1"/>
  <c r="D11" i="112" s="1"/>
  <c r="G18" i="113"/>
  <c r="G52" i="82"/>
  <c r="G85" i="82" s="1"/>
  <c r="G97" i="82" s="1"/>
  <c r="D50" i="82"/>
  <c r="G50" i="82"/>
  <c r="G108" i="82" s="1"/>
  <c r="I100" i="82"/>
  <c r="A92" i="82"/>
  <c r="A93" i="82" s="1"/>
  <c r="A94" i="82" s="1"/>
  <c r="A95" i="82" s="1"/>
  <c r="A96" i="82" s="1"/>
  <c r="A97" i="82" s="1"/>
  <c r="A98" i="82" s="1"/>
  <c r="A99" i="82" s="1"/>
  <c r="A100" i="82" s="1"/>
  <c r="A101" i="82" s="1"/>
  <c r="I146" i="82" s="1"/>
  <c r="A32" i="82"/>
  <c r="I32" i="82"/>
  <c r="A22" i="22"/>
  <c r="A23" i="22" s="1"/>
  <c r="G23" i="66"/>
  <c r="A26" i="69"/>
  <c r="A27" i="69" s="1"/>
  <c r="I29" i="69" s="1"/>
  <c r="A27" i="42"/>
  <c r="A28" i="42" s="1"/>
  <c r="A29" i="42" s="1"/>
  <c r="A30" i="42" s="1"/>
  <c r="F21" i="41"/>
  <c r="A84" i="113" l="1"/>
  <c r="A85" i="113" s="1"/>
  <c r="A86" i="113" s="1"/>
  <c r="A87" i="113" s="1"/>
  <c r="A88" i="113" s="1"/>
  <c r="A89" i="113" s="1"/>
  <c r="A90" i="113" s="1"/>
  <c r="A91" i="113" s="1"/>
  <c r="A92" i="113" s="1"/>
  <c r="A93" i="113" s="1"/>
  <c r="A94" i="113" s="1"/>
  <c r="A95" i="113" s="1"/>
  <c r="A96" i="113" s="1"/>
  <c r="A97" i="113" s="1"/>
  <c r="G142" i="82"/>
  <c r="G148" i="82" s="1"/>
  <c r="G151" i="82" s="1"/>
  <c r="G155" i="82" s="1"/>
  <c r="G21" i="75"/>
  <c r="G27" i="111"/>
  <c r="E41" i="40"/>
  <c r="E43" i="40" s="1"/>
  <c r="E27" i="41"/>
  <c r="A25" i="41"/>
  <c r="A26" i="41" s="1"/>
  <c r="A27" i="41" s="1"/>
  <c r="E26" i="42"/>
  <c r="E30" i="42" s="1"/>
  <c r="A24" i="22"/>
  <c r="A25" i="22" s="1"/>
  <c r="E70" i="146"/>
  <c r="G62" i="40"/>
  <c r="G56" i="40"/>
  <c r="G74" i="113"/>
  <c r="G36" i="66"/>
  <c r="K19" i="22"/>
  <c r="G44" i="40"/>
  <c r="K33" i="2"/>
  <c r="A31" i="42"/>
  <c r="A32" i="42" s="1"/>
  <c r="A33" i="42" s="1"/>
  <c r="A34" i="42" s="1"/>
  <c r="G30" i="40"/>
  <c r="G30" i="42"/>
  <c r="A102" i="82"/>
  <c r="A103" i="82" s="1"/>
  <c r="I106" i="82" s="1"/>
  <c r="I48" i="82"/>
  <c r="A33" i="82"/>
  <c r="A34" i="82" s="1"/>
  <c r="A35" i="82" s="1"/>
  <c r="G47" i="40"/>
  <c r="A28" i="69"/>
  <c r="A29" i="69" s="1"/>
  <c r="F13" i="41"/>
  <c r="F14" i="41"/>
  <c r="F22" i="41"/>
  <c r="F11" i="41"/>
  <c r="F23" i="41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H63" i="41" s="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B26" i="109"/>
  <c r="B15" i="109"/>
  <c r="B14" i="109"/>
  <c r="B6" i="109"/>
  <c r="A15" i="109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E14" i="109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E31" i="109" s="1"/>
  <c r="E32" i="109" s="1"/>
  <c r="G15" i="22"/>
  <c r="E15" i="22"/>
  <c r="B16" i="26"/>
  <c r="B14" i="26"/>
  <c r="B5" i="26"/>
  <c r="A15" i="26"/>
  <c r="A16" i="26" s="1"/>
  <c r="D19" i="26" s="1"/>
  <c r="E14" i="26"/>
  <c r="E15" i="26" s="1"/>
  <c r="E16" i="26" s="1"/>
  <c r="E17" i="26" s="1"/>
  <c r="E18" i="26" s="1"/>
  <c r="E19" i="26" s="1"/>
  <c r="E20" i="26" s="1"/>
  <c r="G13" i="22"/>
  <c r="E13" i="22"/>
  <c r="B16" i="25"/>
  <c r="B14" i="25"/>
  <c r="B5" i="25"/>
  <c r="A15" i="25"/>
  <c r="A16" i="25" s="1"/>
  <c r="D19" i="25" s="1"/>
  <c r="E14" i="25"/>
  <c r="E15" i="25" s="1"/>
  <c r="E16" i="25" s="1"/>
  <c r="E17" i="25" s="1"/>
  <c r="E18" i="25" s="1"/>
  <c r="E19" i="25" s="1"/>
  <c r="E20" i="25" s="1"/>
  <c r="F34" i="24"/>
  <c r="K18" i="24"/>
  <c r="K20" i="24"/>
  <c r="K27" i="24"/>
  <c r="K31" i="24"/>
  <c r="K19" i="24"/>
  <c r="A17" i="24"/>
  <c r="A18" i="24" s="1"/>
  <c r="A19" i="24" s="1"/>
  <c r="A20" i="24" s="1"/>
  <c r="M16" i="24"/>
  <c r="M17" i="24" s="1"/>
  <c r="M18" i="24" s="1"/>
  <c r="M19" i="24" s="1"/>
  <c r="M20" i="24" s="1"/>
  <c r="M21" i="24" s="1"/>
  <c r="M22" i="24" s="1"/>
  <c r="M23" i="24" s="1"/>
  <c r="M24" i="24" s="1"/>
  <c r="M25" i="24" s="1"/>
  <c r="M26" i="24" s="1"/>
  <c r="M27" i="24" s="1"/>
  <c r="M28" i="24" s="1"/>
  <c r="M29" i="24" s="1"/>
  <c r="M30" i="24" s="1"/>
  <c r="M31" i="24" s="1"/>
  <c r="M32" i="24" s="1"/>
  <c r="M33" i="24" s="1"/>
  <c r="M34" i="24" s="1"/>
  <c r="M35" i="24" s="1"/>
  <c r="M36" i="24" s="1"/>
  <c r="B26" i="136"/>
  <c r="B15" i="136"/>
  <c r="A15" i="136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G14" i="136"/>
  <c r="G15" i="136" s="1"/>
  <c r="G16" i="136" s="1"/>
  <c r="G17" i="136" s="1"/>
  <c r="G18" i="136" s="1"/>
  <c r="G19" i="136" s="1"/>
  <c r="G20" i="136" s="1"/>
  <c r="G21" i="136" s="1"/>
  <c r="G22" i="136" s="1"/>
  <c r="G23" i="136" s="1"/>
  <c r="G24" i="136" s="1"/>
  <c r="G25" i="136" s="1"/>
  <c r="G26" i="136" s="1"/>
  <c r="G27" i="136" s="1"/>
  <c r="G28" i="136" s="1"/>
  <c r="G29" i="136" s="1"/>
  <c r="G30" i="136" s="1"/>
  <c r="G31" i="136" s="1"/>
  <c r="G32" i="136" s="1"/>
  <c r="B14" i="136"/>
  <c r="B5" i="136"/>
  <c r="B26" i="23"/>
  <c r="B15" i="23"/>
  <c r="B14" i="23"/>
  <c r="B5" i="23"/>
  <c r="A15" i="23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G14" i="23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27" i="2"/>
  <c r="E27" i="2"/>
  <c r="B16" i="13"/>
  <c r="B14" i="13"/>
  <c r="B5" i="13"/>
  <c r="A15" i="13"/>
  <c r="A16" i="13" s="1"/>
  <c r="D19" i="13" s="1"/>
  <c r="E14" i="13"/>
  <c r="E15" i="13" s="1"/>
  <c r="E16" i="13" s="1"/>
  <c r="E17" i="13" s="1"/>
  <c r="E18" i="13" s="1"/>
  <c r="E19" i="13" s="1"/>
  <c r="E20" i="13" s="1"/>
  <c r="G25" i="2"/>
  <c r="E25" i="2"/>
  <c r="B16" i="3"/>
  <c r="B14" i="3"/>
  <c r="B5" i="3"/>
  <c r="A15" i="3"/>
  <c r="A16" i="3" s="1"/>
  <c r="D19" i="3" s="1"/>
  <c r="E14" i="3"/>
  <c r="E15" i="3" s="1"/>
  <c r="E16" i="3" s="1"/>
  <c r="E17" i="3" s="1"/>
  <c r="E18" i="3" s="1"/>
  <c r="E19" i="3" s="1"/>
  <c r="E20" i="3" s="1"/>
  <c r="K30" i="11"/>
  <c r="A16" i="11"/>
  <c r="A17" i="11" s="1"/>
  <c r="A18" i="11" s="1"/>
  <c r="A19" i="11" s="1"/>
  <c r="M15" i="1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A16" i="10"/>
  <c r="A17" i="10" s="1"/>
  <c r="A18" i="10" s="1"/>
  <c r="A19" i="10" s="1"/>
  <c r="L21" i="10" s="1"/>
  <c r="G87" i="113" l="1"/>
  <c r="G27" i="41"/>
  <c r="K30" i="24"/>
  <c r="K26" i="24"/>
  <c r="A27" i="109"/>
  <c r="A28" i="109" s="1"/>
  <c r="A29" i="109" s="1"/>
  <c r="A30" i="109" s="1"/>
  <c r="A31" i="109" s="1"/>
  <c r="D28" i="109"/>
  <c r="E31" i="146"/>
  <c r="G73" i="113"/>
  <c r="A27" i="136"/>
  <c r="A28" i="136" s="1"/>
  <c r="A29" i="136" s="1"/>
  <c r="A30" i="136" s="1"/>
  <c r="A31" i="136" s="1"/>
  <c r="F34" i="23" s="1"/>
  <c r="D31" i="136"/>
  <c r="F31" i="136"/>
  <c r="D28" i="136"/>
  <c r="F28" i="136"/>
  <c r="I25" i="2"/>
  <c r="A27" i="23"/>
  <c r="A28" i="23" s="1"/>
  <c r="A29" i="23" s="1"/>
  <c r="A30" i="23" s="1"/>
  <c r="A31" i="23" s="1"/>
  <c r="A32" i="23" s="1"/>
  <c r="A33" i="23" s="1"/>
  <c r="A34" i="23" s="1"/>
  <c r="A35" i="23" s="1"/>
  <c r="A36" i="23" s="1"/>
  <c r="K11" i="22" s="1"/>
  <c r="D31" i="23"/>
  <c r="D28" i="23"/>
  <c r="F28" i="23"/>
  <c r="I27" i="2"/>
  <c r="K28" i="24"/>
  <c r="A35" i="42"/>
  <c r="A36" i="42" s="1"/>
  <c r="I13" i="22"/>
  <c r="I15" i="22"/>
  <c r="A28" i="41"/>
  <c r="A29" i="41" s="1"/>
  <c r="A30" i="41" s="1"/>
  <c r="A26" i="22"/>
  <c r="A27" i="22" s="1"/>
  <c r="A28" i="22" s="1"/>
  <c r="A29" i="22" s="1"/>
  <c r="E71" i="146"/>
  <c r="K27" i="22"/>
  <c r="K31" i="2"/>
  <c r="G63" i="40"/>
  <c r="K41" i="2"/>
  <c r="G54" i="40"/>
  <c r="G78" i="113"/>
  <c r="G80" i="113"/>
  <c r="A104" i="82"/>
  <c r="A105" i="82" s="1"/>
  <c r="A106" i="82" s="1"/>
  <c r="A36" i="82"/>
  <c r="A37" i="82" s="1"/>
  <c r="A38" i="82" s="1"/>
  <c r="A39" i="82" s="1"/>
  <c r="A40" i="82" s="1"/>
  <c r="A41" i="82" s="1"/>
  <c r="A42" i="82" s="1"/>
  <c r="F30" i="41"/>
  <c r="F31" i="41"/>
  <c r="F35" i="41"/>
  <c r="F37" i="41"/>
  <c r="F19" i="41"/>
  <c r="F15" i="41"/>
  <c r="F32" i="41"/>
  <c r="F36" i="41"/>
  <c r="F39" i="41"/>
  <c r="F16" i="41"/>
  <c r="F12" i="41"/>
  <c r="D27" i="41"/>
  <c r="D43" i="41" s="1"/>
  <c r="D47" i="41" s="1"/>
  <c r="F18" i="41"/>
  <c r="F20" i="41"/>
  <c r="E41" i="41"/>
  <c r="F34" i="41"/>
  <c r="F25" i="41"/>
  <c r="F38" i="41"/>
  <c r="F24" i="41"/>
  <c r="F17" i="41"/>
  <c r="F33" i="41"/>
  <c r="C19" i="26"/>
  <c r="A17" i="26"/>
  <c r="A18" i="26" s="1"/>
  <c r="A19" i="26" s="1"/>
  <c r="C19" i="25"/>
  <c r="A17" i="25"/>
  <c r="A18" i="25" s="1"/>
  <c r="A19" i="25" s="1"/>
  <c r="J34" i="24"/>
  <c r="J22" i="24"/>
  <c r="I34" i="24"/>
  <c r="I22" i="24"/>
  <c r="H34" i="24"/>
  <c r="H22" i="24"/>
  <c r="G34" i="24"/>
  <c r="G22" i="24"/>
  <c r="E34" i="24"/>
  <c r="K32" i="24"/>
  <c r="K17" i="24"/>
  <c r="E22" i="24"/>
  <c r="K29" i="24"/>
  <c r="D34" i="24"/>
  <c r="K25" i="24"/>
  <c r="D22" i="24"/>
  <c r="K16" i="24"/>
  <c r="A21" i="24"/>
  <c r="A22" i="24" s="1"/>
  <c r="L22" i="24"/>
  <c r="F22" i="24"/>
  <c r="F36" i="24" s="1"/>
  <c r="K24" i="24"/>
  <c r="E28" i="136"/>
  <c r="E31" i="136" s="1"/>
  <c r="E34" i="23" s="1"/>
  <c r="C28" i="136"/>
  <c r="C31" i="136" s="1"/>
  <c r="A32" i="136"/>
  <c r="E28" i="23"/>
  <c r="E31" i="23" s="1"/>
  <c r="C28" i="23"/>
  <c r="C31" i="23" s="1"/>
  <c r="C19" i="13"/>
  <c r="A17" i="13"/>
  <c r="A18" i="13" s="1"/>
  <c r="A19" i="13" s="1"/>
  <c r="C19" i="3"/>
  <c r="A17" i="3"/>
  <c r="A18" i="3" s="1"/>
  <c r="A19" i="3" s="1"/>
  <c r="J33" i="11"/>
  <c r="I33" i="11"/>
  <c r="H33" i="11"/>
  <c r="G33" i="11"/>
  <c r="F33" i="11"/>
  <c r="E33" i="11"/>
  <c r="K31" i="11"/>
  <c r="D33" i="11"/>
  <c r="L21" i="11"/>
  <c r="A20" i="11"/>
  <c r="A21" i="11" s="1"/>
  <c r="A20" i="10"/>
  <c r="A21" i="10" s="1"/>
  <c r="B26" i="9"/>
  <c r="B15" i="9"/>
  <c r="B14" i="9"/>
  <c r="A15" i="9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G14" i="9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19" i="2"/>
  <c r="E19" i="2"/>
  <c r="B17" i="8"/>
  <c r="B15" i="8"/>
  <c r="B5" i="8"/>
  <c r="A16" i="8"/>
  <c r="A17" i="8" s="1"/>
  <c r="G15" i="8"/>
  <c r="G16" i="8" s="1"/>
  <c r="G17" i="8" s="1"/>
  <c r="G18" i="8" s="1"/>
  <c r="G19" i="8" s="1"/>
  <c r="G20" i="8" s="1"/>
  <c r="G21" i="8" s="1"/>
  <c r="B26" i="7"/>
  <c r="B15" i="7"/>
  <c r="B14" i="7"/>
  <c r="B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G14" i="7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B26" i="6"/>
  <c r="B15" i="6"/>
  <c r="B14" i="6"/>
  <c r="B5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G14" i="6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B26" i="5"/>
  <c r="B15" i="5"/>
  <c r="B14" i="5"/>
  <c r="B5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G14" i="5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B26" i="4"/>
  <c r="B15" i="4"/>
  <c r="B14" i="4"/>
  <c r="B5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G14" i="4"/>
  <c r="G15" i="4" s="1"/>
  <c r="G91" i="113" l="1"/>
  <c r="D36" i="24"/>
  <c r="E36" i="24"/>
  <c r="F36" i="23"/>
  <c r="E36" i="23"/>
  <c r="I11" i="22" s="1"/>
  <c r="C68" i="146" s="1"/>
  <c r="H35" i="11"/>
  <c r="J35" i="11"/>
  <c r="I35" i="11"/>
  <c r="D35" i="11"/>
  <c r="G35" i="11"/>
  <c r="E35" i="11"/>
  <c r="A27" i="5"/>
  <c r="A28" i="5" s="1"/>
  <c r="A29" i="5" s="1"/>
  <c r="A30" i="5" s="1"/>
  <c r="A31" i="5" s="1"/>
  <c r="D28" i="5"/>
  <c r="D31" i="5"/>
  <c r="F28" i="5"/>
  <c r="A27" i="7"/>
  <c r="A28" i="7" s="1"/>
  <c r="A29" i="7" s="1"/>
  <c r="A30" i="7" s="1"/>
  <c r="A31" i="7" s="1"/>
  <c r="D28" i="7"/>
  <c r="D31" i="7"/>
  <c r="F28" i="7"/>
  <c r="E62" i="40"/>
  <c r="A27" i="6"/>
  <c r="A28" i="6" s="1"/>
  <c r="A29" i="6" s="1"/>
  <c r="A30" i="6" s="1"/>
  <c r="A31" i="6" s="1"/>
  <c r="D31" i="6"/>
  <c r="D28" i="6"/>
  <c r="F28" i="6"/>
  <c r="F31" i="6"/>
  <c r="D20" i="8"/>
  <c r="F20" i="8"/>
  <c r="G16" i="4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E28" i="5"/>
  <c r="E31" i="5" s="1"/>
  <c r="I13" i="2" s="1"/>
  <c r="A27" i="9"/>
  <c r="A28" i="9" s="1"/>
  <c r="A29" i="9" s="1"/>
  <c r="A30" i="9" s="1"/>
  <c r="A31" i="9" s="1"/>
  <c r="D31" i="9"/>
  <c r="D28" i="9"/>
  <c r="F28" i="9"/>
  <c r="A20" i="3"/>
  <c r="K25" i="2"/>
  <c r="A20" i="26"/>
  <c r="K15" i="22"/>
  <c r="A32" i="109"/>
  <c r="G11" i="38"/>
  <c r="A20" i="13"/>
  <c r="K27" i="2"/>
  <c r="A20" i="25"/>
  <c r="K13" i="22"/>
  <c r="A27" i="4"/>
  <c r="A28" i="4" s="1"/>
  <c r="A29" i="4" s="1"/>
  <c r="A30" i="4" s="1"/>
  <c r="A31" i="4" s="1"/>
  <c r="F28" i="4"/>
  <c r="D31" i="4"/>
  <c r="D28" i="4"/>
  <c r="I19" i="2"/>
  <c r="A31" i="41"/>
  <c r="A32" i="41" s="1"/>
  <c r="A33" i="41" s="1"/>
  <c r="A34" i="41" s="1"/>
  <c r="A35" i="41" s="1"/>
  <c r="A36" i="41" s="1"/>
  <c r="K39" i="2"/>
  <c r="G50" i="40"/>
  <c r="K37" i="2"/>
  <c r="I36" i="24"/>
  <c r="G65" i="113"/>
  <c r="C28" i="5"/>
  <c r="C31" i="5" s="1"/>
  <c r="F27" i="41"/>
  <c r="A43" i="82"/>
  <c r="A44" i="82" s="1"/>
  <c r="A45" i="82" s="1"/>
  <c r="A46" i="82" s="1"/>
  <c r="I49" i="82"/>
  <c r="I39" i="82"/>
  <c r="A107" i="82"/>
  <c r="A108" i="82" s="1"/>
  <c r="G34" i="66"/>
  <c r="F41" i="41"/>
  <c r="E15" i="40"/>
  <c r="E27" i="40" s="1"/>
  <c r="E43" i="41"/>
  <c r="E47" i="41" s="1"/>
  <c r="J36" i="24"/>
  <c r="H36" i="24"/>
  <c r="G36" i="24"/>
  <c r="K22" i="24"/>
  <c r="K34" i="24"/>
  <c r="A23" i="24"/>
  <c r="A24" i="24" s="1"/>
  <c r="F35" i="11"/>
  <c r="K33" i="11"/>
  <c r="A22" i="11"/>
  <c r="A23" i="11" s="1"/>
  <c r="A22" i="10"/>
  <c r="A23" i="10" s="1"/>
  <c r="E28" i="9"/>
  <c r="E31" i="9" s="1"/>
  <c r="E36" i="9" s="1"/>
  <c r="I21" i="2" s="1"/>
  <c r="C28" i="9"/>
  <c r="C31" i="9" s="1"/>
  <c r="C20" i="8"/>
  <c r="A18" i="8"/>
  <c r="A19" i="8" s="1"/>
  <c r="A20" i="8" s="1"/>
  <c r="E28" i="7"/>
  <c r="E31" i="7" s="1"/>
  <c r="I17" i="2" s="1"/>
  <c r="C28" i="7"/>
  <c r="C31" i="7" s="1"/>
  <c r="E28" i="6"/>
  <c r="E31" i="6" s="1"/>
  <c r="I15" i="2" s="1"/>
  <c r="C28" i="6"/>
  <c r="C31" i="6" s="1"/>
  <c r="E28" i="4"/>
  <c r="E31" i="4" s="1"/>
  <c r="I11" i="2" s="1"/>
  <c r="C28" i="4"/>
  <c r="C31" i="4" s="1"/>
  <c r="G97" i="113" l="1"/>
  <c r="G95" i="113"/>
  <c r="I31" i="2"/>
  <c r="I35" i="2"/>
  <c r="E50" i="40" s="1"/>
  <c r="E56" i="40" s="1"/>
  <c r="E22" i="69"/>
  <c r="E50" i="113"/>
  <c r="E57" i="40"/>
  <c r="A21" i="8"/>
  <c r="K19" i="2"/>
  <c r="A32" i="6"/>
  <c r="K15" i="2"/>
  <c r="A47" i="82"/>
  <c r="A48" i="82" s="1"/>
  <c r="E60" i="40"/>
  <c r="A32" i="4"/>
  <c r="K11" i="2"/>
  <c r="E59" i="40"/>
  <c r="A109" i="82"/>
  <c r="A110" i="82" s="1"/>
  <c r="I16" i="114" s="1"/>
  <c r="A32" i="7"/>
  <c r="K17" i="2"/>
  <c r="A32" i="5"/>
  <c r="K13" i="2"/>
  <c r="C61" i="146"/>
  <c r="C75" i="146" s="1"/>
  <c r="C12" i="146" s="1"/>
  <c r="A32" i="9"/>
  <c r="A33" i="9" s="1"/>
  <c r="A34" i="9" s="1"/>
  <c r="A37" i="41"/>
  <c r="A37" i="42"/>
  <c r="G32" i="40" s="1"/>
  <c r="F43" i="41"/>
  <c r="F47" i="41" s="1"/>
  <c r="I110" i="82"/>
  <c r="G46" i="40"/>
  <c r="G66" i="40"/>
  <c r="G64" i="40"/>
  <c r="G38" i="66"/>
  <c r="K36" i="24"/>
  <c r="A25" i="24"/>
  <c r="A26" i="24" s="1"/>
  <c r="A27" i="24" s="1"/>
  <c r="A28" i="24" s="1"/>
  <c r="A29" i="24" s="1"/>
  <c r="A30" i="24" s="1"/>
  <c r="A31" i="24" s="1"/>
  <c r="A32" i="24" s="1"/>
  <c r="A33" i="24" s="1"/>
  <c r="A34" i="24" s="1"/>
  <c r="K35" i="11"/>
  <c r="A24" i="11"/>
  <c r="A25" i="11" s="1"/>
  <c r="A26" i="11" s="1"/>
  <c r="A27" i="11" s="1"/>
  <c r="A28" i="11" s="1"/>
  <c r="A29" i="11" s="1"/>
  <c r="A30" i="11" s="1"/>
  <c r="A31" i="11" s="1"/>
  <c r="A32" i="11" s="1"/>
  <c r="A33" i="11" s="1"/>
  <c r="A24" i="10"/>
  <c r="A25" i="10" s="1"/>
  <c r="A26" i="10" s="1"/>
  <c r="A27" i="10" s="1"/>
  <c r="A28" i="10" s="1"/>
  <c r="A29" i="10" s="1"/>
  <c r="A30" i="10" s="1"/>
  <c r="A31" i="10" s="1"/>
  <c r="A32" i="10" s="1"/>
  <c r="A33" i="10" s="1"/>
  <c r="L35" i="10" s="1"/>
  <c r="G22" i="113" l="1"/>
  <c r="L33" i="10"/>
  <c r="E64" i="40"/>
  <c r="A35" i="9"/>
  <c r="A36" i="9" s="1"/>
  <c r="K21" i="2" s="1"/>
  <c r="G76" i="113"/>
  <c r="G19" i="111"/>
  <c r="L33" i="11"/>
  <c r="F36" i="9"/>
  <c r="A38" i="41"/>
  <c r="E62" i="146"/>
  <c r="A38" i="42"/>
  <c r="A49" i="82"/>
  <c r="A35" i="24"/>
  <c r="A36" i="24" s="1"/>
  <c r="L36" i="24"/>
  <c r="L34" i="24"/>
  <c r="A34" i="11"/>
  <c r="A35" i="11" s="1"/>
  <c r="L35" i="11"/>
  <c r="A34" i="10"/>
  <c r="A35" i="10" s="1"/>
  <c r="A39" i="41" l="1"/>
  <c r="E63" i="146"/>
  <c r="G52" i="40"/>
  <c r="A39" i="42"/>
  <c r="A50" i="82"/>
  <c r="I50" i="82"/>
  <c r="I52" i="82"/>
  <c r="C28" i="109"/>
  <c r="C31" i="109" s="1"/>
  <c r="E11" i="38" s="1"/>
  <c r="C19" i="146" s="1"/>
  <c r="A40" i="41" l="1"/>
  <c r="A41" i="41" s="1"/>
  <c r="G41" i="41"/>
  <c r="E64" i="146"/>
  <c r="G53" i="40"/>
  <c r="K43" i="2"/>
  <c r="A40" i="42"/>
  <c r="I108" i="82"/>
  <c r="A51" i="82"/>
  <c r="A52" i="82" s="1"/>
  <c r="A53" i="82" s="1"/>
  <c r="A54" i="82" s="1"/>
  <c r="A55" i="82" s="1"/>
  <c r="A56" i="82" l="1"/>
  <c r="A42" i="41"/>
  <c r="A43" i="41" s="1"/>
  <c r="G43" i="41"/>
  <c r="I13" i="69"/>
  <c r="K45" i="2"/>
  <c r="A41" i="42"/>
  <c r="G33" i="40" s="1"/>
  <c r="I85" i="82"/>
  <c r="A57" i="82" l="1"/>
  <c r="A58" i="82" s="1"/>
  <c r="A59" i="82" s="1"/>
  <c r="A60" i="82" s="1"/>
  <c r="A44" i="41"/>
  <c r="A45" i="41" s="1"/>
  <c r="A42" i="42"/>
  <c r="G34" i="40" s="1"/>
  <c r="A61" i="82" l="1"/>
  <c r="G47" i="41"/>
  <c r="A46" i="41"/>
  <c r="A47" i="41" s="1"/>
  <c r="A43" i="42"/>
  <c r="G35" i="40" s="1"/>
  <c r="A62" i="82" l="1"/>
  <c r="I65" i="82"/>
  <c r="A48" i="41"/>
  <c r="A49" i="41" s="1"/>
  <c r="A50" i="41" s="1"/>
  <c r="A51" i="41" s="1"/>
  <c r="G15" i="40"/>
  <c r="A44" i="42"/>
  <c r="G36" i="40" s="1"/>
  <c r="A63" i="82" l="1"/>
  <c r="I63" i="82"/>
  <c r="A52" i="41"/>
  <c r="G18" i="40" s="1"/>
  <c r="G17" i="40"/>
  <c r="A45" i="42"/>
  <c r="G37" i="40" s="1"/>
  <c r="A64" i="82" l="1"/>
  <c r="A65" i="82" s="1"/>
  <c r="I130" i="82" s="1"/>
  <c r="I153" i="82"/>
  <c r="A53" i="41"/>
  <c r="A54" i="41" s="1"/>
  <c r="A46" i="42"/>
  <c r="G38" i="40" s="1"/>
  <c r="A55" i="41" l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G20" i="40"/>
  <c r="G19" i="40"/>
  <c r="G21" i="40" l="1"/>
  <c r="A47" i="42"/>
  <c r="G40" i="40" s="1"/>
  <c r="G22" i="40" l="1"/>
  <c r="A48" i="42"/>
  <c r="C27" i="71"/>
  <c r="C30" i="71" s="1"/>
  <c r="G39" i="40" l="1"/>
  <c r="A49" i="42"/>
  <c r="A50" i="42" s="1"/>
  <c r="A51" i="42" s="1"/>
  <c r="A52" i="42" s="1"/>
  <c r="A53" i="42" s="1"/>
  <c r="A54" i="42" s="1"/>
  <c r="A55" i="42" s="1"/>
  <c r="G23" i="40"/>
  <c r="B44" i="112"/>
  <c r="E13" i="112"/>
  <c r="E14" i="112" s="1"/>
  <c r="E15" i="112" s="1"/>
  <c r="E16" i="112" s="1"/>
  <c r="E17" i="112" s="1"/>
  <c r="E18" i="112" s="1"/>
  <c r="E19" i="112" s="1"/>
  <c r="E20" i="112" s="1"/>
  <c r="E21" i="112" s="1"/>
  <c r="E22" i="112" s="1"/>
  <c r="E23" i="112" s="1"/>
  <c r="E24" i="112" s="1"/>
  <c r="E25" i="112" s="1"/>
  <c r="E26" i="112" s="1"/>
  <c r="E27" i="112" s="1"/>
  <c r="E28" i="112" s="1"/>
  <c r="G24" i="40" l="1"/>
  <c r="G25" i="40" l="1"/>
  <c r="E33" i="112"/>
  <c r="E34" i="112" s="1"/>
  <c r="E35" i="112" s="1"/>
  <c r="E36" i="112" s="1"/>
  <c r="E37" i="112" s="1"/>
  <c r="E38" i="112" s="1"/>
  <c r="E39" i="112" s="1"/>
  <c r="E40" i="112" s="1"/>
  <c r="E41" i="112" s="1"/>
  <c r="E42" i="112" s="1"/>
  <c r="E43" i="112" s="1"/>
  <c r="E44" i="112" s="1"/>
  <c r="E45" i="112" s="1"/>
  <c r="E46" i="112" s="1"/>
  <c r="E47" i="112" s="1"/>
  <c r="E48" i="112" s="1"/>
  <c r="E49" i="112" s="1"/>
  <c r="E50" i="112" s="1"/>
  <c r="E51" i="112" s="1"/>
  <c r="E52" i="112" s="1"/>
  <c r="E53" i="112" s="1"/>
  <c r="E20" i="150"/>
  <c r="E37" i="150" l="1"/>
  <c r="E33" i="150"/>
  <c r="E48" i="150"/>
  <c r="E47" i="150"/>
  <c r="E46" i="150"/>
  <c r="E45" i="150"/>
  <c r="E44" i="150"/>
  <c r="E43" i="150"/>
  <c r="E42" i="150"/>
  <c r="E41" i="150"/>
  <c r="E40" i="150"/>
  <c r="E39" i="150"/>
  <c r="E38" i="150"/>
  <c r="E34" i="150"/>
  <c r="E21" i="150"/>
  <c r="E51" i="150" s="1"/>
  <c r="I21" i="34" l="1"/>
  <c r="C25" i="146" s="1"/>
  <c r="E15" i="45"/>
  <c r="D51" i="150"/>
  <c r="E53" i="150" l="1"/>
  <c r="E13" i="45" s="1"/>
  <c r="E25" i="45" l="1"/>
  <c r="E27" i="45" s="1"/>
  <c r="E19" i="46" s="1"/>
  <c r="E21" i="46" l="1"/>
  <c r="E23" i="46"/>
  <c r="E25" i="46"/>
  <c r="A33" i="112"/>
  <c r="A34" i="112" s="1"/>
  <c r="E27" i="46" l="1"/>
  <c r="E93" i="113" s="1"/>
  <c r="A35" i="112"/>
  <c r="A36" i="112" s="1"/>
  <c r="A37" i="112" s="1"/>
  <c r="A38" i="112" s="1"/>
  <c r="A39" i="112" s="1"/>
  <c r="A40" i="112" s="1"/>
  <c r="A41" i="112" l="1"/>
  <c r="A42" i="112" s="1"/>
  <c r="A43" i="112" s="1"/>
  <c r="A44" i="112" s="1"/>
  <c r="A45" i="112" s="1"/>
  <c r="A46" i="112" s="1"/>
  <c r="A47" i="112" s="1"/>
  <c r="A48" i="112" s="1"/>
  <c r="A49" i="112" s="1"/>
  <c r="A50" i="112" s="1"/>
  <c r="A51" i="112" s="1"/>
  <c r="A52" i="112" s="1"/>
  <c r="A53" i="112" s="1"/>
  <c r="D48" i="112"/>
  <c r="D40" i="112"/>
  <c r="E36" i="66"/>
  <c r="I19" i="22"/>
  <c r="E44" i="40"/>
  <c r="E45" i="40" s="1"/>
  <c r="I33" i="2"/>
  <c r="I37" i="2" s="1"/>
  <c r="I21" i="22" l="1"/>
  <c r="C69" i="146" s="1"/>
  <c r="I23" i="22"/>
  <c r="C70" i="146" s="1"/>
  <c r="I25" i="22"/>
  <c r="C71" i="146" s="1"/>
  <c r="C62" i="146"/>
  <c r="I41" i="2"/>
  <c r="I39" i="2"/>
  <c r="D52" i="112" l="1"/>
  <c r="E52" i="40"/>
  <c r="C63" i="146"/>
  <c r="E53" i="40"/>
  <c r="C64" i="146"/>
  <c r="I27" i="22"/>
  <c r="I43" i="2"/>
  <c r="I45" i="2" l="1"/>
  <c r="G13" i="69" s="1"/>
  <c r="G19" i="69" s="1"/>
  <c r="E54" i="40"/>
  <c r="E66" i="40" s="1"/>
  <c r="E25" i="66" s="1"/>
  <c r="C65" i="146"/>
  <c r="E46" i="40" l="1"/>
  <c r="E47" i="40" s="1"/>
  <c r="E72" i="113"/>
  <c r="C30" i="146"/>
  <c r="E23" i="69" l="1"/>
  <c r="E25" i="69" s="1"/>
  <c r="E29" i="69" s="1"/>
  <c r="E55" i="113"/>
  <c r="E73" i="113" l="1"/>
  <c r="C31" i="146"/>
  <c r="E23" i="66" l="1"/>
  <c r="E27" i="66" s="1"/>
  <c r="E60" i="113" s="1"/>
  <c r="G33" i="114" l="1"/>
  <c r="G31" i="114"/>
  <c r="G29" i="114"/>
  <c r="G27" i="114"/>
  <c r="G25" i="114"/>
  <c r="G36" i="114" l="1"/>
  <c r="G38" i="114" l="1"/>
  <c r="G40" i="114" s="1"/>
  <c r="G17" i="34" l="1"/>
  <c r="I15" i="34"/>
  <c r="I13" i="34" l="1"/>
  <c r="I17" i="34" s="1"/>
  <c r="C24" i="146" l="1"/>
  <c r="E34" i="66" l="1"/>
  <c r="E38" i="66" s="1"/>
  <c r="E65" i="113" s="1"/>
  <c r="C15" i="135"/>
  <c r="D15" i="135"/>
  <c r="E15" i="135" l="1"/>
  <c r="G14" i="114" s="1"/>
  <c r="G98" i="82" l="1"/>
  <c r="D15" i="84" l="1"/>
  <c r="D16" i="84" s="1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A15" i="84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l="1"/>
  <c r="A43" i="84" s="1"/>
  <c r="A44" i="84" s="1"/>
  <c r="A45" i="84" s="1"/>
  <c r="A46" i="84" s="1"/>
  <c r="A47" i="84" s="1"/>
  <c r="A48" i="84" s="1"/>
  <c r="A49" i="84" s="1"/>
  <c r="A50" i="84" s="1"/>
  <c r="D42" i="84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D54" i="84" s="1"/>
  <c r="D55" i="84" s="1"/>
  <c r="C21" i="146"/>
  <c r="A51" i="84" l="1"/>
  <c r="A52" i="84" s="1"/>
  <c r="A53" i="84" s="1"/>
  <c r="A54" i="84" s="1"/>
  <c r="A55" i="84" s="1"/>
  <c r="I87" i="82"/>
  <c r="C29" i="70"/>
  <c r="C32" i="70" s="1"/>
  <c r="G15" i="69" s="1"/>
  <c r="C26" i="146"/>
  <c r="C29" i="146" l="1"/>
  <c r="E71" i="113"/>
  <c r="E74" i="113" s="1"/>
  <c r="C72" i="146" l="1"/>
  <c r="C76" i="146"/>
  <c r="C13" i="146" s="1"/>
  <c r="C78" i="146"/>
  <c r="C15" i="146" l="1"/>
  <c r="E85" i="113" s="1"/>
  <c r="C77" i="146"/>
  <c r="C14" i="146" s="1"/>
  <c r="E83" i="113" s="1"/>
  <c r="E87" i="113" l="1"/>
  <c r="C79" i="146"/>
  <c r="C16" i="146" l="1"/>
  <c r="E47" i="113" s="1"/>
  <c r="C32" i="146"/>
  <c r="E67" i="113" l="1"/>
  <c r="E18" i="113" s="1"/>
  <c r="E52" i="113"/>
  <c r="E12" i="113" s="1"/>
  <c r="E62" i="113"/>
  <c r="E16" i="113" s="1"/>
  <c r="C36" i="146"/>
  <c r="G88" i="82" s="1"/>
  <c r="E57" i="113"/>
  <c r="E14" i="113" s="1"/>
  <c r="G99" i="82" l="1"/>
  <c r="G91" i="82"/>
  <c r="G100" i="82" s="1"/>
  <c r="G103" i="82" l="1"/>
  <c r="G106" i="82" s="1"/>
  <c r="G110" i="82" l="1"/>
  <c r="E19" i="111" l="1"/>
  <c r="E21" i="111" s="1"/>
  <c r="E23" i="111" s="1"/>
  <c r="E25" i="111" s="1"/>
  <c r="E27" i="111" s="1"/>
  <c r="G16" i="114"/>
  <c r="G18" i="114" s="1"/>
  <c r="G42" i="114" s="1"/>
  <c r="E76" i="113"/>
  <c r="E78" i="113" l="1"/>
  <c r="E80" i="113" s="1"/>
  <c r="E20" i="113" s="1"/>
  <c r="E89" i="113"/>
  <c r="E91" i="113" s="1"/>
  <c r="E95" i="113" s="1"/>
  <c r="E97" i="113" s="1"/>
  <c r="E22" i="113" l="1"/>
  <c r="E24" i="113" s="1"/>
  <c r="C11" i="112"/>
  <c r="C34" i="112" s="1"/>
  <c r="E26" i="113" l="1"/>
  <c r="E28" i="113" s="1"/>
  <c r="E33" i="113" s="1"/>
  <c r="E35" i="113" s="1"/>
  <c r="C13" i="112" s="1"/>
  <c r="E5" i="133"/>
  <c r="E6" i="133" l="1"/>
  <c r="C36" i="112"/>
  <c r="C15" i="112" l="1"/>
  <c r="C38" i="112" s="1"/>
  <c r="C17" i="112" l="1"/>
  <c r="C40" i="112"/>
  <c r="D22" i="156"/>
  <c r="D29" i="156"/>
  <c r="D27" i="156"/>
  <c r="D21" i="156"/>
  <c r="D25" i="156"/>
  <c r="D23" i="156"/>
  <c r="D24" i="156"/>
  <c r="D28" i="156"/>
  <c r="D26" i="156"/>
  <c r="D30" i="156"/>
  <c r="D20" i="156"/>
  <c r="E7" i="133"/>
  <c r="D31" i="156" l="1"/>
  <c r="K19" i="156"/>
  <c r="L19" i="156"/>
  <c r="M19" i="156" l="1"/>
  <c r="F31" i="156" l="1"/>
  <c r="H20" i="156"/>
  <c r="I20" i="156" s="1"/>
  <c r="K20" i="156" l="1"/>
  <c r="L20" i="156" l="1"/>
  <c r="M20" i="156" s="1"/>
  <c r="H26" i="156"/>
  <c r="I26" i="156" s="1"/>
  <c r="H27" i="156"/>
  <c r="I27" i="156" s="1"/>
  <c r="H22" i="156"/>
  <c r="I22" i="156" s="1"/>
  <c r="H29" i="156"/>
  <c r="I29" i="156" s="1"/>
  <c r="H25" i="156"/>
  <c r="I25" i="156" s="1"/>
  <c r="H30" i="156"/>
  <c r="I30" i="156" s="1"/>
  <c r="H23" i="156"/>
  <c r="I23" i="156" s="1"/>
  <c r="H28" i="156"/>
  <c r="I28" i="156" s="1"/>
  <c r="H21" i="156"/>
  <c r="I21" i="156" s="1"/>
  <c r="G31" i="156"/>
  <c r="H24" i="156"/>
  <c r="I24" i="156" s="1"/>
  <c r="H31" i="156" l="1"/>
  <c r="I31" i="156"/>
  <c r="K21" i="156"/>
  <c r="L21" i="156" l="1"/>
  <c r="M21" i="156" s="1"/>
  <c r="K22" i="156" l="1"/>
  <c r="L22" i="156" s="1"/>
  <c r="M22" i="156" l="1"/>
  <c r="K23" i="156" l="1"/>
  <c r="L23" i="156" s="1"/>
  <c r="M23" i="156" l="1"/>
  <c r="K24" i="156" l="1"/>
  <c r="L24" i="156" l="1"/>
  <c r="M24" i="156" l="1"/>
  <c r="K25" i="156" l="1"/>
  <c r="L25" i="156" l="1"/>
  <c r="M25" i="156" s="1"/>
  <c r="K26" i="156" l="1"/>
  <c r="L26" i="156" s="1"/>
  <c r="M26" i="156" l="1"/>
  <c r="K27" i="156" l="1"/>
  <c r="L27" i="156" s="1"/>
  <c r="M27" i="156" l="1"/>
  <c r="K28" i="156" l="1"/>
  <c r="L28" i="156" l="1"/>
  <c r="M28" i="156" s="1"/>
  <c r="K29" i="156" l="1"/>
  <c r="L29" i="156" l="1"/>
  <c r="M29" i="156" s="1"/>
  <c r="K30" i="156" l="1"/>
  <c r="L30" i="156" l="1"/>
  <c r="L31" i="156" s="1"/>
  <c r="M30" i="156" l="1"/>
  <c r="C19" i="112" l="1"/>
  <c r="C42" i="112" l="1"/>
  <c r="C48" i="112" s="1"/>
  <c r="C52" i="112" s="1"/>
  <c r="C23" i="112"/>
  <c r="C27" i="112" s="1"/>
  <c r="E8" i="133"/>
  <c r="D16" i="159"/>
  <c r="E16" i="159"/>
</calcChain>
</file>

<file path=xl/sharedStrings.xml><?xml version="1.0" encoding="utf-8"?>
<sst xmlns="http://schemas.openxmlformats.org/spreadsheetml/2006/main" count="2412" uniqueCount="1032">
  <si>
    <t>SAN DIEGO GAS AND ELECTRIC COMPANY</t>
  </si>
  <si>
    <t>Statement AD - Workpapers</t>
  </si>
  <si>
    <t>Cost of Plant</t>
  </si>
  <si>
    <t>($1,000)</t>
  </si>
  <si>
    <t>Line</t>
  </si>
  <si>
    <t>(a)</t>
  </si>
  <si>
    <t>(b)</t>
  </si>
  <si>
    <t>(c) = [(a)+(b)]/2</t>
  </si>
  <si>
    <t>Average Balance</t>
  </si>
  <si>
    <t>Reference</t>
  </si>
  <si>
    <t xml:space="preserve"> </t>
  </si>
  <si>
    <t xml:space="preserve">     Total Plant in Service </t>
  </si>
  <si>
    <t>Transmission Wages and Salaries Allocation Factor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</si>
  <si>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</si>
  <si>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</si>
  <si>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</si>
  <si>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</si>
  <si>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Used to allocate all elements of working capital, other than working cash.</t>
  </si>
  <si>
    <t>SAN DIEGO GAS &amp; ELECTRIC COMPANY</t>
  </si>
  <si>
    <t>STATEMENT AD</t>
  </si>
  <si>
    <t>COST OF PLANT</t>
  </si>
  <si>
    <t>ELECTRIC MISCELLANEOUS INTANGIBLE PLANT</t>
  </si>
  <si>
    <t>Adjusted FERC</t>
  </si>
  <si>
    <t>Month</t>
  </si>
  <si>
    <t>Intangible Plant</t>
  </si>
  <si>
    <t>No.</t>
  </si>
  <si>
    <t>Balance</t>
  </si>
  <si>
    <t>Beginning and End Period Average</t>
  </si>
  <si>
    <t>STEAM PRODUCTION</t>
  </si>
  <si>
    <t>(1)</t>
  </si>
  <si>
    <t>(2)</t>
  </si>
  <si>
    <t>Total</t>
  </si>
  <si>
    <t>Steam</t>
  </si>
  <si>
    <t>Production</t>
  </si>
  <si>
    <t>Ratemaking</t>
  </si>
  <si>
    <t>Per Book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</si>
  <si>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</si>
  <si>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</si>
  <si>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</si>
  <si>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</si>
  <si>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</si>
  <si>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</si>
  <si>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</si>
  <si>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</si>
  <si>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</si>
  <si>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</si>
  <si>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</si>
  <si>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</si>
  <si>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NUCLEAR PRODUCTION</t>
  </si>
  <si>
    <t>Nuclear</t>
  </si>
  <si>
    <t>Adjusted Book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</si>
  <si>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</si>
  <si>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</si>
  <si>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</si>
  <si>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</si>
  <si>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</si>
  <si>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</si>
  <si>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</si>
  <si>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TRANSMISSION PLANT</t>
  </si>
  <si>
    <t>Transmission</t>
  </si>
  <si>
    <t>TRANSMISSION FUNCTIONALIZATION STUDY</t>
  </si>
  <si>
    <t>DERIVATION OF TRANSMISSION RELATED PLANT DOLLARS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</si>
  <si>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</si>
  <si>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</si>
  <si>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</si>
  <si>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</si>
  <si>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</si>
  <si>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</si>
  <si>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</si>
  <si>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</si>
  <si>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</si>
  <si>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</si>
  <si>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</si>
  <si>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</si>
  <si>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</si>
  <si>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</si>
  <si>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</si>
  <si>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</si>
  <si>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</si>
  <si>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</si>
  <si>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</si>
  <si>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</si>
  <si>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</si>
  <si>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</si>
  <si>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</si>
  <si>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</si>
  <si>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</si>
  <si>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</si>
  <si>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</si>
  <si>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</si>
  <si>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</si>
  <si>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</si>
  <si>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</si>
  <si>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</si>
  <si>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GENERAL PLANT</t>
  </si>
  <si>
    <t>General Plant</t>
  </si>
  <si>
    <t>COMMON PLANT</t>
  </si>
  <si>
    <t>The depreciation reserve for Electric Miscellaneous Intangible, General and Common plant is derived based on a simple average of beginning and end of year balances.</t>
  </si>
  <si>
    <t xml:space="preserve">     Total Transmission Related Depreciation Reserve</t>
  </si>
  <si>
    <t>Transmission Related Common Plant Depreciation Reserve</t>
  </si>
  <si>
    <t>Transmission Related General Plant Depreciation Reserve</t>
  </si>
  <si>
    <t>Transmission Related Electric Misc. Intangible Plant Amortization Reserve</t>
  </si>
  <si>
    <t>Accumulated Depreciation and Amortization</t>
  </si>
  <si>
    <t>Statement AE - Workpapers</t>
  </si>
  <si>
    <t>Reserves</t>
  </si>
  <si>
    <t>ACCUMULATED DEPRECIATION AND AMORTIZATION</t>
  </si>
  <si>
    <t>STATEMENT AE</t>
  </si>
  <si>
    <t>as Nuclear</t>
  </si>
  <si>
    <t>as Other Prod.</t>
  </si>
  <si>
    <t>as Steam Prod.</t>
  </si>
  <si>
    <t>Account 108</t>
  </si>
  <si>
    <t>Reserves Reclass</t>
  </si>
  <si>
    <t xml:space="preserve">DERIVATION OF TRANSMISSION RELATED </t>
  </si>
  <si>
    <t>Intangible Reserve</t>
  </si>
  <si>
    <t>General Reserve</t>
  </si>
  <si>
    <t>Statement AF - Workpapers</t>
  </si>
  <si>
    <t>Deferred Credits</t>
  </si>
  <si>
    <t>Transmission Plant Abandoned ADIT</t>
  </si>
  <si>
    <t>Statement AG - Workpapers</t>
  </si>
  <si>
    <t>Specified Plant Account (Other than Plant in Service) and Deferred Debits</t>
  </si>
  <si>
    <t>The balances for Transmission Plant Held for Future Use are derived based on a 13-month average balance.</t>
  </si>
  <si>
    <t>STATEMENT AG</t>
  </si>
  <si>
    <t>SPECIFIED PLANT ACCOUNTS (OTHER THAN PLANT IN SERVICE)</t>
  </si>
  <si>
    <t>AND DEFERRED DEBITS</t>
  </si>
  <si>
    <t>Transmission Plant</t>
  </si>
  <si>
    <t>13-Month Average</t>
  </si>
  <si>
    <t>Statement AH - Workpapers</t>
  </si>
  <si>
    <t>Operation and Maintenance Expenses</t>
  </si>
  <si>
    <t>Amounts</t>
  </si>
  <si>
    <t>Derivation of Transmission Plant Property Insurance Allocation Factor:</t>
  </si>
  <si>
    <t>Shall be Zero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</si>
  <si>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</si>
  <si>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</si>
  <si>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</si>
  <si>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</si>
  <si>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</si>
  <si>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</si>
  <si>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</si>
  <si>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</si>
  <si>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t>Property Insurance Allocated to Transmission, General, and Common Plant</t>
  </si>
  <si>
    <t>Electric Transmission O&amp;M Expenses</t>
  </si>
  <si>
    <t>(c) = (a) - (b)</t>
  </si>
  <si>
    <t>FERC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</si>
  <si>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</si>
  <si>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</si>
  <si>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</si>
  <si>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</si>
  <si>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</si>
  <si>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</si>
  <si>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</si>
  <si>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</si>
  <si>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</si>
  <si>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</si>
  <si>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</si>
  <si>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</si>
  <si>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</si>
  <si>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</si>
  <si>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</si>
  <si>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t>Underground Line Expenses</t>
  </si>
  <si>
    <t>Transmission of Electricity by Others</t>
  </si>
  <si>
    <t>Misc. Transmission Expenses</t>
  </si>
  <si>
    <t>Rents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</si>
  <si>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</si>
  <si>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</si>
  <si>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</si>
  <si>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</si>
  <si>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</si>
  <si>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</si>
  <si>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</si>
  <si>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t>Maintenance of Misc. Transmission Plant</t>
  </si>
  <si>
    <t xml:space="preserve">  Total Electric Transmission Maintenance</t>
  </si>
  <si>
    <t>Total Electric Transmission O&amp;M Expenses</t>
  </si>
  <si>
    <t>Excluded Expenses (recovery method in parentheses)</t>
  </si>
  <si>
    <t>Scheduling, System Control and Dispatch Services (ERRA)</t>
  </si>
  <si>
    <t>Reliability, Planning and Standards Development Services (ERRA)</t>
  </si>
  <si>
    <t>Transmission of Electricity by Others (ERRA)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</si>
  <si>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</si>
  <si>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</si>
  <si>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</si>
  <si>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</si>
  <si>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</si>
  <si>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</si>
  <si>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Total Excluded Expenses</t>
  </si>
  <si>
    <t>Administrative &amp; General Expenses</t>
  </si>
  <si>
    <t>Administrative &amp; General</t>
  </si>
  <si>
    <t>A&amp;G Salaries</t>
  </si>
  <si>
    <t>Less: Administrative Expenses Transferred-Credit</t>
  </si>
  <si>
    <t>Employee Pensions &amp; Benefits</t>
  </si>
  <si>
    <t xml:space="preserve">Franchise Requirements </t>
  </si>
  <si>
    <t>Less: Duplicate Charges (Company Energy Use)</t>
  </si>
  <si>
    <t>General Advertising Expenses</t>
  </si>
  <si>
    <t>Maintenance of General Plant</t>
  </si>
  <si>
    <t>Total Administrative &amp; General Expenses</t>
  </si>
  <si>
    <t>Excluded Expenses:</t>
  </si>
  <si>
    <t>CPUC energy efficiency programs</t>
  </si>
  <si>
    <t>CPUC Intervenor Funding Expense - Transmission</t>
  </si>
  <si>
    <t>CPUC Intervenor Funding Expense - Distribution</t>
  </si>
  <si>
    <t xml:space="preserve">CPUC reimbursement fees  </t>
  </si>
  <si>
    <t>Litigation expenses - Litigation Cost Memorandum Account (LCMA)</t>
  </si>
  <si>
    <t xml:space="preserve">CPUC energy efficiency programs  </t>
  </si>
  <si>
    <t>Abandoned Projects</t>
  </si>
  <si>
    <t xml:space="preserve">Hazardous Substances-Hazardous Substance Cleanup Cost Account </t>
  </si>
  <si>
    <t>Production Wages &amp; Salaries (Includes Steam &amp; Other Power Supply)</t>
  </si>
  <si>
    <t>Transmission Wages &amp; Salaries</t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</si>
  <si>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</si>
  <si>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</si>
  <si>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</si>
  <si>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</si>
  <si>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>Statement AJ - Workpapers</t>
  </si>
  <si>
    <t>STATEMENT AJ</t>
  </si>
  <si>
    <t>Expense</t>
  </si>
  <si>
    <t>DEPRECIATION AND AMORTIZATION EXPENSE</t>
  </si>
  <si>
    <t>Removal</t>
  </si>
  <si>
    <t>General</t>
  </si>
  <si>
    <t>Statement AK - Workpapers</t>
  </si>
  <si>
    <t>Taxes Other Than Income Taxes</t>
  </si>
  <si>
    <t>Statement AL - Workpapers</t>
  </si>
  <si>
    <t>Working Capital</t>
  </si>
  <si>
    <t>Transmission Plant Allocation Factor</t>
  </si>
  <si>
    <t>FERC Method = 1/8 of O&amp;M Expense</t>
  </si>
  <si>
    <t>The balances for Materials &amp; Supplies and Prepayments are derived based on a 13-month average balance.</t>
  </si>
  <si>
    <t>STATEMENT AL</t>
  </si>
  <si>
    <t>WORKING CAPITAL</t>
  </si>
  <si>
    <t>ELECTRIC ALLOWABLE PER FERC FORMULA</t>
  </si>
  <si>
    <t>Electric Plant</t>
  </si>
  <si>
    <t>Materials</t>
  </si>
  <si>
    <t>&amp; Supplies</t>
  </si>
  <si>
    <t>Prepayments</t>
  </si>
  <si>
    <t>Statement AR - Workpapers</t>
  </si>
  <si>
    <t>Federal Tax Adjustments</t>
  </si>
  <si>
    <t>Transmission Related Amortization of Investment Tax Credits</t>
  </si>
  <si>
    <t>Transmission Related Amortization of Excess Deferred Tax Liabilities</t>
  </si>
  <si>
    <t>(c)</t>
  </si>
  <si>
    <t>Statement AV</t>
  </si>
  <si>
    <t>Cost of Capital and Fair Rate of Return</t>
  </si>
  <si>
    <t>Long-Term Debt Component - Denominator:</t>
  </si>
  <si>
    <t>Long-Term Debt Component - Numerator:</t>
  </si>
  <si>
    <t>Cost of Long-Term Debt:</t>
  </si>
  <si>
    <t>Preferred Equity Component:</t>
  </si>
  <si>
    <t>Common Equity Component:</t>
  </si>
  <si>
    <t>(d) = (b) x (c)</t>
  </si>
  <si>
    <t>Cap. Struct.</t>
  </si>
  <si>
    <t>Weighted</t>
  </si>
  <si>
    <t>Weighted Cost of Capital:</t>
  </si>
  <si>
    <t>Ratio</t>
  </si>
  <si>
    <t>Cost of Capital</t>
  </si>
  <si>
    <t>Long-Term Debt</t>
  </si>
  <si>
    <t>Preferred Equity</t>
  </si>
  <si>
    <t>Common Equity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</si>
  <si>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</si>
  <si>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</si>
  <si>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</si>
  <si>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</si>
  <si>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D = Transmission Rate Base</t>
  </si>
  <si>
    <t>Federal Income Tax Rate</t>
  </si>
  <si>
    <t>B. State Income Tax Component:</t>
  </si>
  <si>
    <t>State Income Tax Rate</t>
  </si>
  <si>
    <t>C. Total Federal &amp; State Income Tax Rate: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</si>
  <si>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</si>
  <si>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Statement AV - Workpapers</t>
  </si>
  <si>
    <t>Cost of</t>
  </si>
  <si>
    <t>Capital</t>
  </si>
  <si>
    <t>Cost of Equity Component (Preferred &amp; Common):</t>
  </si>
  <si>
    <t>Amount is based upon December 31 balances.</t>
  </si>
  <si>
    <t>Federal Income Tax Expense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</si>
  <si>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</si>
  <si>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</si>
  <si>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</si>
  <si>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>State Income Tax Expense</t>
  </si>
  <si>
    <t>D. Total Weighted Cost of Capital:</t>
  </si>
  <si>
    <t>Non-Incentive Equity AFUDC Component of Transmission Depreciation Expense</t>
  </si>
  <si>
    <t>Annual Depreciation Rate (30 year Lease)</t>
  </si>
  <si>
    <t>1 / 30 years</t>
  </si>
  <si>
    <t>Annual Book Depreciation on AFUDC Equity</t>
  </si>
  <si>
    <t>COMPANY</t>
  </si>
  <si>
    <t>Cycle Ending:</t>
  </si>
  <si>
    <t xml:space="preserve">Common Plant Depreciation Expense </t>
  </si>
  <si>
    <t>Total Common Reserves to Electric Per Book</t>
  </si>
  <si>
    <t>Less: SONGS Property Taxes</t>
  </si>
  <si>
    <t>Total Common Expense to Electric Per Book</t>
  </si>
  <si>
    <t>Electric</t>
  </si>
  <si>
    <t>Total Direct Maintenance Cost</t>
  </si>
  <si>
    <t>Total Transmission Plant Cost Average Balance</t>
  </si>
  <si>
    <t xml:space="preserve">Total Direct Maintenance Cost  </t>
  </si>
  <si>
    <t>Citizens' Share of Direct Maintenance</t>
  </si>
  <si>
    <t>Transmission Revenues Data to Reflect Changed Rates</t>
  </si>
  <si>
    <t>Section 1 - Direct Maintenance Expense Cost Component</t>
  </si>
  <si>
    <t>Section 2 - Non-Direct Expense Cost Component</t>
  </si>
  <si>
    <t>Section 3 - Cost Component Containing Other Specific Expenses</t>
  </si>
  <si>
    <t>Section 5 - Interest True-Up Adjustment Cost Component</t>
  </si>
  <si>
    <t>A. Non-Direct Annual Carrying Charge Percentages</t>
  </si>
  <si>
    <t>Lease Agreement</t>
  </si>
  <si>
    <t xml:space="preserve">     Transmission Related A&amp;G Carrying Charge Percentage</t>
  </si>
  <si>
    <t xml:space="preserve">     Transmission Related Payroll Tax Carrying Charge Percentage</t>
  </si>
  <si>
    <t>Citizens Financed Transmission Projects: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</si>
  <si>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</si>
  <si>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</si>
  <si>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</si>
  <si>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A. Direct Assignment of Accumulated Deferred Income Taxes (ADIT) to Citizens:</t>
  </si>
  <si>
    <t xml:space="preserve">     Total</t>
  </si>
  <si>
    <t xml:space="preserve">Annual Equity AFUDC Allocated to Citizens   </t>
  </si>
  <si>
    <t>Costs</t>
  </si>
  <si>
    <t>FERC Account</t>
  </si>
  <si>
    <t xml:space="preserve">     Total Other Specific Expenses</t>
  </si>
  <si>
    <t>Total Adjusted Electric Transmission O&amp;M Expenses</t>
  </si>
  <si>
    <t>Total Adjusted Administrative &amp; General Expenses</t>
  </si>
  <si>
    <t>Citizens With Bonus D</t>
  </si>
  <si>
    <t>Citizens Without Bonus D</t>
  </si>
  <si>
    <t>Injuries &amp; Damages</t>
  </si>
  <si>
    <t>Statement AI - Workpapers</t>
  </si>
  <si>
    <t>Wages and Salaries</t>
  </si>
  <si>
    <t>Cycle Number:</t>
  </si>
  <si>
    <t>TO Number: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</si>
  <si>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</si>
  <si>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</si>
  <si>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</si>
  <si>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</si>
  <si>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</si>
  <si>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</si>
  <si>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</si>
  <si>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</si>
  <si>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</si>
  <si>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</si>
  <si>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</si>
  <si>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</si>
  <si>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</si>
  <si>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</si>
  <si>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</si>
  <si>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</si>
  <si>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</si>
  <si>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</si>
  <si>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</si>
  <si>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</si>
  <si>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</si>
  <si>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>Other Regulatory Assets/Liabilities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</si>
  <si>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</si>
  <si>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</si>
  <si>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</si>
  <si>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</si>
  <si>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</si>
  <si>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</si>
  <si>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</si>
  <si>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EXTERNAL SOURCE IMPORT TOOL</t>
  </si>
  <si>
    <t>Spreadsheet Upload</t>
  </si>
  <si>
    <t>col1</t>
  </si>
  <si>
    <t>col2</t>
  </si>
  <si>
    <t>col3</t>
  </si>
  <si>
    <t>col4</t>
  </si>
  <si>
    <t>col5</t>
  </si>
  <si>
    <t>EXTERNAL SOURCE ID</t>
  </si>
  <si>
    <t>EXT_01</t>
  </si>
  <si>
    <t>MONTH IN NUMBER FORMAT</t>
  </si>
  <si>
    <t>Citizens - Direct Maintenance Expense</t>
  </si>
  <si>
    <t>Citizens - Non-Direct Expense</t>
  </si>
  <si>
    <t>Citizens - Other Specific Expenses</t>
  </si>
  <si>
    <t>Citizens - TU Adjustment</t>
  </si>
  <si>
    <t>Citizens - Interest TU Adjustment</t>
  </si>
  <si>
    <t>560100E</t>
  </si>
  <si>
    <t>560200E</t>
  </si>
  <si>
    <t>561100E</t>
  </si>
  <si>
    <t>561200E</t>
  </si>
  <si>
    <t>561300E</t>
  </si>
  <si>
    <t>561400E</t>
  </si>
  <si>
    <t>561500E</t>
  </si>
  <si>
    <t>561600E</t>
  </si>
  <si>
    <t>561700E</t>
  </si>
  <si>
    <t>561800E</t>
  </si>
  <si>
    <t>562000E</t>
  </si>
  <si>
    <t>562100E</t>
  </si>
  <si>
    <t>563100E</t>
  </si>
  <si>
    <t>563200E</t>
  </si>
  <si>
    <t>564000E</t>
  </si>
  <si>
    <t>566000E</t>
  </si>
  <si>
    <t>567000E</t>
  </si>
  <si>
    <t>568100E</t>
  </si>
  <si>
    <t>568200E</t>
  </si>
  <si>
    <t>569000E</t>
  </si>
  <si>
    <t>569100E</t>
  </si>
  <si>
    <t>569200E</t>
  </si>
  <si>
    <t>569400E</t>
  </si>
  <si>
    <t>570000E</t>
  </si>
  <si>
    <t>570100E</t>
  </si>
  <si>
    <t>570121E</t>
  </si>
  <si>
    <t>570122E</t>
  </si>
  <si>
    <t>570200E</t>
  </si>
  <si>
    <t>570600E</t>
  </si>
  <si>
    <t>570700E</t>
  </si>
  <si>
    <t>571000E</t>
  </si>
  <si>
    <t>571100E</t>
  </si>
  <si>
    <t>571120E</t>
  </si>
  <si>
    <t>571200E</t>
  </si>
  <si>
    <t>571310E</t>
  </si>
  <si>
    <t>571700E</t>
  </si>
  <si>
    <t>571800E</t>
  </si>
  <si>
    <t>571960E</t>
  </si>
  <si>
    <t>572000E</t>
  </si>
  <si>
    <t>573000E</t>
  </si>
  <si>
    <t xml:space="preserve">FERC </t>
  </si>
  <si>
    <t>OPERATION SUPERVISION</t>
  </si>
  <si>
    <t>OPERATION ENGINEERING</t>
  </si>
  <si>
    <t>LOAD DISPATCHING - RELIABILITY</t>
  </si>
  <si>
    <t>LOAD DISPATCHING - MONITOR &amp; OPERATE SYSTEM</t>
  </si>
  <si>
    <t>LOAD DISPATCHING-TRANSMISSION SERVICE &amp; SCHEDULING</t>
  </si>
  <si>
    <t>SCHEDULING SYSTEM CONTROL &amp; DISPATCH SERVICES</t>
  </si>
  <si>
    <t>RELIABILITY, PLANNING &amp; STANDARDS DEVELOPMENT</t>
  </si>
  <si>
    <t>TRANSMISSION SERVICE STUDIES</t>
  </si>
  <si>
    <t>GENERATION INTERCONNECTION STUDIES</t>
  </si>
  <si>
    <t>RELIABILITY, PLANNING &amp; STANDARDS DEVELOPMENT SERVICES</t>
  </si>
  <si>
    <t>STATION EXPENSES</t>
  </si>
  <si>
    <t>STATION OPERATION EXPENSE</t>
  </si>
  <si>
    <t>OPERATION OVERHEAD LINES</t>
  </si>
  <si>
    <t>ENCROACHMENTS OVERHEAD R/W</t>
  </si>
  <si>
    <t>UNDERGROUND LINE EXPENSES</t>
  </si>
  <si>
    <t>MISCELLANEOUS TRANSMISSION EXPENSES</t>
  </si>
  <si>
    <t>RENTS</t>
  </si>
  <si>
    <t>MAINTENANCE SUPERVISION</t>
  </si>
  <si>
    <t>MAINTENANCE ENGINEERING</t>
  </si>
  <si>
    <t>MAINTENANCE OF STRUCTURES</t>
  </si>
  <si>
    <t>MAINTENANCE OF COMPUTER HARDWARE</t>
  </si>
  <si>
    <t>MAINTENANCE OF COMPUTER SOFTWARE</t>
  </si>
  <si>
    <t>MAINTENANCE OF MISC REGIONAL TRANSMISSION PLANT</t>
  </si>
  <si>
    <t>MAINTENANCE OF STATION EQUIPMENT</t>
  </si>
  <si>
    <t>MAINTENANCE OF  STATION EQUIPMENT GENERAL</t>
  </si>
  <si>
    <t>RTU SUPERVISORY EQUIPMENT</t>
  </si>
  <si>
    <t>TELEMETER SYSTEM MAINTENANCE</t>
  </si>
  <si>
    <t>MAINTENANCE STATION EQUIPMENT CLEAN TREAT</t>
  </si>
  <si>
    <t>MAINTENANCE STATION EQUIPMENT</t>
  </si>
  <si>
    <t>SAN ONOFRE SUBSTATION</t>
  </si>
  <si>
    <t>MAINTENANCE OF OVERHEAD LINES</t>
  </si>
  <si>
    <t>MAINTENANCE OF OVERHEAD LINES GENERAL</t>
  </si>
  <si>
    <t>TRAINING IN HOTSTICK MAINTENANCE</t>
  </si>
  <si>
    <t>MAINTENANCE OF OVERHEAD LINES - TREE TRIMMING</t>
  </si>
  <si>
    <t>MAINTENANCE OF OVERHEAD INSULATOR WASHING</t>
  </si>
  <si>
    <t>ACCESS &amp; PATROL ROAD MAINTENANCE</t>
  </si>
  <si>
    <t>CONSTRUCTION RELATED EXPENSES</t>
  </si>
  <si>
    <t>OH PREV MAINT - FOLLOW-UP</t>
  </si>
  <si>
    <t>MAINTENANCE OF UNDERGROUND LINES</t>
  </si>
  <si>
    <t>MAINTENANCE OF MISCELLANEOUS TRANSMISSION</t>
  </si>
  <si>
    <t>8.84%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</si>
  <si>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</si>
  <si>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RMS Linking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</si>
  <si>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</si>
  <si>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</si>
  <si>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</si>
  <si>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</si>
  <si>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Automation References</t>
  </si>
  <si>
    <t>Not a PP populated data tab</t>
  </si>
  <si>
    <t>Tab Color Key:</t>
  </si>
  <si>
    <t>D. Grey</t>
  </si>
  <si>
    <t>Always Delete</t>
  </si>
  <si>
    <t>D. Blue</t>
  </si>
  <si>
    <t>No Color</t>
  </si>
  <si>
    <t>Always Keep</t>
  </si>
  <si>
    <t>Cell Color Key:</t>
  </si>
  <si>
    <t>Purple</t>
  </si>
  <si>
    <t>Needs to updated prior to filing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</si>
  <si>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</si>
  <si>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</si>
  <si>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These represent plant transfers to comply with FERC Order No. 888 and reflect the adjusted plant accumulated depreciation and amortization balances.</t>
  </si>
  <si>
    <t>Plant Held for</t>
  </si>
  <si>
    <t>Future Use</t>
  </si>
  <si>
    <t>Form 1; Page 450.1; Sch. Pg. 214; Line 46; Col. d</t>
  </si>
  <si>
    <t>Form 1; Page 321; Line 83</t>
  </si>
  <si>
    <t>Form 1; Page 321; Line 85</t>
  </si>
  <si>
    <t>Form 1; Page 321; Line 86</t>
  </si>
  <si>
    <t>Form 1; Page 321; Line 87</t>
  </si>
  <si>
    <t>Form 1; Page 321; Line 88</t>
  </si>
  <si>
    <t>Form 1; Page 321; Line 89</t>
  </si>
  <si>
    <t>Form 1; Page 321; Line 90</t>
  </si>
  <si>
    <t>Form 1; Page 321; Line 91</t>
  </si>
  <si>
    <t>Form 1; Page 321; Line 92</t>
  </si>
  <si>
    <t>Form 1; Page 321; Line 93</t>
  </si>
  <si>
    <t>Form 1; Page 321; Line 94</t>
  </si>
  <si>
    <t>Form 1; Page 321; Line 95</t>
  </si>
  <si>
    <t>Form 1; Page 321; Line 96</t>
  </si>
  <si>
    <t>Form 1; Page 321; Line 97</t>
  </si>
  <si>
    <t>Form 1; Page 321; Line 98</t>
  </si>
  <si>
    <t xml:space="preserve">     Total Electric Transmission Operation </t>
  </si>
  <si>
    <t>Form 1; Page 321; Line 101</t>
  </si>
  <si>
    <t>Form 1; Page 321; Line 102</t>
  </si>
  <si>
    <t>Form 1; Page 321; Line 103</t>
  </si>
  <si>
    <t>Form 1; Page 321; Line 104</t>
  </si>
  <si>
    <t>Form 1; Page 321; Line 105</t>
  </si>
  <si>
    <t>Form 1; Page 321; Line 106</t>
  </si>
  <si>
    <t>Form 1; Page 321; Line 107</t>
  </si>
  <si>
    <t>Form 1; Page 321; Line 108</t>
  </si>
  <si>
    <t>Form 1; Page 321; Line 109</t>
  </si>
  <si>
    <t>Form 1; Page 321; Line 110</t>
  </si>
  <si>
    <t xml:space="preserve">Overhead Line Expenses 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</si>
  <si>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</si>
  <si>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</si>
  <si>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t>Form 1; Page 323; Line 181</t>
  </si>
  <si>
    <t>Form 1; Page 323; Line 182</t>
  </si>
  <si>
    <t>Form 1; Page 323; Line 183</t>
  </si>
  <si>
    <t>Form 1; Page 323; Line 184</t>
  </si>
  <si>
    <t>Form 1; Page 323; Line 185</t>
  </si>
  <si>
    <t>Form 1; Page 323; Line 186</t>
  </si>
  <si>
    <t>Form 1; Page 323; Line 187</t>
  </si>
  <si>
    <t>Form 1; Page 323; Line 188</t>
  </si>
  <si>
    <t>Form 1; Page 323; Line 189</t>
  </si>
  <si>
    <t>Form 1; Page 323; Line 190</t>
  </si>
  <si>
    <t>Form 1; Page 323; Line 191</t>
  </si>
  <si>
    <t>Form 1; Page 323; Line 192</t>
  </si>
  <si>
    <t>Form 1; Page 323; Line 193</t>
  </si>
  <si>
    <t>Form 1; Page 323; Line 196</t>
  </si>
  <si>
    <t xml:space="preserve">Regulatory Commission Expenses  </t>
  </si>
  <si>
    <t>Form 1; Page 336; Line 10; Col. f</t>
  </si>
  <si>
    <t>Form 1; Page 450.1; Sch. Pg. 227; Line 12; Col. c</t>
  </si>
  <si>
    <t>ACCOUNT 154 PLANT MATERIALS AND OPERATING SUPPLIES</t>
  </si>
  <si>
    <t>Form 1; Page 450.1; Sch. Pg. 110; Line 57; Col. c</t>
  </si>
  <si>
    <t>ACCOUNT 165 PREPAYMENTS  -  ELECTRIC</t>
  </si>
  <si>
    <t>FERC Form 1</t>
  </si>
  <si>
    <t>Page; Line; Col.</t>
  </si>
  <si>
    <t>450.1; Sch. Pg. 266; 8; f</t>
  </si>
  <si>
    <t>Working</t>
  </si>
  <si>
    <t>13-Months</t>
  </si>
  <si>
    <t>Cash</t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</si>
  <si>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</si>
  <si>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>450.1; Sch. Pg. 227; 12; c</t>
  </si>
  <si>
    <t xml:space="preserve">     Transmission Related Materials and Supplies 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</si>
  <si>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</si>
  <si>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450.1; Sch. Pg. 110; 57; c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</si>
  <si>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</si>
  <si>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</si>
  <si>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</si>
  <si>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</si>
  <si>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CPUC Intervenor Funding Expense - Transmission</t>
  </si>
  <si>
    <t xml:space="preserve">   One Eighth O&amp;M Rule</t>
  </si>
  <si>
    <t xml:space="preserve">     Transmission Related Cash Working Capital - Retail Customers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</si>
  <si>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</si>
  <si>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t>263; 2; i</t>
  </si>
  <si>
    <t>450.1; Sch. Pg. 262; 2; i</t>
  </si>
  <si>
    <t>263; 10, 18, 19, 20;  i</t>
  </si>
  <si>
    <t xml:space="preserve">     Transmission Related Payroll Taxes Expense</t>
  </si>
  <si>
    <t>Depreciation and Amortization Expense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</si>
  <si>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</si>
  <si>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</si>
  <si>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t>The balances for Electric Miscellaneous Intangible, Distribution, General and Common plant are derived based on a simple average balance using beginning and ending year balances.</t>
  </si>
  <si>
    <t>Derivation of Direct Maintenance Expense:</t>
  </si>
  <si>
    <t>Derivation of Non-Direct Transmission Operation and Maintenance Expense:</t>
  </si>
  <si>
    <t>Derivation of Non-Direct Administrative and General Expense:</t>
  </si>
  <si>
    <t>Bonds (Acct 221)</t>
  </si>
  <si>
    <t>112; 18; c</t>
  </si>
  <si>
    <t>Less: Reacquired Bonds (Acct 222)</t>
  </si>
  <si>
    <t>112; 19; c</t>
  </si>
  <si>
    <t>Other Long-Term Debt (Acct 224)</t>
  </si>
  <si>
    <t>112; 21; c</t>
  </si>
  <si>
    <t>Unamortized Premium on Long-Term Debt (Acct 225)</t>
  </si>
  <si>
    <t>112; 22; c</t>
  </si>
  <si>
    <t>Less: Unamortized Discount on Long-Term Debt-Debit (Acct 226)</t>
  </si>
  <si>
    <t>112; 23; c</t>
  </si>
  <si>
    <t xml:space="preserve">     LTD = Long Term Debt</t>
  </si>
  <si>
    <t>Interest on Long-Term Debt (Acct 427)</t>
  </si>
  <si>
    <t>117; 62; c</t>
  </si>
  <si>
    <t>Amort. of Debt Disc. and Expense (Acct 428)</t>
  </si>
  <si>
    <t>117; 63; c</t>
  </si>
  <si>
    <t>Amortization of Loss on Reacquired Debt (Acct 428.1)</t>
  </si>
  <si>
    <t>117; 64; c</t>
  </si>
  <si>
    <t>Less: Amort. of Premium on Debt-Credit (Acct 429)</t>
  </si>
  <si>
    <t>117; 65; c</t>
  </si>
  <si>
    <t>Less: Amortization of Gain on Reacquired Debt-Credit (Acct 429.1)</t>
  </si>
  <si>
    <t>117; 66; c</t>
  </si>
  <si>
    <t xml:space="preserve">     i = LTD interest</t>
  </si>
  <si>
    <t>PF = Preferred Stock (Acct 204)</t>
  </si>
  <si>
    <t>112; 3; c</t>
  </si>
  <si>
    <t>d(pf) = Total Dividends Declared-Preferred Stocks (Acct 437)</t>
  </si>
  <si>
    <t>118; 29; c</t>
  </si>
  <si>
    <t xml:space="preserve">     Cost of Preferred Equity</t>
  </si>
  <si>
    <t>Proprietary Capital</t>
  </si>
  <si>
    <t>112; 16; c</t>
  </si>
  <si>
    <t>Less: Preferred Stock (Acct 204)</t>
  </si>
  <si>
    <t>Less: Unappropriated Undistributed Subsidiary Earnings (Acct 216.1)</t>
  </si>
  <si>
    <t>112; 12; c</t>
  </si>
  <si>
    <t>Accumulated Other Comprehensive Income (Acct 219)</t>
  </si>
  <si>
    <t>112; 15; c</t>
  </si>
  <si>
    <t xml:space="preserve">     CS = Common Stock</t>
  </si>
  <si>
    <t>SDG&amp;E Return on Equity</t>
  </si>
  <si>
    <t xml:space="preserve">     Total Capital</t>
  </si>
  <si>
    <t xml:space="preserve">     B = Transmission Total Federal Tax Adjustments</t>
  </si>
  <si>
    <t xml:space="preserve">     FT = Federal Income Tax Rate for Rate Effective Period</t>
  </si>
  <si>
    <t>Federal Income Tax    =    (((A) + (C / D)) * FT) - (B / D)</t>
  </si>
  <si>
    <t xml:space="preserve">                                                         (1 - FT)</t>
  </si>
  <si>
    <t xml:space="preserve">     ST = State Income Tax Rate for Rate Effective Period</t>
  </si>
  <si>
    <t>State Income Tax    =    ((A) + (B / C) + Federal Income Tax)*(ST)</t>
  </si>
  <si>
    <t xml:space="preserve">                                                               (1 - ST)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</si>
  <si>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</si>
  <si>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</si>
  <si>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Citizens' Calculation of Equity AFUDC Component of Transmission Depreciation Expenses</t>
  </si>
  <si>
    <t xml:space="preserve">   350.1 - Land</t>
  </si>
  <si>
    <t xml:space="preserve">   350.2 - Land Rights</t>
  </si>
  <si>
    <t>(c) = (a) x (b)</t>
  </si>
  <si>
    <t>Accumulated Deferred Income Tax Comparison With and Without Bonus Depreciation</t>
  </si>
  <si>
    <t>Total Transmission Plant Accumulated Depreciation Average Balance</t>
  </si>
  <si>
    <t>Add: Citizens Weighted Average Accumulated Depreciation</t>
  </si>
  <si>
    <t>Total Common Plant Per Book</t>
  </si>
  <si>
    <t>Electric Split of Common Utility Plant</t>
  </si>
  <si>
    <t>Total Common Plant to Electric Per Book</t>
  </si>
  <si>
    <t>Total Non-Direct Transmission O&amp;M Expense</t>
  </si>
  <si>
    <t>Adjustments to Per Book Transmission O&amp;M Expense:</t>
  </si>
  <si>
    <t xml:space="preserve">   Other Transmission Non-Direct O&amp;M Exclusion Adjustments </t>
  </si>
  <si>
    <t xml:space="preserve">     Total Non-Direct Adjusted Transmission O&amp;M Expenses </t>
  </si>
  <si>
    <t>Total Non-Direct Administrative &amp; General Expense</t>
  </si>
  <si>
    <t>Adjustments to Per Book A&amp;G Expense:</t>
  </si>
  <si>
    <t>Total Adjusted Non-Direct A&amp;G Expenses Excluding Property Insurance</t>
  </si>
  <si>
    <t xml:space="preserve">     Total Adjusted Non-Direct A&amp;G Expenses Including Property Insurance</t>
  </si>
  <si>
    <t>Transmission Related Non-Direct Administrative &amp; General Expenses</t>
  </si>
  <si>
    <t xml:space="preserve">     Transmission Related Non-Direct A&amp;G Expense Including Property Insurance Expense</t>
  </si>
  <si>
    <t>Less: Property Insurance (Due to different allocation factor)</t>
  </si>
  <si>
    <t>Section 4 - True-Up Adjustment Cost Component (Over)/Undercollection</t>
  </si>
  <si>
    <t>Statement AF is utilized in the derivation of Transmission Rate Base for use in Statement AV.</t>
  </si>
  <si>
    <t>450.1; Sch. Pg. 214; 46; d</t>
  </si>
  <si>
    <t>354; 20; b</t>
  </si>
  <si>
    <t>354; 23; b</t>
  </si>
  <si>
    <t>354; 24; b</t>
  </si>
  <si>
    <t>354; 25; b</t>
  </si>
  <si>
    <t>354; 26; b</t>
  </si>
  <si>
    <t>336; 11; f</t>
  </si>
  <si>
    <t>336; 10; f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</si>
  <si>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</si>
  <si>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</si>
  <si>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These represent plant transfers to comply with FERC Order No. 888 and reflect the adjusted Transmission plant balances.</t>
  </si>
  <si>
    <t>The amounts stated above are ratemaking utility plant in service and a result of implementing the "Seven-Element Adjustment Factor" which reflects transfers between core electric functional areas.</t>
  </si>
  <si>
    <t>Property tax expense excludes Citizens property taxes as shown in FERC Form 1; Page 450.1; Sch. Pg. 262; Line 2; Col. i.</t>
  </si>
  <si>
    <t>Payroll tax expense excludes Citzens payroll taxes as shown in FERC Form 1; Page 450.1; Sch. Pg. 262; Line 18; Col. i.</t>
  </si>
  <si>
    <t>System Data Tab - Not Filed</t>
  </si>
  <si>
    <t>Hardcoded - Yes Filed</t>
  </si>
  <si>
    <t>Linked - Yes Filed</t>
  </si>
  <si>
    <t>One Eighth O&amp;M Rule</t>
  </si>
  <si>
    <t xml:space="preserve">Non-Incentive Equity AFUDC </t>
  </si>
  <si>
    <t xml:space="preserve">Component of Transmission </t>
  </si>
  <si>
    <t xml:space="preserve">     Total Transmission Rate Base</t>
  </si>
  <si>
    <t xml:space="preserve">     Total Working Capital</t>
  </si>
  <si>
    <t>Total Property Taxes Expense</t>
  </si>
  <si>
    <t>SALARIES-MANAGEMENT  STRAIGHT-TIME</t>
  </si>
  <si>
    <t>SALARIES-CLERICAL AND TECHNICAL  STRAIGH</t>
  </si>
  <si>
    <t>SALARIES-CLERICAL AND TECHNICAL  TIME AN</t>
  </si>
  <si>
    <t>SALARIES-CLERICAL AND TECHNICAL  DOUBLE</t>
  </si>
  <si>
    <t>SALARIES-UNION  STRAIGHT-TIME</t>
  </si>
  <si>
    <t>SALARIES-UNION  TIME AND ONE HALF</t>
  </si>
  <si>
    <t>SALARIES-UNION  DOUBLE TIME</t>
  </si>
  <si>
    <t>EMP TRAVEL-HOTEL/LODG (ROOM AND TAX ONLY</t>
  </si>
  <si>
    <t>SRV-CONSULTING-OTHER</t>
  </si>
  <si>
    <t>SRV-VEHICLE &amp; EQUIP RENTAL W/OPERATOR</t>
  </si>
  <si>
    <t>SRV-CONSTRUCTION-ELECTRIC</t>
  </si>
  <si>
    <t>HELICOPTER UTILIZATION</t>
  </si>
  <si>
    <t>VEHICLE UTILIZATION-LABOR</t>
  </si>
  <si>
    <t>VEHICLE UTILIZATION-NONLABOR</t>
  </si>
  <si>
    <t>Cash Discounts on Purchases</t>
  </si>
  <si>
    <t>Vacation &amp; Sick (Costing sheet)</t>
  </si>
  <si>
    <t>ICP (Costing Sheet)</t>
  </si>
  <si>
    <t>Public Liab.&amp; Property Damage-Lab(CS)</t>
  </si>
  <si>
    <t>Worker's Comp -Labor (Costing sheet)</t>
  </si>
  <si>
    <t>Pension &amp; Benefits - Labor</t>
  </si>
  <si>
    <t>Payroll Taxes (Costing sheet)</t>
  </si>
  <si>
    <t>Public Liab.&amp; Property Damage-NonLab(CS)</t>
  </si>
  <si>
    <t>Worker's Comp -Non Labor (Costing sheet)</t>
  </si>
  <si>
    <t>Pension &amp; Benefit - NonLabor</t>
  </si>
  <si>
    <t>PENSION &amp; BENEFIT - REFUNDABLE - NL</t>
  </si>
  <si>
    <t>VACATION &amp; SICK (CL)</t>
  </si>
  <si>
    <t>ICP (CL)</t>
  </si>
  <si>
    <t>PUBLIAB PROPDAM L(CL)</t>
  </si>
  <si>
    <t>WK COMP-LABOR (CL)</t>
  </si>
  <si>
    <t>PENSION &amp; BENEFIT-NONREF-LBR (CL)</t>
  </si>
  <si>
    <t>PAYROLL TAXES (CL)</t>
  </si>
  <si>
    <t>PUBLIAB PROPDAM NL(CL)</t>
  </si>
  <si>
    <t>WK COMP-NONLABOR (CL)</t>
  </si>
  <si>
    <t>PENSION &amp; BENEFIT-NONREF-NL (CL)</t>
  </si>
  <si>
    <t>PENSION &amp; BENEFIT-REF-NL (CL)</t>
  </si>
  <si>
    <t>Purchasing Labor (Costing sheet)</t>
  </si>
  <si>
    <t>Small Tools Labor (Costing sheet)</t>
  </si>
  <si>
    <t>Union Contract Labor (CS)</t>
  </si>
  <si>
    <t>Purchasing NonLabor (Costing sheet)</t>
  </si>
  <si>
    <t>Small Tools NonLabor (Costing sheet)</t>
  </si>
  <si>
    <t>FERC Account 190</t>
  </si>
  <si>
    <t>FERC Account 283</t>
  </si>
  <si>
    <t>AMOUNTS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</si>
  <si>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</si>
  <si>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SALARIES-MANAGEMENT  TIME AND ONE HALF</t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</si>
  <si>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</si>
  <si>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</si>
  <si>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5</t>
    </r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</si>
  <si>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</si>
  <si>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</si>
  <si>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</si>
  <si>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</si>
  <si>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</si>
  <si>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Ties to FERC Form 1; Page 354; Line 21; Col. b.</t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</si>
  <si>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</si>
  <si>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 xml:space="preserve">   FERC Account 190</t>
  </si>
  <si>
    <t xml:space="preserve">   FERC Account 282</t>
  </si>
  <si>
    <t xml:space="preserve">   FERC Account 283</t>
  </si>
  <si>
    <t>Depn Exp.</t>
  </si>
  <si>
    <t>As a result, such items are excluded in Column b.</t>
  </si>
  <si>
    <t>Property Insurance</t>
  </si>
  <si>
    <t>Miscellaneous General Expenses</t>
  </si>
  <si>
    <t>Outside Services Employed</t>
  </si>
  <si>
    <t>Office Supplies &amp; Expenses</t>
  </si>
  <si>
    <t>Transmission Related M&amp;S Allocated to Transmission</t>
  </si>
  <si>
    <t>Transmission Related Prepayments Allocated to Transmission</t>
  </si>
  <si>
    <t>Transmission Related Working Cash</t>
  </si>
  <si>
    <t xml:space="preserve">     Citizens Portion of Cash Working Capital</t>
  </si>
  <si>
    <t>Represents the monthly accumulated depreciation and amortization on the Citizens Lease amount for term of service.</t>
  </si>
  <si>
    <t>Total Transmission Wages &amp; Salaries</t>
  </si>
  <si>
    <t>Total Adjusted Citizens Transmission Wages &amp; Salaries</t>
  </si>
  <si>
    <t xml:space="preserve">The allocated general and common accumulated deferred income taxes are included in the total transmission related accumulated deferred income taxes. See FERC Form 1; Page 450.1; Sch. Pg. 274; </t>
  </si>
  <si>
    <t>Line 2; Col. b and k.</t>
  </si>
  <si>
    <t>Reflects the years that were taken into consideration to develop the table. The table begins</t>
  </si>
  <si>
    <t>in 2001 because all the data needed was not available until 2001 in SAP (SDG&amp;E's general</t>
  </si>
  <si>
    <t>accounting system).</t>
  </si>
  <si>
    <t>which are tracked via a specific work order.</t>
  </si>
  <si>
    <t>SALARIES-DELAYED LUNCH PREMIUM</t>
  </si>
  <si>
    <t>SRV-CONTRACTORS-TIME &amp; EQUIPMENT</t>
  </si>
  <si>
    <t>SRV-TREE TRIMMING</t>
  </si>
  <si>
    <t>Form 1; Page 450.1; Sch. Pg. 204; Line 104; Col. b; EOY</t>
  </si>
  <si>
    <t>Form 1; Page 450.1; Sch. Pg. 204; Line 104; Col. b; 13-Month Avg.</t>
  </si>
  <si>
    <t>Form 1; Page 450.1; Sch. Pg. 204; Line 104; Col. b; BOY</t>
  </si>
  <si>
    <t>450.1; Sch. Pg. 204; 104; b</t>
  </si>
  <si>
    <t>Account 190</t>
  </si>
  <si>
    <t>Account 282</t>
  </si>
  <si>
    <t xml:space="preserve">     Total of Account 190</t>
  </si>
  <si>
    <t xml:space="preserve">     Total of Account 282</t>
  </si>
  <si>
    <r>
      <t xml:space="preserve">     Total Transmission Related ADIT </t>
    </r>
    <r>
      <rPr>
        <vertAlign val="superscript"/>
        <sz val="12"/>
        <rFont val="Times New Roman"/>
        <family val="1"/>
      </rPr>
      <t>2</t>
    </r>
  </si>
  <si>
    <t>FERC Account 282</t>
  </si>
  <si>
    <t>450.1; Sch. Pg. 262; 18; i</t>
  </si>
  <si>
    <t>Business license taxes are no longer recorded in Total Property Taxes and are separately shown in FERC Form 1; Page 263; Line 4; Col. i.</t>
  </si>
  <si>
    <t>Appendix XII</t>
  </si>
  <si>
    <t>Number of Months in Base Period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</si>
  <si>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</si>
  <si>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</si>
  <si>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</si>
  <si>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</si>
  <si>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Distribution Plant </t>
    </r>
    <r>
      <rPr>
        <b/>
        <vertAlign val="superscript"/>
        <sz val="12"/>
        <rFont val="Times New Roman"/>
        <family val="1"/>
      </rPr>
      <t>2,3</t>
    </r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</si>
  <si>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</si>
  <si>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</si>
  <si>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t>Reflects direct maintenance expenses incurred on the 11.5-mile SX-PQ Underground Line Segment,</t>
  </si>
  <si>
    <t>Natural</t>
  </si>
  <si>
    <t>Rate</t>
  </si>
  <si>
    <t>Citizens should exclude expenses associated with substation, overhead, and underground maintenance.</t>
  </si>
  <si>
    <t>Other Federal Tax Adjustments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</si>
  <si>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</si>
  <si>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</si>
  <si>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</si>
  <si>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</si>
  <si>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</si>
  <si>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</si>
  <si>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</si>
  <si>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</si>
  <si>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</si>
  <si>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</si>
  <si>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</si>
  <si>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</si>
  <si>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</si>
  <si>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</si>
  <si>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</si>
  <si>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</si>
  <si>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</si>
  <si>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</si>
  <si>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</si>
  <si>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</si>
  <si>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</si>
  <si>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</si>
  <si>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Year</t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</si>
  <si>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</si>
  <si>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</si>
  <si>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</si>
  <si>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</si>
  <si>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</si>
  <si>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</si>
  <si>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</si>
  <si>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</si>
  <si>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</si>
  <si>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</si>
  <si>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</si>
  <si>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</si>
  <si>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</si>
  <si>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>True Up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</si>
  <si>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</si>
  <si>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</si>
  <si>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</si>
  <si>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</si>
  <si>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</si>
  <si>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</si>
  <si>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</si>
  <si>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</si>
  <si>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</si>
  <si>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Prior Cycle</t>
  </si>
  <si>
    <t>Cumulative Overcollection (-) or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</si>
  <si>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</si>
  <si>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</si>
  <si>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</si>
  <si>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</si>
  <si>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</si>
  <si>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</si>
  <si>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</si>
  <si>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</si>
  <si>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</si>
  <si>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</si>
  <si>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</si>
  <si>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</si>
  <si>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</si>
  <si>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</si>
  <si>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</si>
  <si>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</si>
  <si>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</si>
  <si>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</si>
  <si>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Amortization</t>
  </si>
  <si>
    <t>Principal</t>
  </si>
  <si>
    <t>June</t>
  </si>
  <si>
    <t>The Beginning Balance  is: 1) the balance in Column 6; Line 18 from the Interest True-Up Base Period for January; and 2) the balance from previous month in Column 7 of this workpaper for all</t>
  </si>
  <si>
    <t>subsequent months.</t>
  </si>
  <si>
    <t>Amortization reduces the beginning balance to zero by the end of December and is derived as follows:</t>
  </si>
  <si>
    <t>Beginning Balance/{[(1+Rate)^12-1]/[Rate*(1+Rate)^12]}.</t>
  </si>
  <si>
    <t>Rate is an average of the base period FERC Rates presented in the Section 4a True-Up calculation in Column 8 to derive a more accurate and consistent amortization amount (Column 4).</t>
  </si>
  <si>
    <t xml:space="preserve">   359 - Roads &amp; Trails</t>
  </si>
  <si>
    <t xml:space="preserve">   357 - Underground Conduit</t>
  </si>
  <si>
    <t>TO5 Transmission Plant Deprec. Rates WP</t>
  </si>
  <si>
    <t xml:space="preserve">     Citizens Direct Maintenance</t>
  </si>
  <si>
    <t xml:space="preserve">   358 - Underground Conductors &amp; Devices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</si>
  <si>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</si>
  <si>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</si>
  <si>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</si>
  <si>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</si>
  <si>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</si>
  <si>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</si>
  <si>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1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</si>
  <si>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2</t>
    </r>
  </si>
  <si>
    <t xml:space="preserve">Account 572 for Underground Line Maintenance is excluded because Citizens is charged via a Direct Maintenance order, which is reflected on AH-1. </t>
  </si>
  <si>
    <t>Excludes FERC Accounts 562, 563, 570, 571, and 572 associated with substation, underground, and overhead wages &amp; salaries not applicable to Citizens.</t>
  </si>
  <si>
    <t>Reflects FERC Accounts 562, 563, 570, 571, and 572 associated with substation, underground, and overhead wages &amp; salaries not applicable to Citizens.</t>
  </si>
  <si>
    <t>AFUDC Equity Depreciation Expense - Net of AFUDC Equity Depreciation Expense on Assets Leased to Citizens SX-PQ</t>
  </si>
  <si>
    <t>AFUDC embedded in the Lease Payment on the SX-PQ Underground Line Segment</t>
  </si>
  <si>
    <t>AFUDC Equity Embedded in the SX-PQ Underground Line Segement</t>
  </si>
  <si>
    <t>Net Transmission Plant</t>
  </si>
  <si>
    <t>Description of Annual Costs</t>
  </si>
  <si>
    <t>Subtotal Annual Costs</t>
  </si>
  <si>
    <t>Other Adjustments</t>
  </si>
  <si>
    <t>Total Annual Costs</t>
  </si>
  <si>
    <t>Description of Monthly Costs</t>
  </si>
  <si>
    <t>Total Monthly Costs</t>
  </si>
  <si>
    <t>Transmission Related O&amp;M Expense</t>
  </si>
  <si>
    <t>Transmission O&amp;M Expense</t>
  </si>
  <si>
    <t xml:space="preserve">     Transmission O&amp;M Expense Carrying Charge Percentage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</si>
  <si>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</si>
  <si>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</si>
  <si>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</si>
  <si>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</si>
  <si>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 xml:space="preserve">     Subtotal Annual Carrying Charge Rate</t>
  </si>
  <si>
    <t xml:space="preserve">     Total Annual Carrying Charge Rate</t>
  </si>
  <si>
    <t>Citizens Lease Payment</t>
  </si>
  <si>
    <t>Total Annual Carrying Charge Rate</t>
  </si>
  <si>
    <t>Transmission Property Insurance and Tax Allocation Factor</t>
  </si>
  <si>
    <t>Represents the lease amount for the term of service that is added to the 13-Month Average Balance for Transmission ratemaking. This figure will not change and</t>
  </si>
  <si>
    <t>ADIT</t>
  </si>
  <si>
    <t>Average</t>
  </si>
  <si>
    <t>CPUC</t>
  </si>
  <si>
    <t>Total Project</t>
  </si>
  <si>
    <t>Project</t>
  </si>
  <si>
    <t>($)</t>
  </si>
  <si>
    <t>Form 1; Page 214; Line 3; Col. d</t>
  </si>
  <si>
    <r>
      <t xml:space="preserve">Maintenance of Station Equipment </t>
    </r>
    <r>
      <rPr>
        <vertAlign val="superscript"/>
        <sz val="12"/>
        <rFont val="Times New Roman"/>
        <family val="1"/>
      </rPr>
      <t>1</t>
    </r>
  </si>
  <si>
    <r>
      <t xml:space="preserve">Maintenance of Overhead Lines </t>
    </r>
    <r>
      <rPr>
        <vertAlign val="superscript"/>
        <sz val="12"/>
        <rFont val="Times New Roman"/>
        <family val="1"/>
      </rPr>
      <t>1</t>
    </r>
  </si>
  <si>
    <t>Net Transmission Related Common Plant</t>
  </si>
  <si>
    <t>Net Transmission Related General Plant</t>
  </si>
  <si>
    <t>Total Net Transmission Related General and Common Plant</t>
  </si>
  <si>
    <t>Transmission Related General and Common Depreciation Expense</t>
  </si>
  <si>
    <t>Cost of Capital Rate</t>
  </si>
  <si>
    <t>Cost Adjustment Workpapers</t>
  </si>
  <si>
    <t>Transmission Related Municipal Franchise Fees Expense</t>
  </si>
  <si>
    <t>A. Derivation of Direct Maintenance Expense Allocated to Citizens</t>
  </si>
  <si>
    <t>Total Citizens Annual Prior Year Cost of Service</t>
  </si>
  <si>
    <t>Total Citizens Monthly Prior Year Cost of Service</t>
  </si>
  <si>
    <t>B. Derivation of Non-Direct Expense</t>
  </si>
  <si>
    <t xml:space="preserve">     Total Non-Direct Expense</t>
  </si>
  <si>
    <t>Total Transmission Related A&amp;G Expense Including Property Ins.</t>
  </si>
  <si>
    <t>Transmission Related General and Common Return and Associated Income Taxes</t>
  </si>
  <si>
    <t>therefore is a static amount.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</si>
  <si>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</si>
  <si>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Citizens portion of Equity AFUDC is embedded in the Equity AFUDC component of Transmission Depreciation expense.</t>
  </si>
  <si>
    <t>Citizens SX-PQ Underground Line Segment Adj. (see w/p AV-2B)</t>
  </si>
  <si>
    <t>(c) = (a)+(b)</t>
  </si>
  <si>
    <t xml:space="preserve">     Total Operating &amp; Maintenance Wages &amp; Salaries Excl. A&amp;G</t>
  </si>
  <si>
    <t xml:space="preserve">     Transmission Related Property Taxes Expense</t>
  </si>
  <si>
    <t>Total Transmission Related Amortization of Excess Deferred Tax Liabilities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</si>
  <si>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</si>
  <si>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</si>
  <si>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(c) = [(a) + (b)]</t>
  </si>
  <si>
    <t>Excess Reserve</t>
  </si>
  <si>
    <t>Protected</t>
  </si>
  <si>
    <t>Unprotected</t>
  </si>
  <si>
    <t xml:space="preserve">   Compensation Related Items</t>
  </si>
  <si>
    <t xml:space="preserve">   Post Retirement Benefits</t>
  </si>
  <si>
    <t xml:space="preserve">   Net Operating Loss</t>
  </si>
  <si>
    <t xml:space="preserve">   Accumulated Depreciation Timing Differences</t>
  </si>
  <si>
    <t>Account 283</t>
  </si>
  <si>
    <t xml:space="preserve">   Ad Valorem Taxes</t>
  </si>
  <si>
    <t xml:space="preserve">     Total of Account 283</t>
  </si>
  <si>
    <t xml:space="preserve">Miscellaneous Statement 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</si>
  <si>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</si>
  <si>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</si>
  <si>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applicable data field will be filled.</t>
  </si>
  <si>
    <t>Direct Maintenance expenses are ultilized and allocated in Section 1 of this Filing.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</si>
  <si>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</si>
  <si>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</si>
  <si>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</si>
  <si>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Overhead Line Expense</t>
  </si>
  <si>
    <t xml:space="preserve">   Miscellaneous Transmission Expense </t>
  </si>
  <si>
    <t xml:space="preserve">   Transmission of Electricity by Others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</si>
  <si>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</si>
  <si>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</si>
  <si>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</si>
  <si>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Damages &amp; Injuries</t>
  </si>
  <si>
    <t xml:space="preserve">   CPUC Intervenor Funding Expense - Distribution</t>
  </si>
  <si>
    <t xml:space="preserve">   CPUC reimbursement fees</t>
  </si>
  <si>
    <t xml:space="preserve">   Litigation expenses - Litigation Cost Memorandum Account (LCMA)</t>
  </si>
  <si>
    <t xml:space="preserve">   General Advertising Expenses </t>
  </si>
  <si>
    <t xml:space="preserve">   CPUC energy efficiency programs</t>
  </si>
  <si>
    <t xml:space="preserve">   Hazardous substances - Hazardous Substance Cleanup Cost Account</t>
  </si>
  <si>
    <t xml:space="preserve">   Other A&amp;G Exclusion Adjustments</t>
  </si>
  <si>
    <t>Return and Associated Income Taxes</t>
  </si>
  <si>
    <t xml:space="preserve">     Total Direct Maintenance Expense Including FF</t>
  </si>
  <si>
    <t xml:space="preserve">     Subtotal of Citizens Direct Maintenance Excluding FF</t>
  </si>
  <si>
    <t>Transmission Related General &amp; Common Plant Revenue</t>
  </si>
  <si>
    <t>A. Transmission Related O&amp;M Expense</t>
  </si>
  <si>
    <t>B. Transmission Related A&amp;G Expense</t>
  </si>
  <si>
    <t>C. Transmission Related Property Tax Expense</t>
  </si>
  <si>
    <t>D. Transmission Related Payroll Tax Expense</t>
  </si>
  <si>
    <t>E. Transmission Related Working Capital Revenue</t>
  </si>
  <si>
    <t>F. Transmission Related General &amp; Common Plant Revenue</t>
  </si>
  <si>
    <t xml:space="preserve">     Transmission Related Property Tax Carrying Charge Percentage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</si>
  <si>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</si>
  <si>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r>
      <t xml:space="preserve">Add: Citizens Weighted Average Lease Amount </t>
    </r>
    <r>
      <rPr>
        <b/>
        <vertAlign val="superscript"/>
        <sz val="12"/>
        <rFont val="Times New Roman"/>
        <family val="1"/>
      </rPr>
      <t>2</t>
    </r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</si>
  <si>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</si>
  <si>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Net Property Taxes Incl. Citizens</t>
  </si>
  <si>
    <t>Net Property Taxes Excl. Citizens</t>
  </si>
  <si>
    <t>Total Payroll Taxes Expense Incl. Citizens</t>
  </si>
  <si>
    <t>Total Transmission Plant &amp; Incentive Transmission Plant</t>
  </si>
  <si>
    <t>INCENTIVE TRANSMISSION PLANT</t>
  </si>
  <si>
    <t>Incentive</t>
  </si>
  <si>
    <t xml:space="preserve">Transmission </t>
  </si>
  <si>
    <t>Incentive Transmission Plant ADIT</t>
  </si>
  <si>
    <t>Incentive Transmission Plant Abandoned Project Cost ADIT</t>
  </si>
  <si>
    <t xml:space="preserve">STATEMENT AF </t>
  </si>
  <si>
    <t>ACCUMULATED DEFERRED INCOME TAXES - ELECTRIC TRANSMISSION</t>
  </si>
  <si>
    <t>(d) = [Sum (a) thru (c)]</t>
  </si>
  <si>
    <t xml:space="preserve">Remeasured </t>
  </si>
  <si>
    <t>Amount</t>
  </si>
  <si>
    <t>Account 283 (Non-Citizens)</t>
  </si>
  <si>
    <t>Account 282 (Non-Citizens)</t>
  </si>
  <si>
    <t>Account 190 (Citizens)</t>
  </si>
  <si>
    <t>Account 190 (Non-Citizens)</t>
  </si>
  <si>
    <t>Account 283 (Citizens)</t>
  </si>
  <si>
    <t>Account 282 (Citizens)</t>
  </si>
  <si>
    <t>Transmission Plant &amp; Incentive Transmission Plant</t>
  </si>
  <si>
    <t>A. Derivation of Net Transmission Plant:</t>
  </si>
  <si>
    <t>Incentive Transmission Plant</t>
  </si>
  <si>
    <t>Incentive Transmission Plant Depreciation Reserve</t>
  </si>
  <si>
    <t xml:space="preserve">     Total Net Incentive Transmission Plant</t>
  </si>
  <si>
    <t>B. Incentive Project Net Transmission Plant:</t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</si>
  <si>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</si>
  <si>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</si>
  <si>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</si>
  <si>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</si>
  <si>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</si>
  <si>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</si>
  <si>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Incentive Weighted Cost of Capital:</t>
  </si>
  <si>
    <t>Incentive Cost of Equity Component (Preferred &amp; Common):</t>
  </si>
  <si>
    <r>
      <t>Return on Common Equity:</t>
    </r>
    <r>
      <rPr>
        <sz val="12"/>
        <rFont val="Times New Roman"/>
        <family val="1"/>
      </rPr>
      <t xml:space="preserve"> </t>
    </r>
    <r>
      <rPr>
        <vertAlign val="superscript"/>
        <sz val="12"/>
        <rFont val="Times New Roman"/>
        <family val="1"/>
      </rPr>
      <t>2</t>
    </r>
  </si>
  <si>
    <t xml:space="preserve">     D = Incentive ROE Project Transmission Rate Base</t>
  </si>
  <si>
    <t xml:space="preserve">Federal Income Tax    =    (((A) + (C / D)) * FT) - (B / D)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</si>
  <si>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</si>
  <si>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</si>
  <si>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</si>
  <si>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 xml:space="preserve">Federal Income Tax Expense </t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</si>
  <si>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</si>
  <si>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t>The balances for Steam, Nuclear, Hydraulic, Other Production, Transmission, and Incentive Transmission plant are derived based on a 13-month average balance.</t>
  </si>
  <si>
    <t>The depreciation reserve for Transmission and Incentive Transmission plant is derived based on a 13-month average balance.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</si>
  <si>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</si>
  <si>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Citizens - Other Adjustments</t>
  </si>
  <si>
    <t>AFUDC Equity Percentage as of November 2018</t>
  </si>
  <si>
    <t>Total Transmission Related General and Common Plant Revenues</t>
  </si>
  <si>
    <t>the applicable data field will be populated.</t>
  </si>
  <si>
    <t>Due to the Tax Cuts and Jobs Act, SDG&amp;E is not eligible to receive Bonus Depreciation on the SX-PQ Transmission Line. However, if this item was to apply, subject to IRS approval,</t>
  </si>
  <si>
    <t>Transmission Plant Depreciation Expense</t>
  </si>
  <si>
    <t>Electric Miscellaneous Intangible Plant Amortization Expense</t>
  </si>
  <si>
    <t xml:space="preserve">General Plant Depreciation Expense </t>
  </si>
  <si>
    <t>Transmission Related Electric Misc. Intangible Plant Amortization Expense</t>
  </si>
  <si>
    <t>Transmission Related General Plant Depreciation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</si>
  <si>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</si>
  <si>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</si>
  <si>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</si>
  <si>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</si>
  <si>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</si>
  <si>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1</t>
    </r>
  </si>
  <si>
    <t>336; 1; f</t>
  </si>
  <si>
    <t>Add: Citizens Allocated Portion of Payroll Taxes</t>
  </si>
  <si>
    <t>Add: Citizens Allocated Portion of Property Taxes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</si>
  <si>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3</t>
    </r>
  </si>
  <si>
    <t>Incentive Return on Common Equity:</t>
  </si>
  <si>
    <t>Transmission Related Regulatory Debits/Credits</t>
  </si>
  <si>
    <r>
      <t xml:space="preserve">Average ADIT Difference With and Without Bonus </t>
    </r>
    <r>
      <rPr>
        <vertAlign val="superscript"/>
        <sz val="12"/>
        <rFont val="Times New Roman"/>
        <family val="1"/>
      </rPr>
      <t>1</t>
    </r>
  </si>
  <si>
    <t>ROE is pursuant to SDG&amp;E's TO5 Formula Informational Filing in Docket No. ER19-221-000.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</si>
  <si>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</si>
  <si>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</si>
  <si>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D. Incentive Transmission Construction Work In Progress</t>
  </si>
  <si>
    <t xml:space="preserve">     C = Equity AFUDC Component of Transmission Depreciation Expense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</si>
  <si>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</si>
  <si>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>Transmission O&amp;M Expenses in SAP Account 7000721, which was created to track Citizens SX-PQ O&amp;M Expense.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</si>
  <si>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</si>
  <si>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CITIZENS' SHARE OF THE SX-PQ UNDERGROUND LINE SEGMENT</t>
  </si>
  <si>
    <t xml:space="preserve">     Total Transmission Related General and Common Plant Carrying Charge Percentage</t>
  </si>
  <si>
    <t>C. Derivation of Citizens SX-PQ Underground Line Segment Cost of Removal</t>
  </si>
  <si>
    <t xml:space="preserve">     Subtotal Annual Cost of Removal</t>
  </si>
  <si>
    <t xml:space="preserve">     Total Annual Cost of Removal</t>
  </si>
  <si>
    <t>DERIVATION OF CITIZENS' TRUE-UP ADJUSTMENT -  (OVER) / UNDERCOLLECTION</t>
  </si>
  <si>
    <t>Total Base Period Interest and Current Year Interest</t>
  </si>
  <si>
    <r>
      <t>Total Base Period Interest</t>
    </r>
    <r>
      <rPr>
        <b/>
        <vertAlign val="superscript"/>
        <sz val="12"/>
        <rFont val="Times New Roman"/>
        <family val="1"/>
      </rPr>
      <t>4</t>
    </r>
  </si>
  <si>
    <t>Summary of Cost Components</t>
  </si>
  <si>
    <t xml:space="preserve">Section 2 - Non-Direct Expense Cost Component </t>
  </si>
  <si>
    <t>Shop Order Labor (Costing sheet)</t>
  </si>
  <si>
    <t>Shop Order NonLabor (Costing sheet)</t>
  </si>
  <si>
    <t>Account 7000722, which was created to track Citizens SX-PQ A&amp;G Expense.</t>
  </si>
  <si>
    <r>
      <t>AMORTIZATION OF TRANSMISSION RELATED EXCESS DEFERRED TAX LIABILITIES</t>
    </r>
    <r>
      <rPr>
        <b/>
        <vertAlign val="superscript"/>
        <sz val="12"/>
        <rFont val="Times New Roman"/>
        <family val="1"/>
      </rPr>
      <t>1</t>
    </r>
  </si>
  <si>
    <t>This workpaper does not include the amortization of excess ADIT associated with SX-PQ because the original ADIT balance was measured at the 21% tax rate and thus there is no excess ADIT.</t>
  </si>
  <si>
    <t>B. Equity AFUDC Component of Transmission Depreciation Expense</t>
  </si>
  <si>
    <t>Citizens O&amp;M should not include substation, underground, and overhead line maintenance per the Appendix XII Tariff (See Section I.C - number 31).</t>
  </si>
  <si>
    <t>None of the above items apply to SDG&amp;E's TO5 Cycle 2 filing. However, as one or more of these items apply, subject to FERC approval, the</t>
  </si>
  <si>
    <t>Litigation expenses (ERRA)</t>
  </si>
  <si>
    <t>Monthy True-Up Cost of Service comprises Sections 1 thru 3 Direct Maintenance, Non-Direct Expense, and Other Specific Expenses Cost Components. For Cycles 1 and 2, there is no monthly true-up cost of service.</t>
  </si>
  <si>
    <t>Monthly True-Up Revenues comprises the prior cycle costs applicable to the true-up period. For Cycles 1 and 2, there are no monthly true-up revenues.</t>
  </si>
  <si>
    <t>Page AF-3 is utilized in Section 3; Part A - Direct Assignment of ADIT to Citizens. As noted in Section 3, this item is</t>
  </si>
  <si>
    <t>not applicable to the 2018 base period. Population of this tab and derivation of an ADIT Revenue Credit in Section 3 will take</t>
  </si>
  <si>
    <t>place only if the IRS allows SDG&amp;E to take Bonus Depreciation for SX-PQ on its tax return.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</si>
</sst>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</numFmts>
  <fonts count="17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i/>
      <sz val="12"/>
      <color theme="1"/>
      <name val="Times New Roman"/>
      <family val="1"/>
    </font>
    <font>
      <strike/>
      <sz val="12"/>
      <name val="Times New Roman"/>
      <family val="1"/>
    </font>
    <font>
      <sz val="12"/>
      <color theme="0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b/>
      <vertAlign val="superscript"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2"/>
      <color rgb="FF0000FF"/>
      <name val="Times New Roman"/>
      <family val="1"/>
    </font>
    <font>
      <b/>
      <sz val="12"/>
      <color rgb="FF0000FF"/>
      <name val="Times New Roman"/>
      <family val="1"/>
    </font>
    <font>
      <sz val="10"/>
      <name val="Arial"/>
    </font>
  </fonts>
  <fills count="1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99FF"/>
        <bgColor indexed="64"/>
      </patternFill>
    </fill>
  </fills>
  <borders count="15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3810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3" applyNumberFormat="0" applyProtection="0">
      <alignment vertical="center"/>
    </xf>
    <xf numFmtId="4" fontId="38" fillId="56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21" fillId="59" borderId="23" applyNumberFormat="0" applyProtection="0">
      <alignment vertical="center"/>
    </xf>
    <xf numFmtId="4" fontId="38" fillId="6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0" fillId="62" borderId="23" applyNumberFormat="0" applyProtection="0">
      <alignment vertical="center"/>
    </xf>
    <xf numFmtId="4" fontId="38" fillId="63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1" fillId="56" borderId="23" applyNumberFormat="0" applyProtection="0">
      <alignment vertical="center"/>
    </xf>
    <xf numFmtId="4" fontId="36" fillId="65" borderId="2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4" fontId="42" fillId="67" borderId="23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25" fillId="70" borderId="25" applyNumberFormat="0">
      <protection locked="0"/>
    </xf>
    <xf numFmtId="0" fontId="15" fillId="71" borderId="26" applyBorder="0"/>
    <xf numFmtId="4" fontId="38" fillId="69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36" fillId="66" borderId="27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4" fontId="38" fillId="69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36" fillId="66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5" fillId="67" borderId="23" applyNumberFormat="0" applyProtection="0">
      <alignment vertical="center"/>
    </xf>
    <xf numFmtId="4" fontId="46" fillId="67" borderId="23" applyNumberFormat="0" applyProtection="0">
      <alignment vertical="center"/>
    </xf>
    <xf numFmtId="4" fontId="47" fillId="72" borderId="23" applyNumberFormat="0" applyProtection="0">
      <alignment horizontal="left" vertical="center" indent="1"/>
    </xf>
    <xf numFmtId="4" fontId="48" fillId="68" borderId="27" applyNumberFormat="0" applyProtection="0">
      <alignment horizontal="left" vertical="center" indent="1"/>
    </xf>
    <xf numFmtId="0" fontId="25" fillId="73" borderId="28"/>
    <xf numFmtId="4" fontId="49" fillId="69" borderId="22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9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30" applyNumberFormat="0" applyAlignment="0" applyProtection="0"/>
    <xf numFmtId="0" fontId="60" fillId="79" borderId="30" applyNumberFormat="0" applyAlignment="0" applyProtection="0"/>
    <xf numFmtId="0" fontId="61" fillId="9" borderId="16" applyNumberFormat="0" applyAlignment="0" applyProtection="0"/>
    <xf numFmtId="0" fontId="62" fillId="77" borderId="31" applyNumberFormat="0" applyAlignment="0" applyProtection="0"/>
    <xf numFmtId="0" fontId="62" fillId="77" borderId="31" applyNumberFormat="0" applyAlignment="0" applyProtection="0"/>
    <xf numFmtId="0" fontId="63" fillId="10" borderId="19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32" applyNumberFormat="0" applyFill="0" applyAlignment="0" applyProtection="0"/>
    <xf numFmtId="0" fontId="67" fillId="0" borderId="32" applyNumberFormat="0" applyFill="0" applyAlignment="0" applyProtection="0"/>
    <xf numFmtId="0" fontId="68" fillId="0" borderId="13" applyNumberFormat="0" applyFill="0" applyAlignment="0" applyProtection="0"/>
    <xf numFmtId="0" fontId="69" fillId="0" borderId="33" applyNumberFormat="0" applyFill="0" applyAlignment="0" applyProtection="0"/>
    <xf numFmtId="0" fontId="69" fillId="0" borderId="33" applyNumberFormat="0" applyFill="0" applyAlignment="0" applyProtection="0"/>
    <xf numFmtId="0" fontId="70" fillId="0" borderId="1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2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30" applyNumberFormat="0" applyAlignment="0" applyProtection="0"/>
    <xf numFmtId="0" fontId="73" fillId="49" borderId="30" applyNumberFormat="0" applyAlignment="0" applyProtection="0"/>
    <xf numFmtId="0" fontId="74" fillId="8" borderId="16" applyNumberFormat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0" borderId="18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80" fillId="11" borderId="20" applyNumberFormat="0" applyFont="0" applyAlignment="0" applyProtection="0"/>
    <xf numFmtId="0" fontId="81" fillId="79" borderId="36" applyNumberFormat="0" applyAlignment="0" applyProtection="0"/>
    <xf numFmtId="0" fontId="81" fillId="79" borderId="36" applyNumberFormat="0" applyAlignment="0" applyProtection="0"/>
    <xf numFmtId="0" fontId="82" fillId="9" borderId="17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11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22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36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39" fillId="82" borderId="22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36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85" fillId="54" borderId="36" applyNumberFormat="0" applyProtection="0">
      <alignment vertical="center"/>
    </xf>
    <xf numFmtId="4" fontId="86" fillId="54" borderId="30" applyNumberFormat="0" applyProtection="0">
      <alignment vertical="center"/>
    </xf>
    <xf numFmtId="4" fontId="37" fillId="54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87" fillId="82" borderId="22" applyNumberFormat="0" applyProtection="0">
      <alignment horizontal="left" vertical="top" indent="1"/>
    </xf>
    <xf numFmtId="4" fontId="43" fillId="54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63" borderId="36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63" borderId="36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39" fillId="99" borderId="36" applyNumberFormat="0" applyProtection="0">
      <alignment horizontal="left" vertical="center" indent="1"/>
    </xf>
    <xf numFmtId="4" fontId="39" fillId="98" borderId="24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6" fillId="65" borderId="24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9" fillId="98" borderId="24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70" borderId="25" applyNumberFormat="0">
      <protection locked="0"/>
    </xf>
    <xf numFmtId="0" fontId="25" fillId="70" borderId="25" applyNumberFormat="0">
      <protection locked="0"/>
    </xf>
    <xf numFmtId="0" fontId="25" fillId="70" borderId="25" applyNumberFormat="0">
      <protection locked="0"/>
    </xf>
    <xf numFmtId="0" fontId="25" fillId="70" borderId="25" applyNumberFormat="0">
      <protection locked="0"/>
    </xf>
    <xf numFmtId="0" fontId="25" fillId="70" borderId="25" applyNumberFormat="0">
      <protection locked="0"/>
    </xf>
    <xf numFmtId="4" fontId="43" fillId="72" borderId="36" applyNumberFormat="0" applyProtection="0">
      <alignment vertical="center"/>
    </xf>
    <xf numFmtId="4" fontId="43" fillId="72" borderId="36" applyNumberFormat="0" applyProtection="0">
      <alignment vertical="center"/>
    </xf>
    <xf numFmtId="4" fontId="88" fillId="108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38" fillId="69" borderId="22" applyNumberFormat="0" applyProtection="0">
      <alignment vertical="center"/>
    </xf>
    <xf numFmtId="4" fontId="85" fillId="72" borderId="36" applyNumberFormat="0" applyProtection="0">
      <alignment vertical="center"/>
    </xf>
    <xf numFmtId="4" fontId="86" fillId="72" borderId="28" applyNumberFormat="0" applyProtection="0">
      <alignment vertical="center"/>
    </xf>
    <xf numFmtId="4" fontId="44" fillId="69" borderId="22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88" fillId="104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0" fontId="88" fillId="108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38" fillId="69" borderId="22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85" fillId="100" borderId="36" applyNumberFormat="0" applyProtection="0">
      <alignment horizontal="right" vertical="center"/>
    </xf>
    <xf numFmtId="4" fontId="86" fillId="67" borderId="30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36" fillId="66" borderId="22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88" fillId="102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89" fillId="0" borderId="0"/>
    <xf numFmtId="4" fontId="90" fillId="109" borderId="37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7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8"/>
    <xf numFmtId="0" fontId="25" fillId="73" borderId="28"/>
    <xf numFmtId="0" fontId="25" fillId="73" borderId="28"/>
    <xf numFmtId="0" fontId="25" fillId="73" borderId="28"/>
    <xf numFmtId="0" fontId="25" fillId="73" borderId="28"/>
    <xf numFmtId="0" fontId="25" fillId="73" borderId="28"/>
    <xf numFmtId="0" fontId="25" fillId="73" borderId="28"/>
    <xf numFmtId="0" fontId="25" fillId="73" borderId="28"/>
    <xf numFmtId="0" fontId="25" fillId="73" borderId="28"/>
    <xf numFmtId="4" fontId="91" fillId="100" borderId="36" applyNumberFormat="0" applyProtection="0">
      <alignment horizontal="right" vertical="center"/>
    </xf>
    <xf numFmtId="4" fontId="92" fillId="70" borderId="30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9"/>
    <xf numFmtId="49" fontId="95" fillId="110" borderId="0"/>
    <xf numFmtId="0" fontId="93" fillId="67" borderId="39">
      <protection locked="0"/>
    </xf>
    <xf numFmtId="0" fontId="93" fillId="110" borderId="0"/>
    <xf numFmtId="0" fontId="96" fillId="61" borderId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0" fontId="97" fillId="0" borderId="21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6" applyNumberFormat="0" applyAlignment="0" applyProtection="0"/>
    <xf numFmtId="0" fontId="61" fillId="9" borderId="16" applyNumberFormat="0" applyAlignment="0" applyProtection="0"/>
    <xf numFmtId="0" fontId="101" fillId="10" borderId="19" applyNumberFormat="0" applyAlignment="0" applyProtection="0"/>
    <xf numFmtId="0" fontId="63" fillId="10" borderId="19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3" applyNumberFormat="0" applyFill="0" applyAlignment="0" applyProtection="0"/>
    <xf numFmtId="0" fontId="68" fillId="0" borderId="13" applyNumberFormat="0" applyFill="0" applyAlignment="0" applyProtection="0"/>
    <xf numFmtId="0" fontId="104" fillId="0" borderId="14" applyNumberFormat="0" applyFill="0" applyAlignment="0" applyProtection="0"/>
    <xf numFmtId="0" fontId="70" fillId="0" borderId="14" applyNumberFormat="0" applyFill="0" applyAlignment="0" applyProtection="0"/>
    <xf numFmtId="0" fontId="105" fillId="0" borderId="15" applyNumberFormat="0" applyFill="0" applyAlignment="0" applyProtection="0"/>
    <xf numFmtId="0" fontId="72" fillId="0" borderId="15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6" applyNumberFormat="0" applyAlignment="0" applyProtection="0"/>
    <xf numFmtId="0" fontId="74" fillId="8" borderId="16" applyNumberFormat="0" applyAlignment="0" applyProtection="0"/>
    <xf numFmtId="0" fontId="107" fillId="0" borderId="18" applyNumberFormat="0" applyFill="0" applyAlignment="0" applyProtection="0"/>
    <xf numFmtId="0" fontId="76" fillId="0" borderId="18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5" fillId="48" borderId="3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80" fillId="11" borderId="20" applyNumberFormat="0" applyFont="0" applyAlignment="0" applyProtection="0"/>
    <xf numFmtId="0" fontId="110" fillId="9" borderId="17" applyNumberFormat="0" applyAlignment="0" applyProtection="0"/>
    <xf numFmtId="0" fontId="82" fillId="9" borderId="1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86" fillId="54" borderId="30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5" applyNumberFormat="0">
      <protection locked="0"/>
    </xf>
    <xf numFmtId="0" fontId="25" fillId="70" borderId="25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5" applyNumberFormat="0">
      <protection locked="0"/>
    </xf>
    <xf numFmtId="4" fontId="88" fillId="108" borderId="22" applyNumberFormat="0" applyProtection="0">
      <alignment vertical="center"/>
    </xf>
    <xf numFmtId="4" fontId="86" fillId="72" borderId="28" applyNumberFormat="0" applyProtection="0">
      <alignment vertical="center"/>
    </xf>
    <xf numFmtId="4" fontId="88" fillId="104" borderId="22" applyNumberFormat="0" applyProtection="0">
      <alignment horizontal="left" vertical="center" indent="1"/>
    </xf>
    <xf numFmtId="0" fontId="88" fillId="10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6" fillId="67" borderId="30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8"/>
    <xf numFmtId="4" fontId="92" fillId="70" borderId="3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21" applyNumberFormat="0" applyFill="0" applyAlignment="0" applyProtection="0"/>
    <xf numFmtId="0" fontId="97" fillId="0" borderId="21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22" applyNumberFormat="0" applyProtection="0">
      <alignment horizontal="left" vertical="top" indent="1"/>
    </xf>
    <xf numFmtId="0" fontId="62" fillId="77" borderId="43" applyNumberFormat="0" applyAlignment="0" applyProtection="0"/>
    <xf numFmtId="0" fontId="62" fillId="77" borderId="4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42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22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22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22" applyNumberFormat="0" applyProtection="0">
      <alignment horizontal="left" vertical="top" indent="1"/>
    </xf>
    <xf numFmtId="0" fontId="55" fillId="11" borderId="20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22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22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22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22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9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9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149" fillId="125" borderId="81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62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6" fontId="4" fillId="0" borderId="0">
      <protection locked="0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3" borderId="61"/>
    <xf numFmtId="0" fontId="4" fillId="69" borderId="83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83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64" applyNumberFormat="0" applyFill="0" applyProtection="0">
      <alignment horizontal="center"/>
    </xf>
    <xf numFmtId="4" fontId="43" fillId="102" borderId="83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185" fontId="4" fillId="66" borderId="65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8" applyFill="0" applyProtection="0">
      <alignment horizontal="right"/>
    </xf>
    <xf numFmtId="0" fontId="124" fillId="104" borderId="66" applyNumberFormat="0" applyAlignment="0" applyProtection="0"/>
    <xf numFmtId="0" fontId="124" fillId="104" borderId="66" applyNumberFormat="0" applyAlignment="0" applyProtection="0"/>
    <xf numFmtId="8" fontId="4" fillId="0" borderId="47" applyFont="0" applyFill="0" applyBorder="0" applyProtection="0">
      <alignment horizontal="right"/>
    </xf>
    <xf numFmtId="0" fontId="125" fillId="120" borderId="59" applyNumberFormat="0" applyAlignment="0" applyProtection="0"/>
    <xf numFmtId="0" fontId="125" fillId="120" borderId="59" applyNumberFormat="0" applyAlignment="0" applyProtection="0"/>
    <xf numFmtId="0" fontId="15" fillId="0" borderId="50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83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83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83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7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8" applyNumberFormat="0" applyFill="0" applyAlignment="0" applyProtection="0"/>
    <xf numFmtId="0" fontId="133" fillId="0" borderId="68" applyNumberFormat="0" applyFill="0" applyAlignment="0" applyProtection="0"/>
    <xf numFmtId="0" fontId="134" fillId="0" borderId="69" applyNumberFormat="0" applyFill="0" applyAlignment="0" applyProtection="0"/>
    <xf numFmtId="0" fontId="134" fillId="0" borderId="69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71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61" applyNumberFormat="0" applyBorder="0" applyAlignment="0" applyProtection="0"/>
    <xf numFmtId="0" fontId="138" fillId="116" borderId="66" applyNumberFormat="0" applyAlignment="0" applyProtection="0"/>
    <xf numFmtId="0" fontId="138" fillId="116" borderId="66" applyNumberFormat="0" applyAlignment="0" applyProtection="0"/>
    <xf numFmtId="10" fontId="25" fillId="72" borderId="0">
      <protection locked="0"/>
    </xf>
    <xf numFmtId="0" fontId="139" fillId="0" borderId="72">
      <alignment horizontal="right"/>
    </xf>
    <xf numFmtId="0" fontId="139" fillId="0" borderId="72">
      <alignment horizontal="left"/>
    </xf>
    <xf numFmtId="0" fontId="140" fillId="0" borderId="73" applyNumberFormat="0" applyFill="0" applyAlignment="0" applyProtection="0"/>
    <xf numFmtId="0" fontId="140" fillId="0" borderId="73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9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20" applyNumberFormat="0" applyFont="0" applyAlignment="0" applyProtection="0"/>
    <xf numFmtId="0" fontId="43" fillId="108" borderId="74" applyNumberFormat="0" applyFont="0" applyAlignment="0" applyProtection="0"/>
    <xf numFmtId="0" fontId="43" fillId="108" borderId="74" applyNumberFormat="0" applyFont="0" applyAlignment="0" applyProtection="0"/>
    <xf numFmtId="0" fontId="143" fillId="104" borderId="36" applyNumberFormat="0" applyAlignment="0" applyProtection="0"/>
    <xf numFmtId="0" fontId="143" fillId="104" borderId="36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81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72">
      <alignment horizontal="center"/>
    </xf>
    <xf numFmtId="0" fontId="84" fillId="0" borderId="72">
      <alignment horizontal="center"/>
    </xf>
    <xf numFmtId="0" fontId="84" fillId="0" borderId="72">
      <alignment horizontal="center"/>
    </xf>
    <xf numFmtId="0" fontId="84" fillId="0" borderId="72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82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8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75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60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60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51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76" applyNumberFormat="0" applyFill="0" applyAlignment="0" applyProtection="0"/>
    <xf numFmtId="0" fontId="39" fillId="0" borderId="76" applyNumberFormat="0" applyFill="0" applyAlignment="0" applyProtection="0"/>
    <xf numFmtId="3" fontId="127" fillId="0" borderId="45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71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72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83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83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8" fontId="4" fillId="0" borderId="77" applyFont="0" applyFill="0" applyBorder="0" applyProtection="0">
      <alignment horizontal="right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6" fontId="4" fillId="0" borderId="0">
      <protection locked="0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139" fillId="0" borderId="42">
      <alignment horizontal="right"/>
    </xf>
    <xf numFmtId="0" fontId="139" fillId="0" borderId="42">
      <alignment horizontal="left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84" fillId="0" borderId="42">
      <alignment horizontal="center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8" applyNumberFormat="0" applyAlignment="0" applyProtection="0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83" applyNumberFormat="0" applyProtection="0">
      <alignment horizontal="right" vertical="center"/>
    </xf>
    <xf numFmtId="0" fontId="25" fillId="73" borderId="86"/>
    <xf numFmtId="4" fontId="48" fillId="68" borderId="85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4" fillId="0" borderId="0"/>
    <xf numFmtId="195" fontId="148" fillId="0" borderId="44" applyBorder="0" applyProtection="0">
      <alignment horizontal="right" vertical="center"/>
    </xf>
    <xf numFmtId="0" fontId="149" fillId="125" borderId="44" applyBorder="0" applyProtection="0">
      <alignment horizontal="centerContinuous"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0" fontId="139" fillId="0" borderId="42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81" fillId="79" borderId="79" applyNumberFormat="0" applyAlignment="0" applyProtection="0"/>
    <xf numFmtId="0" fontId="81" fillId="79" borderId="79" applyNumberFormat="0" applyAlignment="0" applyProtection="0"/>
    <xf numFmtId="4" fontId="36" fillId="54" borderId="83" applyNumberFormat="0" applyProtection="0">
      <alignment vertical="center"/>
    </xf>
    <xf numFmtId="4" fontId="43" fillId="54" borderId="79" applyNumberFormat="0" applyProtection="0">
      <alignment vertical="center"/>
    </xf>
    <xf numFmtId="4" fontId="43" fillId="54" borderId="79" applyNumberFormat="0" applyProtection="0">
      <alignment vertical="center"/>
    </xf>
    <xf numFmtId="4" fontId="85" fillId="54" borderId="79" applyNumberFormat="0" applyProtection="0">
      <alignment vertical="center"/>
    </xf>
    <xf numFmtId="4" fontId="37" fillId="54" borderId="83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87" fillId="82" borderId="83" applyNumberFormat="0" applyProtection="0">
      <alignment horizontal="left" vertical="top" indent="1"/>
    </xf>
    <xf numFmtId="4" fontId="43" fillId="5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57" borderId="79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39" fillId="99" borderId="79" applyNumberFormat="0" applyProtection="0">
      <alignment horizontal="left" vertical="center" indent="1"/>
    </xf>
    <xf numFmtId="4" fontId="39" fillId="98" borderId="62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25" fillId="70" borderId="63" applyNumberFormat="0">
      <protection locked="0"/>
    </xf>
    <xf numFmtId="4" fontId="43" fillId="72" borderId="79" applyNumberFormat="0" applyProtection="0">
      <alignment vertical="center"/>
    </xf>
    <xf numFmtId="4" fontId="43" fillId="72" borderId="79" applyNumberFormat="0" applyProtection="0">
      <alignment vertical="center"/>
    </xf>
    <xf numFmtId="4" fontId="88" fillId="108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79" applyNumberFormat="0" applyProtection="0">
      <alignment vertical="center"/>
    </xf>
    <xf numFmtId="4" fontId="38" fillId="69" borderId="83" applyNumberFormat="0" applyProtection="0">
      <alignment vertical="center"/>
    </xf>
    <xf numFmtId="4" fontId="85" fillId="72" borderId="79" applyNumberFormat="0" applyProtection="0">
      <alignment vertical="center"/>
    </xf>
    <xf numFmtId="4" fontId="86" fillId="72" borderId="86" applyNumberFormat="0" applyProtection="0">
      <alignment vertical="center"/>
    </xf>
    <xf numFmtId="4" fontId="44" fillId="69" borderId="83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88" fillId="104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0" fontId="88" fillId="108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38" fillId="69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85" fillId="100" borderId="79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36" fillId="66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88" fillId="102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8" fillId="68" borderId="85" applyNumberFormat="0" applyProtection="0">
      <alignment horizontal="left" vertical="center" indent="1"/>
    </xf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4" fontId="91" fillId="100" borderId="79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9" applyNumberFormat="0" applyProtection="0">
      <alignment horizontal="left" vertical="center" indent="1"/>
    </xf>
    <xf numFmtId="4" fontId="43" fillId="56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83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0" borderId="83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3" fillId="108" borderId="89" applyNumberFormat="0" applyFont="0" applyAlignment="0" applyProtection="0"/>
    <xf numFmtId="4" fontId="43" fillId="90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30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43" fillId="54" borderId="79" applyNumberFormat="0" applyProtection="0">
      <alignment vertical="center"/>
    </xf>
    <xf numFmtId="4" fontId="85" fillId="54" borderId="79" applyNumberFormat="0" applyProtection="0">
      <alignment vertical="center"/>
    </xf>
    <xf numFmtId="4" fontId="43" fillId="88" borderId="83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43" fillId="54" borderId="79" applyNumberFormat="0" applyProtection="0">
      <alignment vertical="center"/>
    </xf>
    <xf numFmtId="0" fontId="25" fillId="105" borderId="30" applyNumberFormat="0" applyProtection="0">
      <alignment horizontal="left" vertical="center" indent="1"/>
    </xf>
    <xf numFmtId="0" fontId="125" fillId="120" borderId="59" applyNumberFormat="0" applyAlignment="0" applyProtection="0"/>
    <xf numFmtId="0" fontId="88" fillId="102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4" fontId="43" fillId="64" borderId="79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0" fontId="25" fillId="107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90" fillId="109" borderId="37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88" fillId="102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86" fillId="67" borderId="30" applyNumberFormat="0" applyProtection="0">
      <alignment horizontal="right" vertical="center"/>
    </xf>
    <xf numFmtId="4" fontId="85" fillId="10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88" fillId="10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8" fillId="104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86" fillId="72" borderId="86" applyNumberFormat="0" applyProtection="0">
      <alignment vertical="center"/>
    </xf>
    <xf numFmtId="4" fontId="85" fillId="72" borderId="79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79" applyNumberFormat="0" applyProtection="0">
      <alignment vertical="center"/>
    </xf>
    <xf numFmtId="4" fontId="43" fillId="72" borderId="83" applyNumberFormat="0" applyProtection="0">
      <alignment vertical="center"/>
    </xf>
    <xf numFmtId="4" fontId="88" fillId="108" borderId="83" applyNumberFormat="0" applyProtection="0">
      <alignment vertical="center"/>
    </xf>
    <xf numFmtId="4" fontId="43" fillId="72" borderId="79" applyNumberFormat="0" applyProtection="0">
      <alignment vertical="center"/>
    </xf>
    <xf numFmtId="4" fontId="43" fillId="72" borderId="79" applyNumberFormat="0" applyProtection="0">
      <alignment vertical="center"/>
    </xf>
    <xf numFmtId="4" fontId="38" fillId="62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15" fillId="71" borderId="84" applyBorder="0"/>
    <xf numFmtId="4" fontId="38" fillId="69" borderId="83" applyNumberFormat="0" applyProtection="0">
      <alignment vertical="center"/>
    </xf>
    <xf numFmtId="4" fontId="43" fillId="100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4" fillId="71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73" borderId="86"/>
    <xf numFmtId="4" fontId="43" fillId="96" borderId="83" applyNumberFormat="0" applyProtection="0">
      <alignment horizontal="right" vertical="center"/>
    </xf>
    <xf numFmtId="4" fontId="4" fillId="71" borderId="37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39" fillId="99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8" fillId="62" borderId="83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87" fillId="82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86" fillId="54" borderId="30" applyNumberFormat="0" applyProtection="0">
      <alignment vertical="center"/>
    </xf>
    <xf numFmtId="4" fontId="85" fillId="54" borderId="79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79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36" fillId="54" borderId="83" applyNumberFormat="0" applyProtection="0">
      <alignment vertical="center"/>
    </xf>
    <xf numFmtId="4" fontId="43" fillId="0" borderId="83" applyNumberFormat="0" applyProtection="0">
      <alignment horizontal="left" vertical="center" indent="1"/>
    </xf>
    <xf numFmtId="0" fontId="84" fillId="0" borderId="11">
      <alignment horizontal="center"/>
    </xf>
    <xf numFmtId="0" fontId="4" fillId="4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101" borderId="30" applyNumberFormat="0" applyProtection="0">
      <alignment horizontal="left" vertical="center" indent="1"/>
    </xf>
    <xf numFmtId="0" fontId="81" fillId="79" borderId="79" applyNumberFormat="0" applyAlignment="0" applyProtection="0"/>
    <xf numFmtId="0" fontId="81" fillId="79" borderId="79" applyNumberForma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73" borderId="86"/>
    <xf numFmtId="4" fontId="38" fillId="64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37" fillId="54" borderId="83" applyNumberFormat="0" applyProtection="0">
      <alignment vertical="center"/>
    </xf>
    <xf numFmtId="0" fontId="25" fillId="105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36" fillId="54" borderId="83" applyNumberFormat="0" applyProtection="0">
      <alignment vertical="center"/>
    </xf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0" fontId="4" fillId="106" borderId="79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81" fillId="79" borderId="79" applyNumberFormat="0" applyAlignment="0" applyProtection="0"/>
    <xf numFmtId="4" fontId="39" fillId="82" borderId="83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86" fillId="54" borderId="30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73" fillId="49" borderId="30" applyNumberFormat="0" applyAlignment="0" applyProtection="0"/>
    <xf numFmtId="0" fontId="73" fillId="49" borderId="30" applyNumberFormat="0" applyAlignment="0" applyProtection="0"/>
    <xf numFmtId="4" fontId="25" fillId="85" borderId="30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43" fillId="101" borderId="83" applyNumberFormat="0" applyProtection="0">
      <alignment horizontal="right" vertical="center"/>
    </xf>
    <xf numFmtId="0" fontId="60" fillId="79" borderId="30" applyNumberFormat="0" applyAlignment="0" applyProtection="0"/>
    <xf numFmtId="0" fontId="60" fillId="79" borderId="30" applyNumberFormat="0" applyAlignment="0" applyProtection="0"/>
    <xf numFmtId="0" fontId="4" fillId="68" borderId="83" applyNumberFormat="0" applyProtection="0">
      <alignment horizontal="left" vertical="top" indent="1"/>
    </xf>
    <xf numFmtId="4" fontId="38" fillId="59" borderId="83" applyNumberFormat="0" applyProtection="0">
      <alignment horizontal="right" vertical="center"/>
    </xf>
    <xf numFmtId="0" fontId="25" fillId="48" borderId="30" applyNumberFormat="0" applyFont="0" applyAlignment="0" applyProtection="0"/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36" fillId="54" borderId="83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60" fillId="79" borderId="30" applyNumberFormat="0" applyAlignment="0" applyProtection="0"/>
    <xf numFmtId="4" fontId="39" fillId="82" borderId="83" applyNumberFormat="0" applyProtection="0">
      <alignment vertical="center"/>
    </xf>
    <xf numFmtId="4" fontId="91" fillId="100" borderId="79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61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4" fontId="43" fillId="0" borderId="79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25" fillId="48" borderId="30" applyNumberFormat="0" applyFont="0" applyAlignment="0" applyProtection="0"/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9" fontId="95" fillId="110" borderId="39"/>
    <xf numFmtId="4" fontId="92" fillId="70" borderId="30" applyNumberFormat="0" applyProtection="0">
      <alignment horizontal="right" vertical="center"/>
    </xf>
    <xf numFmtId="0" fontId="25" fillId="73" borderId="86"/>
    <xf numFmtId="0" fontId="25" fillId="73" borderId="86"/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130" fillId="0" borderId="51" applyFill="0" applyBorder="0" applyProtection="0">
      <alignment horizontal="left" vertical="top"/>
    </xf>
    <xf numFmtId="0" fontId="4" fillId="4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15" fillId="71" borderId="84" applyBorder="0"/>
    <xf numFmtId="0" fontId="4" fillId="0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35" fillId="0" borderId="40" applyNumberFormat="0" applyFill="0" applyAlignment="0" applyProtection="0"/>
    <xf numFmtId="4" fontId="91" fillId="101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0" fontId="25" fillId="73" borderId="86"/>
    <xf numFmtId="0" fontId="25" fillId="70" borderId="63" applyNumberFormat="0">
      <protection locked="0"/>
    </xf>
    <xf numFmtId="4" fontId="25" fillId="0" borderId="30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88" fillId="108" borderId="83" applyNumberFormat="0" applyProtection="0">
      <alignment vertical="center"/>
    </xf>
    <xf numFmtId="4" fontId="91" fillId="101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0" fontId="35" fillId="0" borderId="40" applyNumberFormat="0" applyFill="0" applyAlignment="0" applyProtection="0"/>
    <xf numFmtId="4" fontId="25" fillId="89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55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0" borderId="83" applyNumberFormat="0" applyProtection="0">
      <alignment horizontal="right" vertical="center"/>
    </xf>
    <xf numFmtId="4" fontId="38" fillId="69" borderId="83" applyNumberFormat="0" applyProtection="0">
      <alignment vertical="center"/>
    </xf>
    <xf numFmtId="4" fontId="25" fillId="88" borderId="37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9" fillId="69" borderId="83" applyNumberFormat="0" applyProtection="0">
      <alignment horizontal="right" vertical="center"/>
    </xf>
    <xf numFmtId="0" fontId="25" fillId="73" borderId="86"/>
    <xf numFmtId="4" fontId="48" fillId="68" borderId="85" applyNumberFormat="0" applyProtection="0">
      <alignment horizontal="left" vertical="center" indent="1"/>
    </xf>
    <xf numFmtId="4" fontId="38" fillId="58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6" fillId="66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4" fontId="38" fillId="69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25" fillId="98" borderId="37" applyNumberFormat="0" applyProtection="0">
      <alignment horizontal="left" vertical="center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0" fontId="73" fillId="49" borderId="30" applyNumberFormat="0" applyAlignment="0" applyProtection="0"/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6" fillId="54" borderId="83" applyNumberFormat="0" applyProtection="0">
      <alignment vertical="center"/>
    </xf>
    <xf numFmtId="4" fontId="43" fillId="97" borderId="79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88" borderId="83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0" fontId="25" fillId="73" borderId="86"/>
    <xf numFmtId="0" fontId="25" fillId="101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79" applyNumberFormat="0" applyProtection="0">
      <alignment vertical="center"/>
    </xf>
    <xf numFmtId="4" fontId="25" fillId="98" borderId="37" applyNumberFormat="0" applyProtection="0">
      <alignment horizontal="left" vertical="center" indent="1"/>
    </xf>
    <xf numFmtId="0" fontId="60" fillId="79" borderId="30" applyNumberFormat="0" applyAlignment="0" applyProtection="0"/>
    <xf numFmtId="4" fontId="43" fillId="100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7" applyNumberFormat="0" applyProtection="0">
      <alignment horizontal="right" vertical="center"/>
    </xf>
    <xf numFmtId="4" fontId="43" fillId="54" borderId="79" applyNumberFormat="0" applyProtection="0">
      <alignment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93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9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25" fillId="73" borderId="86"/>
    <xf numFmtId="43" fontId="4" fillId="0" borderId="0" applyFont="0" applyFill="0" applyBorder="0" applyAlignment="0" applyProtection="0"/>
    <xf numFmtId="0" fontId="4" fillId="0" borderId="0"/>
    <xf numFmtId="0" fontId="4" fillId="106" borderId="79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9" applyNumberFormat="0" applyAlignment="0" applyProtection="0"/>
    <xf numFmtId="0" fontId="62" fillId="77" borderId="59" applyNumberFormat="0" applyAlignment="0" applyProtection="0"/>
    <xf numFmtId="44" fontId="2" fillId="0" borderId="0" applyFont="0" applyFill="0" applyBorder="0" applyAlignment="0" applyProtection="0"/>
    <xf numFmtId="4" fontId="91" fillId="101" borderId="83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83" applyNumberFormat="0" applyProtection="0">
      <alignment horizontal="right" vertical="center"/>
    </xf>
    <xf numFmtId="4" fontId="38" fillId="54" borderId="83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83" applyNumberFormat="0" applyProtection="0">
      <alignment vertical="center"/>
    </xf>
    <xf numFmtId="0" fontId="25" fillId="73" borderId="86"/>
    <xf numFmtId="0" fontId="4" fillId="0" borderId="0"/>
    <xf numFmtId="0" fontId="25" fillId="107" borderId="30" applyNumberFormat="0" applyProtection="0">
      <alignment horizontal="left" vertical="center" indent="1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43" fillId="104" borderId="79" applyNumberFormat="0" applyAlignment="0" applyProtection="0"/>
    <xf numFmtId="0" fontId="143" fillId="104" borderId="79" applyNumberFormat="0" applyAlignment="0" applyProtection="0"/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149" fillId="125" borderId="60" applyBorder="0" applyProtection="0">
      <alignment horizontal="centerContinuous" vertical="center"/>
    </xf>
    <xf numFmtId="0" fontId="4" fillId="55" borderId="83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0" borderId="0"/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72">
      <alignment horizontal="right"/>
    </xf>
    <xf numFmtId="0" fontId="139" fillId="0" borderId="72">
      <alignment horizontal="left"/>
    </xf>
    <xf numFmtId="0" fontId="84" fillId="0" borderId="72">
      <alignment horizontal="center"/>
    </xf>
    <xf numFmtId="9" fontId="4" fillId="0" borderId="0" applyFont="0" applyFill="0" applyBorder="0" applyAlignment="0" applyProtection="0"/>
    <xf numFmtId="0" fontId="4" fillId="4" borderId="79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86" applyNumberFormat="0" applyProtection="0">
      <alignment vertical="center"/>
    </xf>
    <xf numFmtId="4" fontId="36" fillId="65" borderId="6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81" applyBorder="0" applyProtection="0">
      <alignment horizontal="right" vertical="center"/>
    </xf>
    <xf numFmtId="0" fontId="149" fillId="125" borderId="81" applyBorder="0" applyProtection="0">
      <alignment horizontal="centerContinuous" vertical="center"/>
    </xf>
    <xf numFmtId="0" fontId="139" fillId="0" borderId="72">
      <alignment horizontal="right"/>
    </xf>
    <xf numFmtId="0" fontId="4" fillId="0" borderId="0"/>
    <xf numFmtId="4" fontId="48" fillId="68" borderId="85" applyNumberFormat="0" applyProtection="0">
      <alignment horizontal="left" vertical="center" indent="1"/>
    </xf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0" fontId="25" fillId="73" borderId="86"/>
    <xf numFmtId="4" fontId="91" fillId="100" borderId="79" applyNumberFormat="0" applyProtection="0">
      <alignment horizontal="right" vertical="center"/>
    </xf>
    <xf numFmtId="4" fontId="92" fillId="70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0" fontId="73" fillId="49" borderId="30" applyNumberFormat="0" applyAlignment="0" applyProtection="0"/>
    <xf numFmtId="4" fontId="25" fillId="83" borderId="30" applyNumberFormat="0" applyProtection="0">
      <alignment horizontal="left" vertical="center" indent="1"/>
    </xf>
    <xf numFmtId="49" fontId="95" fillId="110" borderId="39"/>
    <xf numFmtId="0" fontId="4" fillId="69" borderId="83" applyNumberFormat="0" applyProtection="0">
      <alignment horizontal="left" vertical="center" indent="1"/>
    </xf>
    <xf numFmtId="0" fontId="93" fillId="67" borderId="39">
      <protection locked="0"/>
    </xf>
    <xf numFmtId="0" fontId="25" fillId="102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4" fontId="38" fillId="69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36" fillId="65" borderId="62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4" fontId="43" fillId="103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87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0" fontId="25" fillId="104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38" fillId="63" borderId="83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0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4" fontId="85" fillId="54" borderId="79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0" fontId="73" fillId="49" borderId="30" applyNumberFormat="0" applyAlignment="0" applyProtection="0"/>
    <xf numFmtId="4" fontId="25" fillId="86" borderId="30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0" fontId="93" fillId="67" borderId="39">
      <protection locked="0"/>
    </xf>
    <xf numFmtId="0" fontId="60" fillId="79" borderId="30" applyNumberFormat="0" applyAlignment="0" applyProtection="0"/>
    <xf numFmtId="0" fontId="25" fillId="48" borderId="30" applyNumberFormat="0" applyFont="0" applyAlignment="0" applyProtection="0"/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25" fillId="89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25" fillId="73" borderId="86"/>
    <xf numFmtId="0" fontId="25" fillId="73" borderId="86"/>
    <xf numFmtId="4" fontId="48" fillId="68" borderId="85" applyNumberFormat="0" applyProtection="0">
      <alignment horizontal="left" vertical="center" indent="1"/>
    </xf>
    <xf numFmtId="4" fontId="86" fillId="67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0" fontId="88" fillId="10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72" borderId="79" applyNumberFormat="0" applyProtection="0">
      <alignment vertical="center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43" fillId="100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5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4" fontId="25" fillId="89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88" fillId="10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1" borderId="83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25" fillId="86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25" fillId="71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94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0" fontId="25" fillId="73" borderId="86"/>
    <xf numFmtId="4" fontId="25" fillId="92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9" fontId="95" fillId="110" borderId="39"/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149" fillId="125" borderId="81" applyBorder="0" applyProtection="0">
      <alignment horizontal="centerContinuous" vertical="center"/>
    </xf>
    <xf numFmtId="0" fontId="25" fillId="101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8" fillId="57" borderId="83" applyNumberFormat="0" applyProtection="0">
      <alignment horizontal="right" vertical="center"/>
    </xf>
    <xf numFmtId="4" fontId="36" fillId="54" borderId="83" applyNumberFormat="0" applyProtection="0">
      <alignment vertical="center"/>
    </xf>
    <xf numFmtId="0" fontId="4" fillId="106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85" fillId="54" borderId="79" applyNumberFormat="0" applyProtection="0">
      <alignment vertical="center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125" fillId="120" borderId="59" applyNumberFormat="0" applyAlignment="0" applyProtection="0"/>
    <xf numFmtId="4" fontId="43" fillId="72" borderId="83" applyNumberFormat="0" applyProtection="0">
      <alignment vertical="center"/>
    </xf>
    <xf numFmtId="4" fontId="25" fillId="82" borderId="30" applyNumberFormat="0" applyProtection="0">
      <alignment vertical="center"/>
    </xf>
    <xf numFmtId="0" fontId="4" fillId="68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25" fillId="48" borderId="30" applyNumberFormat="0" applyFont="0" applyAlignment="0" applyProtection="0"/>
    <xf numFmtId="4" fontId="88" fillId="108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9">
      <protection locked="0"/>
    </xf>
    <xf numFmtId="0" fontId="25" fillId="73" borderId="86"/>
    <xf numFmtId="0" fontId="4" fillId="84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88" fillId="102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86" fillId="67" borderId="30" applyNumberFormat="0" applyProtection="0">
      <alignment horizontal="right" vertical="center"/>
    </xf>
    <xf numFmtId="4" fontId="85" fillId="10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86" fillId="72" borderId="86" applyNumberFormat="0" applyProtection="0">
      <alignment vertical="center"/>
    </xf>
    <xf numFmtId="4" fontId="85" fillId="72" borderId="79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79" applyNumberFormat="0" applyProtection="0">
      <alignment vertical="center"/>
    </xf>
    <xf numFmtId="4" fontId="43" fillId="72" borderId="83" applyNumberFormat="0" applyProtection="0">
      <alignment vertical="center"/>
    </xf>
    <xf numFmtId="4" fontId="88" fillId="108" borderId="83" applyNumberFormat="0" applyProtection="0">
      <alignment vertical="center"/>
    </xf>
    <xf numFmtId="4" fontId="43" fillId="72" borderId="79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87" fillId="82" borderId="83" applyNumberFormat="0" applyProtection="0">
      <alignment horizontal="left" vertical="top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4" fillId="84" borderId="79" applyNumberFormat="0" applyProtection="0">
      <alignment horizontal="left" vertical="center" indent="1"/>
    </xf>
    <xf numFmtId="0" fontId="35" fillId="0" borderId="40" applyNumberFormat="0" applyFill="0" applyAlignment="0" applyProtection="0"/>
    <xf numFmtId="4" fontId="38" fillId="57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90" borderId="30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57" borderId="79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73" fillId="49" borderId="30" applyNumberFormat="0" applyAlignment="0" applyProtection="0"/>
    <xf numFmtId="0" fontId="73" fillId="49" borderId="30" applyNumberFormat="0" applyAlignment="0" applyProtection="0"/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38" fillId="56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62" fillId="77" borderId="59" applyNumberFormat="0" applyAlignment="0" applyProtection="0"/>
    <xf numFmtId="0" fontId="62" fillId="77" borderId="59" applyNumberFormat="0" applyAlignment="0" applyProtection="0"/>
    <xf numFmtId="4" fontId="37" fillId="54" borderId="83" applyNumberFormat="0" applyProtection="0">
      <alignment vertical="center"/>
    </xf>
    <xf numFmtId="0" fontId="60" fillId="79" borderId="30" applyNumberFormat="0" applyAlignment="0" applyProtection="0"/>
    <xf numFmtId="0" fontId="60" fillId="79" borderId="30" applyNumberFormat="0" applyAlignment="0" applyProtection="0"/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43" fillId="85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43" fillId="57" borderId="79" applyNumberFormat="0" applyProtection="0">
      <alignment horizontal="right" vertical="center"/>
    </xf>
    <xf numFmtId="0" fontId="25" fillId="48" borderId="30" applyNumberFormat="0" applyFont="0" applyAlignment="0" applyProtection="0"/>
    <xf numFmtId="4" fontId="36" fillId="54" borderId="83" applyNumberFormat="0" applyProtection="0">
      <alignment vertical="center"/>
    </xf>
    <xf numFmtId="4" fontId="25" fillId="82" borderId="30" applyNumberFormat="0" applyProtection="0">
      <alignment vertical="center"/>
    </xf>
    <xf numFmtId="4" fontId="86" fillId="54" borderId="30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138" fillId="116" borderId="88" applyNumberFormat="0" applyAlignment="0" applyProtection="0"/>
    <xf numFmtId="0" fontId="138" fillId="116" borderId="88" applyNumberFormat="0" applyAlignment="0" applyProtection="0"/>
    <xf numFmtId="4" fontId="25" fillId="83" borderId="30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25" fillId="85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43" fillId="88" borderId="83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0" fontId="25" fillId="101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" fillId="71" borderId="37" applyNumberFormat="0" applyProtection="0">
      <alignment horizontal="left" vertical="center" indent="1"/>
    </xf>
    <xf numFmtId="0" fontId="25" fillId="70" borderId="63" applyNumberFormat="0">
      <protection locked="0"/>
    </xf>
    <xf numFmtId="0" fontId="4" fillId="55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38" fillId="69" borderId="83" applyNumberFormat="0" applyProtection="0">
      <alignment vertical="center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54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48" borderId="30" applyNumberFormat="0" applyFont="0" applyAlignment="0" applyProtection="0"/>
    <xf numFmtId="4" fontId="43" fillId="102" borderId="83" applyNumberFormat="0" applyProtection="0">
      <alignment horizontal="left" vertical="center" indent="1"/>
    </xf>
    <xf numFmtId="0" fontId="25" fillId="73" borderId="86"/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43" fillId="72" borderId="79" applyNumberFormat="0" applyProtection="0">
      <alignment vertical="center"/>
    </xf>
    <xf numFmtId="4" fontId="85" fillId="72" borderId="79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25" fillId="73" borderId="86"/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6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8" fontId="4" fillId="0" borderId="77" applyFont="0" applyFill="0" applyBorder="0" applyProtection="0">
      <alignment horizontal="right"/>
    </xf>
    <xf numFmtId="0" fontId="4" fillId="84" borderId="79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39" fillId="82" borderId="83" applyNumberFormat="0" applyProtection="0">
      <alignment vertical="center"/>
    </xf>
    <xf numFmtId="4" fontId="25" fillId="90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36" fillId="66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36" fillId="54" borderId="83" applyNumberFormat="0" applyProtection="0">
      <alignment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25" fillId="73" borderId="86"/>
    <xf numFmtId="0" fontId="4" fillId="4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4" fontId="43" fillId="63" borderId="79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4" fontId="38" fillId="69" borderId="83" applyNumberFormat="0" applyProtection="0">
      <alignment vertical="center"/>
    </xf>
    <xf numFmtId="0" fontId="25" fillId="102" borderId="83" applyNumberFormat="0" applyProtection="0">
      <alignment horizontal="left" vertical="top" indent="1"/>
    </xf>
    <xf numFmtId="4" fontId="25" fillId="102" borderId="37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0" fontId="124" fillId="104" borderId="88" applyNumberFormat="0" applyAlignment="0" applyProtection="0"/>
    <xf numFmtId="4" fontId="43" fillId="101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84" fillId="0" borderId="11">
      <alignment horizontal="center"/>
    </xf>
    <xf numFmtId="0" fontId="25" fillId="105" borderId="3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25" fillId="102" borderId="37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54" borderId="79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5" fillId="73" borderId="86"/>
    <xf numFmtId="0" fontId="25" fillId="105" borderId="30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4" fontId="4" fillId="71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4" fontId="38" fillId="62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25" fillId="96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92" fillId="70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91" fillId="100" borderId="79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39" fillId="99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100" borderId="38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25" fillId="73" borderId="86"/>
    <xf numFmtId="4" fontId="43" fillId="97" borderId="79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0" fontId="25" fillId="73" borderId="86"/>
    <xf numFmtId="4" fontId="43" fillId="96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25" fillId="73" borderId="86"/>
    <xf numFmtId="4" fontId="43" fillId="97" borderId="79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0" fontId="25" fillId="73" borderId="86"/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25" fillId="73" borderId="86"/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25" fillId="96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48" fillId="68" borderId="85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3" borderId="86"/>
    <xf numFmtId="0" fontId="4" fillId="69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35" fillId="0" borderId="40" applyNumberFormat="0" applyFill="0" applyAlignment="0" applyProtection="0"/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0" fontId="4" fillId="55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55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9" fontId="95" fillId="110" borderId="39"/>
    <xf numFmtId="0" fontId="4" fillId="55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0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62" fillId="77" borderId="59" applyNumberFormat="0" applyAlignment="0" applyProtection="0"/>
    <xf numFmtId="0" fontId="62" fillId="77" borderId="59" applyNumberFormat="0" applyAlignment="0" applyProtection="0"/>
    <xf numFmtId="0" fontId="39" fillId="54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39" fillId="98" borderId="62" applyNumberFormat="0" applyProtection="0">
      <alignment horizontal="left" vertical="center" indent="1"/>
    </xf>
    <xf numFmtId="0" fontId="149" fillId="125" borderId="81" applyBorder="0" applyProtection="0">
      <alignment horizontal="centerContinuous" vertical="center"/>
    </xf>
    <xf numFmtId="0" fontId="25" fillId="102" borderId="83" applyNumberFormat="0" applyProtection="0">
      <alignment horizontal="left" vertical="top" indent="1"/>
    </xf>
    <xf numFmtId="4" fontId="25" fillId="98" borderId="37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39" fillId="99" borderId="79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94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25" fillId="96" borderId="30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38" fillId="64" borderId="83" applyNumberFormat="0" applyProtection="0">
      <alignment horizontal="right" vertical="center"/>
    </xf>
    <xf numFmtId="4" fontId="37" fillId="54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25" fillId="73" borderId="86"/>
    <xf numFmtId="0" fontId="25" fillId="107" borderId="30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4" borderId="83" applyNumberFormat="0" applyProtection="0">
      <alignment horizontal="right" vertical="center"/>
    </xf>
    <xf numFmtId="0" fontId="25" fillId="10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43" fillId="0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25" fillId="104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0" fontId="25" fillId="101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0" fontId="25" fillId="101" borderId="30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88" borderId="83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4" fontId="43" fillId="93" borderId="79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7" fillId="54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123" fillId="0" borderId="87" applyFill="0" applyProtection="0">
      <alignment horizontal="right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4" fillId="0" borderId="79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0" fontId="43" fillId="68" borderId="83" applyNumberFormat="0" applyProtection="0">
      <alignment horizontal="left" vertical="top" indent="1"/>
    </xf>
    <xf numFmtId="49" fontId="95" fillId="110" borderId="39"/>
    <xf numFmtId="4" fontId="25" fillId="83" borderId="30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0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0" fontId="88" fillId="10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8" fillId="104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25" fillId="73" borderId="86"/>
    <xf numFmtId="0" fontId="25" fillId="70" borderId="63" applyNumberFormat="0">
      <protection locked="0"/>
    </xf>
    <xf numFmtId="4" fontId="25" fillId="102" borderId="37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100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10" fontId="25" fillId="72" borderId="86" applyNumberFormat="0" applyBorder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200" fontId="127" fillId="0" borderId="49">
      <alignment horizontal="right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79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36" fillId="54" borderId="83" applyNumberFormat="0" applyProtection="0">
      <alignment vertical="center"/>
    </xf>
    <xf numFmtId="0" fontId="73" fillId="49" borderId="30" applyNumberFormat="0" applyAlignment="0" applyProtection="0"/>
    <xf numFmtId="4" fontId="39" fillId="54" borderId="83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4" fontId="43" fillId="72" borderId="79" applyNumberFormat="0" applyProtection="0">
      <alignment vertical="center"/>
    </xf>
    <xf numFmtId="4" fontId="43" fillId="102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66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25" fillId="73" borderId="86"/>
    <xf numFmtId="4" fontId="38" fillId="62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0" fontId="25" fillId="107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49" fillId="69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25" fillId="102" borderId="37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43" fillId="56" borderId="79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3" fontId="127" fillId="0" borderId="82"/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25" fillId="96" borderId="30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4" fillId="69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6" borderId="30" applyNumberFormat="0" applyProtection="0">
      <alignment horizontal="right" vertical="center"/>
    </xf>
    <xf numFmtId="0" fontId="25" fillId="73" borderId="86"/>
    <xf numFmtId="4" fontId="25" fillId="90" borderId="30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39" fillId="0" borderId="80" applyNumberFormat="0" applyFill="0" applyAlignment="0" applyProtection="0"/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73" borderId="86"/>
    <xf numFmtId="4" fontId="25" fillId="0" borderId="30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0" fontId="25" fillId="70" borderId="63" applyNumberFormat="0">
      <protection locked="0"/>
    </xf>
    <xf numFmtId="4" fontId="25" fillId="83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4" fillId="55" borderId="83" applyNumberFormat="0" applyProtection="0">
      <alignment horizontal="left" vertical="center" indent="1"/>
    </xf>
    <xf numFmtId="195" fontId="148" fillId="0" borderId="60" applyBorder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0" fontId="149" fillId="125" borderId="60" applyBorder="0" applyProtection="0">
      <alignment horizontal="centerContinuous" vertical="center"/>
    </xf>
    <xf numFmtId="0" fontId="130" fillId="0" borderId="51" applyFill="0" applyBorder="0" applyProtection="0">
      <alignment horizontal="left" vertical="top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3" fontId="127" fillId="0" borderId="82"/>
    <xf numFmtId="0" fontId="4" fillId="68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25" fillId="85" borderId="30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90" fillId="109" borderId="37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81" fillId="79" borderId="79" applyNumberFormat="0" applyAlignment="0" applyProtection="0"/>
    <xf numFmtId="4" fontId="25" fillId="96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38" fillId="59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35" fillId="0" borderId="40" applyNumberFormat="0" applyFill="0" applyAlignment="0" applyProtection="0"/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139" fillId="0" borderId="11">
      <alignment horizontal="right"/>
    </xf>
    <xf numFmtId="0" fontId="139" fillId="0" borderId="11">
      <alignment horizontal="left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84" fillId="0" borderId="11">
      <alignment horizontal="center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43" fillId="95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0" fontId="4" fillId="68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0" fontId="25" fillId="73" borderId="86"/>
    <xf numFmtId="4" fontId="48" fillId="68" borderId="85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25" fillId="107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0" fontId="139" fillId="0" borderId="11">
      <alignment horizontal="right"/>
    </xf>
    <xf numFmtId="4" fontId="38" fillId="64" borderId="83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38" fillId="59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61" borderId="79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36" fillId="54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101" borderId="83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93" fillId="67" borderId="39">
      <protection locked="0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200" fontId="127" fillId="0" borderId="49">
      <alignment horizontal="right"/>
    </xf>
    <xf numFmtId="0" fontId="43" fillId="68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58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39" fillId="0" borderId="80" applyNumberFormat="0" applyFill="0" applyAlignment="0" applyProtection="0"/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9" fontId="95" fillId="110" borderId="39"/>
    <xf numFmtId="0" fontId="4" fillId="68" borderId="83" applyNumberFormat="0" applyProtection="0">
      <alignment horizontal="left" vertical="top" indent="1"/>
    </xf>
    <xf numFmtId="0" fontId="25" fillId="73" borderId="86"/>
    <xf numFmtId="4" fontId="43" fillId="85" borderId="83" applyNumberFormat="0" applyProtection="0">
      <alignment horizontal="right" vertical="center"/>
    </xf>
    <xf numFmtId="4" fontId="38" fillId="69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91" fillId="100" borderId="79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3" borderId="86"/>
    <xf numFmtId="0" fontId="4" fillId="69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25" fillId="96" borderId="30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0" borderId="79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25" fillId="70" borderId="63" applyNumberFormat="0">
      <protection locked="0"/>
    </xf>
    <xf numFmtId="4" fontId="25" fillId="83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" fillId="0" borderId="0"/>
    <xf numFmtId="4" fontId="43" fillId="72" borderId="79" applyNumberFormat="0" applyProtection="0">
      <alignment vertical="center"/>
    </xf>
    <xf numFmtId="0" fontId="25" fillId="107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81" fillId="79" borderId="79" applyNumberFormat="0" applyAlignment="0" applyProtection="0"/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94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25" fillId="89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43" fillId="96" borderId="83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73" fillId="49" borderId="30" applyNumberFormat="0" applyAlignment="0" applyProtection="0"/>
    <xf numFmtId="4" fontId="43" fillId="103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25" fillId="48" borderId="30" applyNumberFormat="0" applyFont="0" applyAlignment="0" applyProtection="0"/>
    <xf numFmtId="49" fontId="95" fillId="110" borderId="39"/>
    <xf numFmtId="0" fontId="25" fillId="48" borderId="30" applyNumberFormat="0" applyFont="0" applyAlignment="0" applyProtection="0"/>
    <xf numFmtId="4" fontId="43" fillId="54" borderId="79" applyNumberFormat="0" applyProtection="0">
      <alignment vertical="center"/>
    </xf>
    <xf numFmtId="0" fontId="35" fillId="0" borderId="40" applyNumberFormat="0" applyFill="0" applyAlignment="0" applyProtection="0"/>
    <xf numFmtId="4" fontId="43" fillId="72" borderId="83" applyNumberFormat="0" applyProtection="0">
      <alignment vertical="center"/>
    </xf>
    <xf numFmtId="4" fontId="36" fillId="66" borderId="85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0" fontId="25" fillId="107" borderId="30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91" fillId="101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5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39" fillId="0" borderId="80" applyNumberFormat="0" applyFill="0" applyAlignment="0" applyProtection="0"/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3" fillId="68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9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4" fontId="43" fillId="58" borderId="79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195" fontId="148" fillId="0" borderId="81" applyBorder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4" fontId="43" fillId="0" borderId="79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25" fillId="92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143" fillId="104" borderId="79" applyNumberFormat="0" applyAlignment="0" applyProtection="0"/>
    <xf numFmtId="0" fontId="4" fillId="68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0" fontId="123" fillId="0" borderId="87" applyFill="0" applyProtection="0">
      <alignment horizontal="right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4" fontId="116" fillId="54" borderId="83" applyNumberFormat="0" applyProtection="0">
      <alignment vertical="center"/>
    </xf>
    <xf numFmtId="0" fontId="4" fillId="68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25" fillId="48" borderId="30" applyNumberFormat="0" applyFont="0" applyAlignment="0" applyProtection="0"/>
    <xf numFmtId="0" fontId="25" fillId="102" borderId="83" applyNumberFormat="0" applyProtection="0">
      <alignment horizontal="left" vertical="top" indent="1"/>
    </xf>
    <xf numFmtId="4" fontId="36" fillId="66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101" borderId="83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85" fillId="101" borderId="83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124" fillId="104" borderId="88" applyNumberFormat="0" applyAlignment="0" applyProtection="0"/>
    <xf numFmtId="4" fontId="116" fillId="54" borderId="83" applyNumberFormat="0" applyProtection="0">
      <alignment vertical="center"/>
    </xf>
    <xf numFmtId="4" fontId="43" fillId="85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3" fontId="127" fillId="0" borderId="82"/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10" fontId="25" fillId="72" borderId="86" applyNumberFormat="0" applyBorder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87" fillId="82" borderId="83" applyNumberFormat="0" applyProtection="0">
      <alignment horizontal="left" vertical="top" indent="1"/>
    </xf>
    <xf numFmtId="200" fontId="127" fillId="0" borderId="49">
      <alignment horizontal="right"/>
    </xf>
    <xf numFmtId="4" fontId="25" fillId="83" borderId="3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63" borderId="79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4" fontId="85" fillId="72" borderId="79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25" fillId="73" borderId="86"/>
    <xf numFmtId="0" fontId="25" fillId="48" borderId="30" applyNumberFormat="0" applyFont="0" applyAlignment="0" applyProtection="0"/>
    <xf numFmtId="4" fontId="25" fillId="82" borderId="30" applyNumberFormat="0" applyProtection="0">
      <alignment vertical="center"/>
    </xf>
    <xf numFmtId="4" fontId="25" fillId="88" borderId="37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55" borderId="83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38" fillId="56" borderId="83" applyNumberFormat="0" applyProtection="0">
      <alignment horizontal="right" vertical="center"/>
    </xf>
    <xf numFmtId="4" fontId="43" fillId="5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25" fillId="89" borderId="30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89" borderId="30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79" applyNumberFormat="0" applyProtection="0">
      <alignment horizontal="left" vertical="center" indent="1"/>
    </xf>
    <xf numFmtId="0" fontId="73" fillId="49" borderId="30" applyNumberFormat="0" applyAlignment="0" applyProtection="0"/>
    <xf numFmtId="4" fontId="38" fillId="56" borderId="83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0" fontId="93" fillId="67" borderId="39">
      <protection locked="0"/>
    </xf>
    <xf numFmtId="4" fontId="25" fillId="95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3" fontId="127" fillId="0" borderId="82"/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25" fillId="85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88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25" fillId="73" borderId="86"/>
    <xf numFmtId="0" fontId="4" fillId="69" borderId="83" applyNumberFormat="0" applyProtection="0">
      <alignment horizontal="left" vertical="center" indent="1"/>
    </xf>
    <xf numFmtId="4" fontId="43" fillId="54" borderId="79" applyNumberFormat="0" applyProtection="0">
      <alignment vertical="center"/>
    </xf>
    <xf numFmtId="4" fontId="48" fillId="68" borderId="85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30" applyNumberFormat="0" applyProtection="0">
      <alignment vertical="center"/>
    </xf>
    <xf numFmtId="4" fontId="25" fillId="102" borderId="30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0" fontId="25" fillId="70" borderId="63" applyNumberFormat="0">
      <protection locked="0"/>
    </xf>
    <xf numFmtId="4" fontId="88" fillId="108" borderId="83" applyNumberFormat="0" applyProtection="0">
      <alignment vertical="center"/>
    </xf>
    <xf numFmtId="4" fontId="25" fillId="86" borderId="30" applyNumberFormat="0" applyProtection="0">
      <alignment horizontal="right" vertical="center"/>
    </xf>
    <xf numFmtId="0" fontId="130" fillId="0" borderId="51" applyFill="0" applyBorder="0" applyProtection="0">
      <alignment horizontal="left" vertical="top"/>
    </xf>
    <xf numFmtId="4" fontId="43" fillId="58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3" fontId="127" fillId="0" borderId="82"/>
    <xf numFmtId="4" fontId="25" fillId="85" borderId="30" applyNumberFormat="0" applyProtection="0">
      <alignment horizontal="right" vertical="center"/>
    </xf>
    <xf numFmtId="4" fontId="90" fillId="109" borderId="37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43" fillId="87" borderId="83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38" fillId="63" borderId="83" applyNumberFormat="0" applyProtection="0">
      <alignment horizontal="right" vertical="center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0" fontId="25" fillId="71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43" fillId="90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49" fillId="69" borderId="83" applyNumberFormat="0" applyProtection="0">
      <alignment horizontal="right" vertical="center"/>
    </xf>
    <xf numFmtId="0" fontId="25" fillId="73" borderId="86"/>
    <xf numFmtId="4" fontId="48" fillId="68" borderId="85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25" fillId="71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9" fontId="2" fillId="0" borderId="0" applyFont="0" applyFill="0" applyBorder="0" applyAlignment="0" applyProtection="0"/>
    <xf numFmtId="4" fontId="48" fillId="68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0" fontId="25" fillId="104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0" fontId="25" fillId="71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4" fontId="39" fillId="82" borderId="83" applyNumberFormat="0" applyProtection="0">
      <alignment vertical="center"/>
    </xf>
    <xf numFmtId="0" fontId="25" fillId="71" borderId="83" applyNumberFormat="0" applyProtection="0">
      <alignment horizontal="left" vertical="top" indent="1"/>
    </xf>
    <xf numFmtId="4" fontId="43" fillId="87" borderId="83" applyNumberFormat="0" applyProtection="0">
      <alignment horizontal="right" vertical="center"/>
    </xf>
    <xf numFmtId="0" fontId="43" fillId="108" borderId="89" applyNumberFormat="0" applyFont="0" applyAlignment="0" applyProtection="0"/>
    <xf numFmtId="0" fontId="4" fillId="66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9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36" fillId="54" borderId="83" applyNumberFormat="0" applyProtection="0">
      <alignment vertical="center"/>
    </xf>
    <xf numFmtId="4" fontId="43" fillId="0" borderId="83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8" borderId="79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39" fillId="99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25" fillId="101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54" borderId="79" applyNumberFormat="0" applyProtection="0">
      <alignment vertical="center"/>
    </xf>
    <xf numFmtId="0" fontId="60" fillId="79" borderId="30" applyNumberFormat="0" applyAlignment="0" applyProtection="0"/>
    <xf numFmtId="4" fontId="25" fillId="102" borderId="37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25" fillId="88" borderId="37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98" borderId="37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101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8" borderId="37" applyNumberFormat="0" applyProtection="0">
      <alignment horizontal="right" vertical="center"/>
    </xf>
    <xf numFmtId="0" fontId="25" fillId="73" borderId="86"/>
    <xf numFmtId="4" fontId="25" fillId="82" borderId="30" applyNumberFormat="0" applyProtection="0">
      <alignment vertical="center"/>
    </xf>
    <xf numFmtId="4" fontId="25" fillId="96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25" fillId="85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38" fillId="69" borderId="83" applyNumberFormat="0" applyProtection="0">
      <alignment vertical="center"/>
    </xf>
    <xf numFmtId="0" fontId="25" fillId="71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36" fillId="65" borderId="62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54" borderId="79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70" borderId="63" applyNumberFormat="0">
      <protection locked="0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4" fillId="68" borderId="83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91" fillId="100" borderId="79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9" applyNumberFormat="0" applyProtection="0">
      <alignment horizontal="left" vertical="center" indent="1"/>
    </xf>
    <xf numFmtId="0" fontId="149" fillId="125" borderId="60" applyBorder="0" applyProtection="0">
      <alignment horizontal="centerContinuous" vertical="center"/>
    </xf>
    <xf numFmtId="195" fontId="148" fillId="0" borderId="60" applyBorder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43" fillId="91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43" fillId="64" borderId="79" applyNumberFormat="0" applyProtection="0">
      <alignment horizontal="right" vertical="center"/>
    </xf>
    <xf numFmtId="4" fontId="88" fillId="104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0" fontId="60" fillId="79" borderId="30" applyNumberFormat="0" applyAlignment="0" applyProtection="0"/>
    <xf numFmtId="0" fontId="25" fillId="102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6" fillId="66" borderId="85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0" fontId="123" fillId="0" borderId="87" applyFill="0" applyProtection="0">
      <alignment horizontal="right"/>
    </xf>
    <xf numFmtId="4" fontId="25" fillId="94" borderId="30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90" fillId="109" borderId="37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25" fillId="98" borderId="37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48" fillId="68" borderId="85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25" fillId="73" borderId="86"/>
    <xf numFmtId="0" fontId="25" fillId="107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0" fontId="87" fillId="82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8" fillId="54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25" fillId="48" borderId="30" applyNumberFormat="0" applyFont="0" applyAlignment="0" applyProtection="0"/>
    <xf numFmtId="4" fontId="25" fillId="85" borderId="30" applyNumberFormat="0" applyProtection="0">
      <alignment horizontal="right" vertical="center"/>
    </xf>
    <xf numFmtId="4" fontId="25" fillId="54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60" fillId="79" borderId="30" applyNumberFormat="0" applyAlignment="0" applyProtection="0"/>
    <xf numFmtId="0" fontId="4" fillId="55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0" fontId="25" fillId="101" borderId="30" applyNumberFormat="0" applyProtection="0">
      <alignment horizontal="left" vertical="center" indent="1"/>
    </xf>
    <xf numFmtId="4" fontId="43" fillId="72" borderId="79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88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4" fontId="36" fillId="54" borderId="83" applyNumberFormat="0" applyProtection="0">
      <alignment vertical="center"/>
    </xf>
    <xf numFmtId="4" fontId="38" fillId="69" borderId="83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25" fillId="92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81" fillId="79" borderId="79" applyNumberFormat="0" applyAlignment="0" applyProtection="0"/>
    <xf numFmtId="4" fontId="43" fillId="54" borderId="79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85" fillId="54" borderId="79" applyNumberFormat="0" applyProtection="0">
      <alignment vertical="center"/>
    </xf>
    <xf numFmtId="4" fontId="37" fillId="54" borderId="83" applyNumberFormat="0" applyProtection="0">
      <alignment vertical="center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38" fillId="56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39" fillId="98" borderId="62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4" fillId="71" borderId="37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200" fontId="127" fillId="0" borderId="49">
      <alignment horizontal="right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86" fillId="72" borderId="86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88" fillId="104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93" fillId="67" borderId="39">
      <protection locked="0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38" fillId="69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72" borderId="79" applyNumberFormat="0" applyProtection="0">
      <alignment vertical="center"/>
    </xf>
    <xf numFmtId="0" fontId="25" fillId="101" borderId="30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39" fillId="8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25" fillId="88" borderId="37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0" fontId="15" fillId="71" borderId="84" applyBorder="0"/>
    <xf numFmtId="4" fontId="44" fillId="69" borderId="83" applyNumberFormat="0" applyProtection="0">
      <alignment vertical="center"/>
    </xf>
    <xf numFmtId="4" fontId="25" fillId="101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4" fontId="38" fillId="60" borderId="83" applyNumberFormat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4" fillId="106" borderId="79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25" fillId="73" borderId="86"/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6" fillId="54" borderId="83" applyNumberFormat="0" applyProtection="0">
      <alignment vertical="center"/>
    </xf>
    <xf numFmtId="4" fontId="25" fillId="95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36" fillId="65" borderId="62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0" fontId="25" fillId="107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4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38" fillId="56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25" fillId="70" borderId="63" applyNumberFormat="0">
      <protection locked="0"/>
    </xf>
    <xf numFmtId="0" fontId="4" fillId="84" borderId="79" applyNumberFormat="0" applyProtection="0">
      <alignment horizontal="left" vertical="center" indent="1"/>
    </xf>
    <xf numFmtId="0" fontId="124" fillId="104" borderId="88" applyNumberFormat="0" applyAlignment="0" applyProtection="0"/>
    <xf numFmtId="4" fontId="25" fillId="95" borderId="30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43" fillId="72" borderId="79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81" fillId="79" borderId="79" applyNumberFormat="0" applyAlignment="0" applyProtection="0"/>
    <xf numFmtId="4" fontId="25" fillId="88" borderId="37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143" fillId="104" borderId="79" applyNumberFormat="0" applyAlignment="0" applyProtection="0"/>
    <xf numFmtId="4" fontId="43" fillId="0" borderId="79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195" fontId="148" fillId="0" borderId="81" applyBorder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200" fontId="127" fillId="0" borderId="49">
      <alignment horizontal="right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8" borderId="37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8" fontId="4" fillId="0" borderId="77" applyFont="0" applyFill="0" applyBorder="0" applyProtection="0">
      <alignment horizontal="right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43" fillId="108" borderId="89" applyNumberFormat="0" applyFont="0" applyAlignment="0" applyProtection="0"/>
    <xf numFmtId="4" fontId="43" fillId="72" borderId="83" applyNumberFormat="0" applyProtection="0">
      <alignment horizontal="left" vertical="center" indent="1"/>
    </xf>
    <xf numFmtId="4" fontId="49" fillId="69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15" fillId="71" borderId="84" applyBorder="0"/>
    <xf numFmtId="4" fontId="38" fillId="6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38" fillId="61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38" fillId="58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0" fontId="88" fillId="108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0" fontId="43" fillId="68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0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3" fillId="72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4" fillId="69" borderId="83" applyNumberFormat="0" applyProtection="0">
      <alignment vertical="center"/>
    </xf>
    <xf numFmtId="4" fontId="91" fillId="101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49" fillId="69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0" fontId="52" fillId="0" borderId="64" applyNumberFormat="0" applyFill="0" applyProtection="0">
      <alignment horizontal="center"/>
    </xf>
    <xf numFmtId="4" fontId="25" fillId="90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25" fillId="70" borderId="63" applyNumberFormat="0">
      <protection locked="0"/>
    </xf>
    <xf numFmtId="4" fontId="43" fillId="103" borderId="79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0" fontId="71" fillId="0" borderId="34" applyNumberFormat="0" applyFill="0" applyAlignment="0" applyProtection="0"/>
    <xf numFmtId="4" fontId="43" fillId="54" borderId="79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43" fillId="0" borderId="79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54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25" fillId="96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25" fillId="73" borderId="86"/>
    <xf numFmtId="0" fontId="39" fillId="54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86" fillId="67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0" fontId="81" fillId="79" borderId="79" applyNumberFormat="0" applyAlignment="0" applyProtection="0"/>
    <xf numFmtId="4" fontId="39" fillId="82" borderId="83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43" fillId="87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0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0" borderId="79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0" fontId="130" fillId="0" borderId="51" applyFill="0" applyBorder="0" applyProtection="0">
      <alignment horizontal="left" vertical="top"/>
    </xf>
    <xf numFmtId="3" fontId="127" fillId="0" borderId="82"/>
    <xf numFmtId="0" fontId="25" fillId="101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138" fillId="116" borderId="88" applyNumberFormat="0" applyAlignment="0" applyProtection="0"/>
    <xf numFmtId="4" fontId="92" fillId="70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100" borderId="38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0" fontId="93" fillId="67" borderId="39">
      <protection locked="0"/>
    </xf>
    <xf numFmtId="49" fontId="95" fillId="110" borderId="39"/>
    <xf numFmtId="0" fontId="43" fillId="68" borderId="83" applyNumberFormat="0" applyProtection="0">
      <alignment horizontal="left" vertical="top" indent="1"/>
    </xf>
    <xf numFmtId="4" fontId="36" fillId="66" borderId="83" applyNumberFormat="0" applyProtection="0">
      <alignment horizontal="left" vertical="center" indent="1"/>
    </xf>
    <xf numFmtId="4" fontId="38" fillId="61" borderId="83" applyNumberFormat="0" applyProtection="0">
      <alignment horizontal="right" vertical="center"/>
    </xf>
    <xf numFmtId="0" fontId="25" fillId="73" borderId="86"/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25" fillId="73" borderId="86"/>
    <xf numFmtId="4" fontId="116" fillId="54" borderId="83" applyNumberFormat="0" applyProtection="0">
      <alignment vertical="center"/>
    </xf>
    <xf numFmtId="4" fontId="43" fillId="94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60" fillId="79" borderId="30" applyNumberFormat="0" applyAlignment="0" applyProtection="0"/>
    <xf numFmtId="4" fontId="25" fillId="90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4" fillId="55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25" fillId="70" borderId="63" applyNumberFormat="0">
      <protection locked="0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25" fillId="85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70" borderId="63" applyNumberFormat="0">
      <protection locked="0"/>
    </xf>
    <xf numFmtId="4" fontId="36" fillId="66" borderId="85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25" fillId="73" borderId="86"/>
    <xf numFmtId="4" fontId="25" fillId="102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71" fillId="0" borderId="34" applyNumberFormat="0" applyFill="0" applyAlignment="0" applyProtection="0"/>
    <xf numFmtId="4" fontId="43" fillId="103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39" fillId="99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39" fillId="98" borderId="62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25" fillId="71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25" fillId="102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64" borderId="79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" fillId="0" borderId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38" fillId="56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25" fillId="73" borderId="86"/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43" fillId="72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4" fontId="43" fillId="58" borderId="79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25" fillId="86" borderId="30" applyNumberFormat="0" applyProtection="0">
      <alignment horizontal="right" vertical="center"/>
    </xf>
    <xf numFmtId="0" fontId="25" fillId="48" borderId="30" applyNumberFormat="0" applyFont="0" applyAlignment="0" applyProtection="0"/>
    <xf numFmtId="4" fontId="43" fillId="85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130" fillId="0" borderId="51" applyFill="0" applyBorder="0" applyProtection="0">
      <alignment horizontal="left" vertical="top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43" fillId="0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30" applyNumberFormat="0" applyFont="0" applyAlignment="0" applyProtection="0"/>
    <xf numFmtId="4" fontId="25" fillId="5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38" fillId="69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35" fillId="0" borderId="40" applyNumberFormat="0" applyFill="0" applyAlignment="0" applyProtection="0"/>
    <xf numFmtId="0" fontId="25" fillId="104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89" borderId="30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85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25" fillId="73" borderId="86"/>
    <xf numFmtId="0" fontId="43" fillId="68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38" fillId="54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25" fillId="71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25" fillId="102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38" fillId="57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4" fontId="92" fillId="70" borderId="30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25" fillId="73" borderId="86"/>
    <xf numFmtId="0" fontId="25" fillId="101" borderId="30" applyNumberFormat="0" applyProtection="0">
      <alignment horizontal="left" vertical="center" indent="1"/>
    </xf>
    <xf numFmtId="4" fontId="43" fillId="100" borderId="38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25" fillId="54" borderId="30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3" fillId="97" borderId="79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25" fillId="73" borderId="86"/>
    <xf numFmtId="4" fontId="25" fillId="101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38" fillId="56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25" fillId="88" borderId="37" applyNumberFormat="0" applyProtection="0">
      <alignment horizontal="right" vertical="center"/>
    </xf>
    <xf numFmtId="200" fontId="127" fillId="0" borderId="49">
      <alignment horizontal="right"/>
    </xf>
    <xf numFmtId="4" fontId="43" fillId="88" borderId="83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25" fillId="107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71" fillId="0" borderId="34" applyNumberFormat="0" applyFill="0" applyAlignment="0" applyProtection="0"/>
    <xf numFmtId="0" fontId="43" fillId="68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4" fontId="85" fillId="100" borderId="79" applyNumberFormat="0" applyProtection="0">
      <alignment horizontal="right" vertical="center"/>
    </xf>
    <xf numFmtId="0" fontId="25" fillId="70" borderId="63" applyNumberFormat="0">
      <protection locked="0"/>
    </xf>
    <xf numFmtId="0" fontId="25" fillId="101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54" borderId="79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73" fillId="49" borderId="30" applyNumberFormat="0" applyAlignment="0" applyProtection="0"/>
    <xf numFmtId="0" fontId="25" fillId="70" borderId="63" applyNumberFormat="0">
      <protection locked="0"/>
    </xf>
    <xf numFmtId="0" fontId="25" fillId="70" borderId="63" applyNumberFormat="0">
      <protection locked="0"/>
    </xf>
    <xf numFmtId="0" fontId="60" fillId="79" borderId="30" applyNumberFormat="0" applyAlignment="0" applyProtection="0"/>
    <xf numFmtId="0" fontId="25" fillId="104" borderId="30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0" borderId="30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43" fillId="102" borderId="83" applyNumberFormat="0" applyProtection="0">
      <alignment horizontal="right" vertical="center"/>
    </xf>
    <xf numFmtId="4" fontId="43" fillId="54" borderId="79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4" fontId="38" fillId="59" borderId="83" applyNumberFormat="0" applyProtection="0">
      <alignment horizontal="right" vertical="center"/>
    </xf>
    <xf numFmtId="4" fontId="39" fillId="82" borderId="83" applyNumberFormat="0" applyProtection="0">
      <alignment vertical="center"/>
    </xf>
    <xf numFmtId="0" fontId="43" fillId="108" borderId="89" applyNumberFormat="0" applyFont="0" applyAlignment="0" applyProtection="0"/>
    <xf numFmtId="0" fontId="88" fillId="102" borderId="83" applyNumberFormat="0" applyProtection="0">
      <alignment horizontal="left" vertical="top" indent="1"/>
    </xf>
    <xf numFmtId="4" fontId="43" fillId="0" borderId="83" applyNumberFormat="0" applyProtection="0">
      <alignment horizontal="left" vertical="center" indent="1"/>
    </xf>
    <xf numFmtId="0" fontId="4" fillId="0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4" fontId="44" fillId="69" borderId="83" applyNumberFormat="0" applyProtection="0">
      <alignment vertical="center"/>
    </xf>
    <xf numFmtId="4" fontId="49" fillId="69" borderId="83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4" fontId="38" fillId="59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6" fillId="66" borderId="85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86" fillId="67" borderId="30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0" fontId="25" fillId="48" borderId="30" applyNumberFormat="0" applyFont="0" applyAlignment="0" applyProtection="0"/>
    <xf numFmtId="4" fontId="43" fillId="88" borderId="83" applyNumberFormat="0" applyProtection="0">
      <alignment horizontal="right" vertical="center"/>
    </xf>
    <xf numFmtId="4" fontId="25" fillId="54" borderId="30" applyNumberFormat="0" applyProtection="0">
      <alignment horizontal="left" vertical="center" indent="1"/>
    </xf>
    <xf numFmtId="4" fontId="85" fillId="100" borderId="79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38" fillId="5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4" fillId="4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88" borderId="83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25" fillId="70" borderId="63" applyNumberFormat="0">
      <protection locked="0"/>
    </xf>
    <xf numFmtId="0" fontId="4" fillId="55" borderId="83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43" fillId="56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0" fontId="25" fillId="70" borderId="63" applyNumberFormat="0">
      <protection locked="0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0" fontId="87" fillId="82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43" fillId="72" borderId="79" applyNumberFormat="0" applyProtection="0">
      <alignment vertical="center"/>
    </xf>
    <xf numFmtId="4" fontId="39" fillId="82" borderId="83" applyNumberFormat="0" applyProtection="0">
      <alignment vertical="center"/>
    </xf>
    <xf numFmtId="0" fontId="15" fillId="71" borderId="84" applyBorder="0"/>
    <xf numFmtId="0" fontId="25" fillId="107" borderId="30" applyNumberFormat="0" applyProtection="0">
      <alignment horizontal="left" vertical="center" indent="1"/>
    </xf>
    <xf numFmtId="4" fontId="38" fillId="69" borderId="83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8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25" fillId="107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25" fillId="54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4" fontId="86" fillId="72" borderId="86" applyNumberFormat="0" applyProtection="0">
      <alignment vertical="center"/>
    </xf>
    <xf numFmtId="4" fontId="36" fillId="66" borderId="83" applyNumberFormat="0" applyProtection="0">
      <alignment horizontal="left" vertical="center" indent="1"/>
    </xf>
    <xf numFmtId="4" fontId="38" fillId="6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38" fillId="64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38" fillId="69" borderId="83" applyNumberFormat="0" applyProtection="0">
      <alignment horizontal="right" vertical="center"/>
    </xf>
    <xf numFmtId="4" fontId="36" fillId="66" borderId="85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0" fontId="25" fillId="73" borderId="86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0" fontId="138" fillId="116" borderId="88" applyNumberFormat="0" applyAlignment="0" applyProtection="0"/>
    <xf numFmtId="4" fontId="25" fillId="94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25" fillId="70" borderId="63" applyNumberFormat="0">
      <protection locked="0"/>
    </xf>
    <xf numFmtId="4" fontId="44" fillId="69" borderId="83" applyNumberFormat="0" applyProtection="0">
      <alignment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25" fillId="73" borderId="86"/>
    <xf numFmtId="0" fontId="39" fillId="54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" fillId="0" borderId="0"/>
    <xf numFmtId="0" fontId="39" fillId="0" borderId="80" applyNumberFormat="0" applyFill="0" applyAlignment="0" applyProtection="0"/>
    <xf numFmtId="4" fontId="25" fillId="90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0" fontId="43" fillId="108" borderId="89" applyNumberFormat="0" applyFont="0" applyAlignment="0" applyProtection="0"/>
    <xf numFmtId="0" fontId="25" fillId="48" borderId="30" applyNumberFormat="0" applyFont="0" applyAlignment="0" applyProtection="0"/>
    <xf numFmtId="4" fontId="39" fillId="54" borderId="83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25" fillId="102" borderId="37" applyNumberFormat="0" applyProtection="0">
      <alignment horizontal="left" vertical="center" indent="1"/>
    </xf>
    <xf numFmtId="0" fontId="25" fillId="48" borderId="30" applyNumberFormat="0" applyFont="0" applyAlignment="0" applyProtection="0"/>
    <xf numFmtId="4" fontId="25" fillId="54" borderId="30" applyNumberFormat="0" applyProtection="0">
      <alignment horizontal="left" vertical="center" indent="1"/>
    </xf>
    <xf numFmtId="4" fontId="85" fillId="54" borderId="79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86" fillId="72" borderId="86" applyNumberFormat="0" applyProtection="0">
      <alignment vertical="center"/>
    </xf>
    <xf numFmtId="4" fontId="43" fillId="72" borderId="79" applyNumberFormat="0" applyProtection="0">
      <alignment vertical="center"/>
    </xf>
    <xf numFmtId="0" fontId="25" fillId="101" borderId="30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25" fillId="101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25" fillId="104" borderId="30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38" fillId="60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37" fillId="54" borderId="83" applyNumberFormat="0" applyProtection="0">
      <alignment vertical="center"/>
    </xf>
    <xf numFmtId="4" fontId="25" fillId="10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36" fillId="66" borderId="83" applyNumberFormat="0" applyProtection="0">
      <alignment horizontal="left" vertical="center" indent="1"/>
    </xf>
    <xf numFmtId="0" fontId="88" fillId="102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90" fillId="109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93" fillId="67" borderId="39">
      <protection locked="0"/>
    </xf>
    <xf numFmtId="4" fontId="36" fillId="66" borderId="83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0" fontId="25" fillId="105" borderId="30" applyNumberFormat="0" applyProtection="0">
      <alignment horizontal="left" vertical="center" indent="1"/>
    </xf>
    <xf numFmtId="4" fontId="38" fillId="58" borderId="83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0" fontId="25" fillId="70" borderId="63" applyNumberFormat="0">
      <protection locked="0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25" fillId="54" borderId="30" applyNumberFormat="0" applyProtection="0">
      <alignment horizontal="left" vertical="center" indent="1"/>
    </xf>
    <xf numFmtId="4" fontId="48" fillId="68" borderId="85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71" fillId="0" borderId="34" applyNumberFormat="0" applyFill="0" applyAlignment="0" applyProtection="0"/>
    <xf numFmtId="0" fontId="73" fillId="49" borderId="30" applyNumberFormat="0" applyAlignment="0" applyProtection="0"/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25" fillId="88" borderId="37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87" borderId="83" applyNumberFormat="0" applyProtection="0">
      <alignment horizontal="right" vertical="center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25" fillId="88" borderId="37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83" applyNumberFormat="0" applyProtection="0">
      <alignment horizontal="left" vertical="top" indent="1"/>
    </xf>
    <xf numFmtId="4" fontId="25" fillId="86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25" fillId="73" borderId="86"/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10" fontId="25" fillId="72" borderId="86" applyNumberFormat="0" applyBorder="0" applyAlignment="0" applyProtection="0"/>
    <xf numFmtId="4" fontId="25" fillId="83" borderId="30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4" fontId="43" fillId="72" borderId="83" applyNumberFormat="0" applyProtection="0">
      <alignment vertical="center"/>
    </xf>
    <xf numFmtId="4" fontId="25" fillId="82" borderId="30" applyNumberFormat="0" applyProtection="0">
      <alignment vertical="center"/>
    </xf>
    <xf numFmtId="0" fontId="4" fillId="55" borderId="83" applyNumberFormat="0" applyProtection="0">
      <alignment horizontal="left" vertical="top" indent="1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4" fontId="25" fillId="82" borderId="30" applyNumberFormat="0" applyProtection="0">
      <alignment vertical="center"/>
    </xf>
    <xf numFmtId="0" fontId="4" fillId="103" borderId="79" applyNumberFormat="0" applyProtection="0">
      <alignment horizontal="left" vertical="center" indent="1"/>
    </xf>
    <xf numFmtId="4" fontId="25" fillId="86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4" fontId="38" fillId="58" borderId="83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0" fontId="25" fillId="71" borderId="83" applyNumberFormat="0" applyProtection="0">
      <alignment horizontal="left" vertical="top" indent="1"/>
    </xf>
    <xf numFmtId="4" fontId="25" fillId="101" borderId="37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39" fillId="98" borderId="62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97" borderId="79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43" fillId="97" borderId="79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39" fillId="99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8" fillId="64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90" fillId="109" borderId="37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62" fillId="77" borderId="59" applyNumberFormat="0" applyAlignment="0" applyProtection="0"/>
    <xf numFmtId="4" fontId="25" fillId="95" borderId="30" applyNumberFormat="0" applyProtection="0">
      <alignment horizontal="right" vertical="center"/>
    </xf>
    <xf numFmtId="0" fontId="62" fillId="77" borderId="59" applyNumberFormat="0" applyAlignment="0" applyProtection="0"/>
    <xf numFmtId="0" fontId="4" fillId="84" borderId="79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149" fillId="125" borderId="81" applyBorder="0" applyProtection="0">
      <alignment horizontal="centerContinuous" vertical="center"/>
    </xf>
    <xf numFmtId="4" fontId="25" fillId="83" borderId="30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3" borderId="86"/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25" fillId="73" borderId="86"/>
    <xf numFmtId="4" fontId="43" fillId="102" borderId="83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4" fontId="43" fillId="100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43" fillId="100" borderId="79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0" fontId="4" fillId="106" borderId="79" applyNumberFormat="0" applyProtection="0">
      <alignment horizontal="left" vertical="center" indent="1"/>
    </xf>
    <xf numFmtId="4" fontId="43" fillId="97" borderId="79" applyNumberFormat="0" applyProtection="0">
      <alignment horizontal="right" vertical="center"/>
    </xf>
    <xf numFmtId="4" fontId="43" fillId="100" borderId="79" applyNumberFormat="0" applyProtection="0">
      <alignment horizontal="left" vertical="center" indent="1"/>
    </xf>
    <xf numFmtId="0" fontId="62" fillId="77" borderId="59" applyNumberFormat="0" applyAlignment="0" applyProtection="0"/>
    <xf numFmtId="0" fontId="62" fillId="77" borderId="59" applyNumberFormat="0" applyAlignment="0" applyProtection="0"/>
    <xf numFmtId="0" fontId="39" fillId="54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4" fontId="25" fillId="102" borderId="30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4" fillId="106" borderId="79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73" borderId="86"/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25" fillId="70" borderId="63" applyNumberFormat="0">
      <protection locked="0"/>
    </xf>
    <xf numFmtId="0" fontId="25" fillId="70" borderId="63" applyNumberFormat="0">
      <protection locked="0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52" fillId="0" borderId="64" applyNumberFormat="0" applyFill="0" applyProtection="0">
      <alignment horizontal="center"/>
    </xf>
    <xf numFmtId="4" fontId="43" fillId="102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25" fillId="98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5" borderId="30" applyNumberFormat="0" applyProtection="0">
      <alignment horizontal="right" vertical="center"/>
    </xf>
    <xf numFmtId="4" fontId="25" fillId="82" borderId="30" applyNumberFormat="0" applyProtection="0">
      <alignment vertical="center"/>
    </xf>
    <xf numFmtId="0" fontId="25" fillId="48" borderId="30" applyNumberFormat="0" applyFont="0" applyAlignment="0" applyProtection="0"/>
    <xf numFmtId="4" fontId="43" fillId="56" borderId="79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0" fontId="25" fillId="107" borderId="30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0" fontId="4" fillId="68" borderId="83" applyNumberFormat="0" applyProtection="0">
      <alignment horizontal="left" vertical="top" indent="1"/>
    </xf>
    <xf numFmtId="4" fontId="88" fillId="104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4" fontId="38" fillId="69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43" fillId="0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25" fillId="88" borderId="37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0" fontId="123" fillId="0" borderId="87" applyFill="0" applyProtection="0">
      <alignment horizontal="right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8" fontId="4" fillId="0" borderId="77" applyFont="0" applyFill="0" applyBorder="0" applyProtection="0">
      <alignment horizontal="right"/>
    </xf>
    <xf numFmtId="0" fontId="125" fillId="120" borderId="59" applyNumberFormat="0" applyAlignment="0" applyProtection="0"/>
    <xf numFmtId="0" fontId="125" fillId="120" borderId="59" applyNumberFormat="0" applyAlignment="0" applyProtection="0"/>
    <xf numFmtId="0" fontId="25" fillId="73" borderId="86"/>
    <xf numFmtId="0" fontId="43" fillId="68" borderId="83" applyNumberFormat="0" applyProtection="0">
      <alignment horizontal="left" vertical="top" indent="1"/>
    </xf>
    <xf numFmtId="0" fontId="25" fillId="73" borderId="86"/>
    <xf numFmtId="4" fontId="85" fillId="10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85" fillId="72" borderId="79" applyNumberFormat="0" applyProtection="0">
      <alignment vertical="center"/>
    </xf>
    <xf numFmtId="4" fontId="43" fillId="72" borderId="79" applyNumberFormat="0" applyProtection="0">
      <alignment vertical="center"/>
    </xf>
    <xf numFmtId="4" fontId="88" fillId="108" borderId="83" applyNumberFormat="0" applyProtection="0">
      <alignment vertical="center"/>
    </xf>
    <xf numFmtId="4" fontId="43" fillId="72" borderId="79" applyNumberFormat="0" applyProtection="0">
      <alignment vertical="center"/>
    </xf>
    <xf numFmtId="0" fontId="25" fillId="70" borderId="63" applyNumberFormat="0">
      <protection locked="0"/>
    </xf>
    <xf numFmtId="0" fontId="25" fillId="70" borderId="63" applyNumberFormat="0">
      <protection locked="0"/>
    </xf>
    <xf numFmtId="4" fontId="91" fillId="101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0" fontId="4" fillId="4" borderId="79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5" borderId="30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4" fillId="71" borderId="37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25" fillId="85" borderId="30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0" fontId="87" fillId="82" borderId="83" applyNumberFormat="0" applyProtection="0">
      <alignment horizontal="left" vertical="top" indent="1"/>
    </xf>
    <xf numFmtId="4" fontId="43" fillId="54" borderId="79" applyNumberFormat="0" applyProtection="0">
      <alignment horizontal="left" vertical="center" indent="1"/>
    </xf>
    <xf numFmtId="10" fontId="25" fillId="72" borderId="86" applyNumberFormat="0" applyBorder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4" fontId="25" fillId="54" borderId="30" applyNumberFormat="0" applyProtection="0">
      <alignment horizontal="left" vertical="center" indent="1"/>
    </xf>
    <xf numFmtId="0" fontId="139" fillId="0" borderId="72">
      <alignment horizontal="right"/>
    </xf>
    <xf numFmtId="0" fontId="139" fillId="0" borderId="72">
      <alignment horizontal="left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200" fontId="127" fillId="0" borderId="49">
      <alignment horizontal="right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86" fillId="54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79" applyNumberFormat="0" applyProtection="0">
      <alignment vertical="center"/>
    </xf>
    <xf numFmtId="4" fontId="25" fillId="82" borderId="30" applyNumberFormat="0" applyProtection="0">
      <alignment vertical="center"/>
    </xf>
    <xf numFmtId="0" fontId="81" fillId="79" borderId="79" applyNumberFormat="0" applyAlignment="0" applyProtection="0"/>
    <xf numFmtId="0" fontId="81" fillId="79" borderId="79" applyNumberForma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4" fillId="69" borderId="83" applyNumberFormat="0" applyProtection="0">
      <alignment horizontal="left" vertical="top" indent="1"/>
    </xf>
    <xf numFmtId="4" fontId="25" fillId="82" borderId="30" applyNumberFormat="0" applyProtection="0">
      <alignment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2" fillId="0" borderId="0"/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43" fillId="104" borderId="79" applyNumberFormat="0" applyAlignment="0" applyProtection="0"/>
    <xf numFmtId="0" fontId="143" fillId="104" borderId="79" applyNumberFormat="0" applyAlignment="0" applyProtection="0"/>
    <xf numFmtId="195" fontId="148" fillId="0" borderId="81" applyBorder="0" applyProtection="0">
      <alignment horizontal="right" vertical="center"/>
    </xf>
    <xf numFmtId="0" fontId="84" fillId="0" borderId="72">
      <alignment horizontal="center"/>
    </xf>
    <xf numFmtId="0" fontId="84" fillId="0" borderId="72">
      <alignment horizontal="center"/>
    </xf>
    <xf numFmtId="0" fontId="84" fillId="0" borderId="72">
      <alignment horizont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3" fontId="127" fillId="0" borderId="82"/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0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63" borderId="79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83" fillId="121" borderId="75" applyNumberFormat="0" applyFont="0" applyAlignment="0" applyProtection="0"/>
    <xf numFmtId="4" fontId="25" fillId="98" borderId="37" applyNumberFormat="0" applyProtection="0">
      <alignment horizontal="left" vertical="center" indent="1"/>
    </xf>
    <xf numFmtId="4" fontId="4" fillId="71" borderId="37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130" fillId="0" borderId="51" applyFill="0" applyBorder="0" applyProtection="0">
      <alignment horizontal="left" vertical="top"/>
    </xf>
    <xf numFmtId="4" fontId="25" fillId="0" borderId="30" applyNumberFormat="0" applyProtection="0">
      <alignment horizontal="right"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3" fontId="127" fillId="0" borderId="82"/>
    <xf numFmtId="0" fontId="25" fillId="101" borderId="83" applyNumberFormat="0" applyProtection="0">
      <alignment horizontal="left" vertical="top" indent="1"/>
    </xf>
    <xf numFmtId="0" fontId="62" fillId="77" borderId="59" applyNumberFormat="0" applyAlignment="0" applyProtection="0"/>
    <xf numFmtId="0" fontId="25" fillId="101" borderId="83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72">
      <alignment horizontal="right"/>
    </xf>
    <xf numFmtId="4" fontId="91" fillId="101" borderId="83" applyNumberFormat="0" applyProtection="0">
      <alignment horizontal="right" vertical="center"/>
    </xf>
    <xf numFmtId="0" fontId="25" fillId="73" borderId="86"/>
    <xf numFmtId="4" fontId="25" fillId="83" borderId="30" applyNumberFormat="0" applyProtection="0">
      <alignment horizontal="left" vertical="center" indent="1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88" fillId="104" borderId="83" applyNumberFormat="0" applyProtection="0">
      <alignment horizontal="left" vertical="center" indent="1"/>
    </xf>
    <xf numFmtId="0" fontId="4" fillId="4" borderId="79" applyNumberFormat="0" applyProtection="0">
      <alignment horizontal="left" vertical="center" indent="1"/>
    </xf>
    <xf numFmtId="4" fontId="25" fillId="82" borderId="30" applyNumberFormat="0" applyProtection="0">
      <alignment vertical="center"/>
    </xf>
    <xf numFmtId="0" fontId="25" fillId="73" borderId="86"/>
    <xf numFmtId="4" fontId="91" fillId="101" borderId="83" applyNumberFormat="0" applyProtection="0">
      <alignment horizontal="right" vertical="center"/>
    </xf>
    <xf numFmtId="0" fontId="25" fillId="73" borderId="86"/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8" fontId="4" fillId="0" borderId="77" applyFont="0" applyFill="0" applyBorder="0" applyProtection="0">
      <alignment horizontal="right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4" fontId="25" fillId="94" borderId="30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0" fontId="25" fillId="73" borderId="86"/>
    <xf numFmtId="4" fontId="48" fillId="68" borderId="85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4" fontId="25" fillId="9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4" fillId="0" borderId="79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94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4" fontId="43" fillId="100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38" fillId="64" borderId="83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8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43" fillId="103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43" fillId="103" borderId="79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102" borderId="37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6" borderId="30" applyNumberFormat="0" applyProtection="0">
      <alignment horizontal="right" vertical="center"/>
    </xf>
    <xf numFmtId="4" fontId="25" fillId="96" borderId="30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25" fillId="98" borderId="37" applyNumberFormat="0" applyProtection="0">
      <alignment horizontal="left" vertical="center" indent="1"/>
    </xf>
    <xf numFmtId="4" fontId="43" fillId="97" borderId="79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25" fillId="95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4" fontId="36" fillId="65" borderId="62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25" fillId="70" borderId="63" applyNumberFormat="0">
      <protection locked="0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123" fillId="0" borderId="87" applyFill="0" applyProtection="0">
      <alignment horizontal="right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124" fillId="104" borderId="88" applyNumberFormat="0" applyAlignment="0" applyProtection="0"/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38" fillId="54" borderId="83" applyNumberFormat="0" applyProtection="0">
      <alignment horizontal="left" vertical="center" indent="1"/>
    </xf>
    <xf numFmtId="0" fontId="124" fillId="104" borderId="88" applyNumberFormat="0" applyAlignment="0" applyProtection="0"/>
    <xf numFmtId="0" fontId="43" fillId="72" borderId="83" applyNumberFormat="0" applyProtection="0">
      <alignment horizontal="left" vertical="top" indent="1"/>
    </xf>
    <xf numFmtId="0" fontId="124" fillId="104" borderId="88" applyNumberFormat="0" applyAlignment="0" applyProtection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0" fontId="25" fillId="105" borderId="30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2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25" fillId="88" borderId="37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10" fontId="25" fillId="72" borderId="86" applyNumberFormat="0" applyBorder="0" applyAlignment="0" applyProtection="0"/>
    <xf numFmtId="4" fontId="39" fillId="8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0" fontId="123" fillId="0" borderId="87" applyFill="0" applyProtection="0">
      <alignment horizontal="right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8" fontId="4" fillId="0" borderId="77" applyFont="0" applyFill="0" applyBorder="0" applyProtection="0">
      <alignment horizontal="right"/>
    </xf>
    <xf numFmtId="0" fontId="35" fillId="0" borderId="40" applyNumberFormat="0" applyFill="0" applyAlignment="0" applyProtection="0"/>
    <xf numFmtId="4" fontId="92" fillId="70" borderId="30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0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36" fillId="66" borderId="83" applyNumberFormat="0" applyProtection="0">
      <alignment horizontal="left" vertical="center" indent="1"/>
    </xf>
    <xf numFmtId="4" fontId="44" fillId="69" borderId="83" applyNumberFormat="0" applyProtection="0">
      <alignment horizontal="right" vertical="center"/>
    </xf>
    <xf numFmtId="4" fontId="86" fillId="67" borderId="30" applyNumberFormat="0" applyProtection="0">
      <alignment horizontal="right" vertical="center"/>
    </xf>
    <xf numFmtId="4" fontId="85" fillId="100" borderId="79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4" fontId="43" fillId="72" borderId="79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79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85" fillId="72" borderId="79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79" applyNumberFormat="0" applyProtection="0">
      <alignment vertical="center"/>
    </xf>
    <xf numFmtId="4" fontId="91" fillId="101" borderId="83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25" fillId="107" borderId="83" applyNumberFormat="0" applyProtection="0">
      <alignment horizontal="left" vertical="top" indent="1"/>
    </xf>
    <xf numFmtId="0" fontId="25" fillId="107" borderId="30" applyNumberFormat="0" applyProtection="0">
      <alignment horizontal="left" vertical="center" indent="1"/>
    </xf>
    <xf numFmtId="0" fontId="25" fillId="107" borderId="3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0" fontId="25" fillId="105" borderId="30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0" fontId="25" fillId="104" borderId="30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4" fontId="38" fillId="66" borderId="83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4" fontId="25" fillId="102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102" borderId="30" applyNumberFormat="0" applyProtection="0">
      <alignment horizontal="right" vertical="center"/>
    </xf>
    <xf numFmtId="4" fontId="43" fillId="63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43" fillId="93" borderId="79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2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43" fillId="91" borderId="79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25" fillId="90" borderId="30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43" fillId="61" borderId="79" applyNumberFormat="0" applyProtection="0">
      <alignment horizontal="right" vertical="center"/>
    </xf>
    <xf numFmtId="4" fontId="25" fillId="89" borderId="30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43" fillId="56" borderId="79" applyNumberFormat="0" applyProtection="0">
      <alignment horizontal="right" vertical="center"/>
    </xf>
    <xf numFmtId="4" fontId="25" fillId="88" borderId="37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43" fillId="57" borderId="79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5" borderId="30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4" fontId="25" fillId="83" borderId="30" applyNumberFormat="0" applyProtection="0">
      <alignment horizontal="left" vertical="center" indent="1"/>
    </xf>
    <xf numFmtId="0" fontId="138" fillId="116" borderId="88" applyNumberFormat="0" applyAlignment="0" applyProtection="0"/>
    <xf numFmtId="0" fontId="138" fillId="116" borderId="88" applyNumberFormat="0" applyAlignment="0" applyProtection="0"/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200" fontId="127" fillId="0" borderId="49">
      <alignment horizontal="right"/>
    </xf>
    <xf numFmtId="4" fontId="25" fillId="54" borderId="30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86" fillId="54" borderId="30" applyNumberFormat="0" applyProtection="0">
      <alignment vertical="center"/>
    </xf>
    <xf numFmtId="4" fontId="25" fillId="82" borderId="30" applyNumberFormat="0" applyProtection="0">
      <alignment vertical="center"/>
    </xf>
    <xf numFmtId="4" fontId="43" fillId="54" borderId="79" applyNumberFormat="0" applyProtection="0">
      <alignment vertical="center"/>
    </xf>
    <xf numFmtId="4" fontId="25" fillId="82" borderId="30" applyNumberFormat="0" applyProtection="0">
      <alignment vertical="center"/>
    </xf>
    <xf numFmtId="0" fontId="39" fillId="54" borderId="83" applyNumberFormat="0" applyProtection="0">
      <alignment horizontal="left" vertical="top" indent="1"/>
    </xf>
    <xf numFmtId="4" fontId="38" fillId="58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0" fontId="81" fillId="79" borderId="79" applyNumberFormat="0" applyAlignment="0" applyProtection="0"/>
    <xf numFmtId="0" fontId="81" fillId="79" borderId="79" applyNumberFormat="0" applyAlignment="0" applyProtection="0"/>
    <xf numFmtId="4" fontId="39" fillId="54" borderId="83" applyNumberFormat="0" applyProtection="0">
      <alignment horizontal="left" vertical="center" indent="1"/>
    </xf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25" fillId="48" borderId="30" applyNumberFormat="0" applyFont="0" applyAlignment="0" applyProtection="0"/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43" fillId="104" borderId="79" applyNumberFormat="0" applyAlignment="0" applyProtection="0"/>
    <xf numFmtId="0" fontId="143" fillId="104" borderId="79" applyNumberFormat="0" applyAlignment="0" applyProtection="0"/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3" fontId="127" fillId="0" borderId="2"/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5" borderId="30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93" fillId="67" borderId="39">
      <protection locked="0"/>
    </xf>
    <xf numFmtId="49" fontId="95" fillId="110" borderId="39"/>
    <xf numFmtId="0" fontId="130" fillId="0" borderId="51" applyFill="0" applyBorder="0" applyProtection="0">
      <alignment horizontal="left" vertical="top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3" fontId="127" fillId="0" borderId="82"/>
    <xf numFmtId="4" fontId="43" fillId="87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0" fontId="4" fillId="55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116" fillId="54" borderId="83" applyNumberFormat="0" applyProtection="0">
      <alignment vertical="center"/>
    </xf>
    <xf numFmtId="4" fontId="91" fillId="101" borderId="83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83" applyNumberFormat="0" applyProtection="0">
      <alignment horizontal="right" vertical="center"/>
    </xf>
    <xf numFmtId="0" fontId="88" fillId="102" borderId="83" applyNumberFormat="0" applyProtection="0">
      <alignment horizontal="left" vertical="top" indent="1"/>
    </xf>
    <xf numFmtId="4" fontId="25" fillId="0" borderId="30" applyNumberFormat="0" applyProtection="0">
      <alignment horizontal="right" vertical="center"/>
    </xf>
    <xf numFmtId="4" fontId="25" fillId="0" borderId="30" applyNumberFormat="0" applyProtection="0">
      <alignment horizontal="right" vertical="center"/>
    </xf>
    <xf numFmtId="0" fontId="88" fillId="108" borderId="83" applyNumberFormat="0" applyProtection="0">
      <alignment horizontal="left" vertical="top" indent="1"/>
    </xf>
    <xf numFmtId="0" fontId="25" fillId="107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9" fillId="69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4" fillId="69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4" fillId="69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25" fillId="92" borderId="30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58" borderId="79" applyNumberFormat="0" applyProtection="0">
      <alignment horizontal="right" vertical="center"/>
    </xf>
    <xf numFmtId="4" fontId="25" fillId="86" borderId="30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25" fillId="54" borderId="30" applyNumberFormat="0" applyProtection="0">
      <alignment horizontal="left" vertical="center" indent="1"/>
    </xf>
    <xf numFmtId="4" fontId="25" fillId="54" borderId="30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7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3" fillId="63" borderId="79" applyNumberFormat="0" applyProtection="0">
      <alignment horizontal="right" vertical="center"/>
    </xf>
    <xf numFmtId="0" fontId="43" fillId="108" borderId="89" applyNumberFormat="0" applyFont="0" applyAlignment="0" applyProtection="0"/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0" fontId="138" fillId="116" borderId="88" applyNumberFormat="0" applyAlignment="0" applyProtection="0"/>
    <xf numFmtId="4" fontId="43" fillId="54" borderId="79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4" fontId="43" fillId="93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0" fontId="124" fillId="104" borderId="88" applyNumberFormat="0" applyAlignment="0" applyProtection="0"/>
    <xf numFmtId="0" fontId="124" fillId="104" borderId="88" applyNumberFormat="0" applyAlignment="0" applyProtection="0"/>
    <xf numFmtId="0" fontId="123" fillId="0" borderId="87" applyFill="0" applyProtection="0">
      <alignment horizontal="right"/>
    </xf>
    <xf numFmtId="4" fontId="25" fillId="94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25" fillId="94" borderId="30" applyNumberFormat="0" applyProtection="0">
      <alignment horizontal="right" vertical="center"/>
    </xf>
    <xf numFmtId="4" fontId="49" fillId="69" borderId="83" applyNumberFormat="0" applyProtection="0">
      <alignment horizontal="right" vertical="center"/>
    </xf>
    <xf numFmtId="4" fontId="48" fillId="68" borderId="85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4" fontId="44" fillId="69" borderId="83" applyNumberFormat="0" applyProtection="0">
      <alignment horizontal="right" vertical="center"/>
    </xf>
    <xf numFmtId="4" fontId="38" fillId="69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36" fillId="66" borderId="85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4" fontId="38" fillId="62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59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8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8" fillId="54" borderId="83" applyNumberFormat="0" applyProtection="0">
      <alignment horizontal="left" vertical="center" indent="1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44" fontId="2" fillId="0" borderId="0" applyFont="0" applyFill="0" applyBorder="0" applyAlignment="0" applyProtection="0"/>
    <xf numFmtId="4" fontId="25" fillId="9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25" fillId="94" borderId="30" applyNumberFormat="0" applyProtection="0">
      <alignment horizontal="right" vertical="center"/>
    </xf>
    <xf numFmtId="4" fontId="43" fillId="64" borderId="79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25" fillId="83" borderId="30" applyNumberFormat="0" applyProtection="0">
      <alignment horizontal="left" vertical="center" indent="1"/>
    </xf>
    <xf numFmtId="4" fontId="25" fillId="95" borderId="30" applyNumberFormat="0" applyProtection="0">
      <alignment horizontal="right"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25" fillId="83" borderId="30" applyNumberFormat="0" applyProtection="0">
      <alignment horizontal="left" vertical="center" indent="1"/>
    </xf>
    <xf numFmtId="200" fontId="127" fillId="0" borderId="49">
      <alignment horizontal="right"/>
    </xf>
    <xf numFmtId="0" fontId="4" fillId="66" borderId="83" applyNumberFormat="0" applyProtection="0">
      <alignment horizontal="left" vertical="center" indent="1"/>
    </xf>
    <xf numFmtId="0" fontId="138" fillId="116" borderId="88" applyNumberFormat="0" applyAlignment="0" applyProtection="0"/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96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51" applyFill="0" applyBorder="0" applyProtection="0">
      <alignment horizontal="left" vertical="top"/>
    </xf>
    <xf numFmtId="4" fontId="43" fillId="92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200" fontId="127" fillId="0" borderId="49">
      <alignment horizontal="right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0" fontId="39" fillId="54" borderId="83" applyNumberFormat="0" applyProtection="0">
      <alignment horizontal="left" vertical="top" indent="1"/>
    </xf>
    <xf numFmtId="4" fontId="39" fillId="54" borderId="83" applyNumberFormat="0" applyProtection="0">
      <alignment horizontal="left" vertical="center" indent="1"/>
    </xf>
    <xf numFmtId="0" fontId="143" fillId="104" borderId="79" applyNumberFormat="0" applyAlignment="0" applyProtection="0"/>
    <xf numFmtId="0" fontId="143" fillId="104" borderId="79" applyNumberFormat="0" applyAlignment="0" applyProtection="0"/>
    <xf numFmtId="4" fontId="39" fillId="54" borderId="83" applyNumberFormat="0" applyProtection="0">
      <alignment horizontal="left" vertical="center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3" fillId="108" borderId="89" applyNumberFormat="0" applyFont="0" applyAlignment="0" applyProtection="0"/>
    <xf numFmtId="0" fontId="138" fillId="116" borderId="88" applyNumberFormat="0" applyAlignment="0" applyProtection="0"/>
    <xf numFmtId="4" fontId="44" fillId="69" borderId="83" applyNumberFormat="0" applyProtection="0">
      <alignment horizontal="right" vertical="center"/>
    </xf>
    <xf numFmtId="4" fontId="36" fillId="66" borderId="85" applyNumberFormat="0" applyProtection="0">
      <alignment horizontal="left" vertical="center" indent="1"/>
    </xf>
    <xf numFmtId="4" fontId="38" fillId="69" borderId="83" applyNumberFormat="0" applyProtection="0">
      <alignment vertical="center"/>
    </xf>
    <xf numFmtId="0" fontId="15" fillId="71" borderId="84" applyBorder="0"/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4" fontId="38" fillId="6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38" fillId="57" borderId="83" applyNumberFormat="0" applyProtection="0">
      <alignment horizontal="right" vertical="center"/>
    </xf>
    <xf numFmtId="4" fontId="38" fillId="56" borderId="83" applyNumberFormat="0" applyProtection="0">
      <alignment horizontal="right" vertical="center"/>
    </xf>
    <xf numFmtId="4" fontId="37" fillId="54" borderId="83" applyNumberFormat="0" applyProtection="0">
      <alignment vertical="center"/>
    </xf>
    <xf numFmtId="4" fontId="36" fillId="54" borderId="83" applyNumberFormat="0" applyProtection="0">
      <alignment vertical="center"/>
    </xf>
    <xf numFmtId="0" fontId="39" fillId="0" borderId="80" applyNumberFormat="0" applyFill="0" applyAlignment="0" applyProtection="0"/>
    <xf numFmtId="0" fontId="39" fillId="0" borderId="80" applyNumberFormat="0" applyFill="0" applyAlignment="0" applyProtection="0"/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" fillId="68" borderId="83" applyNumberFormat="0" applyProtection="0">
      <alignment horizontal="left" vertical="top" indent="1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39" fillId="82" borderId="83" applyNumberFormat="0" applyProtection="0">
      <alignment vertical="center"/>
    </xf>
    <xf numFmtId="4" fontId="116" fillId="54" borderId="83" applyNumberFormat="0" applyProtection="0">
      <alignment vertical="center"/>
    </xf>
    <xf numFmtId="3" fontId="127" fillId="0" borderId="82"/>
    <xf numFmtId="4" fontId="116" fillId="54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0" fontId="39" fillId="54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130" fillId="0" borderId="51" applyFill="0" applyBorder="0" applyProtection="0">
      <alignment horizontal="left" vertical="top"/>
    </xf>
    <xf numFmtId="0" fontId="39" fillId="0" borderId="80" applyNumberFormat="0" applyFill="0" applyAlignment="0" applyProtection="0"/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91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4" fillId="69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38" fillId="6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4" fontId="43" fillId="95" borderId="83" applyNumberFormat="0" applyProtection="0">
      <alignment horizontal="right" vertical="center"/>
    </xf>
    <xf numFmtId="4" fontId="38" fillId="6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38" fillId="60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4" fontId="38" fillId="5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85" borderId="83" applyNumberFormat="0" applyProtection="0">
      <alignment horizontal="right" vertical="center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96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43" fillId="94" borderId="83" applyNumberFormat="0" applyProtection="0">
      <alignment horizontal="right" vertical="center"/>
    </xf>
    <xf numFmtId="0" fontId="124" fillId="104" borderId="88" applyNumberFormat="0" applyAlignment="0" applyProtection="0"/>
    <xf numFmtId="0" fontId="4" fillId="66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3" fillId="108" borderId="89" applyNumberFormat="0" applyFont="0" applyAlignment="0" applyProtection="0"/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90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3" fontId="127" fillId="0" borderId="82"/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90" borderId="83" applyNumberFormat="0" applyProtection="0">
      <alignment horizontal="right" vertical="center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3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30" fillId="0" borderId="51" applyFill="0" applyBorder="0" applyProtection="0">
      <alignment horizontal="left" vertical="top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3" fontId="127" fillId="0" borderId="82"/>
    <xf numFmtId="0" fontId="43" fillId="72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4" fillId="68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83" applyNumberFormat="0" applyProtection="0">
      <alignment horizontal="right" vertical="center"/>
    </xf>
    <xf numFmtId="0" fontId="43" fillId="72" borderId="83" applyNumberFormat="0" applyProtection="0">
      <alignment horizontal="left" vertical="top" indent="1"/>
    </xf>
    <xf numFmtId="0" fontId="43" fillId="72" borderId="83" applyNumberFormat="0" applyProtection="0">
      <alignment horizontal="left" vertical="top" indent="1"/>
    </xf>
    <xf numFmtId="4" fontId="116" fillId="54" borderId="83" applyNumberFormat="0" applyProtection="0">
      <alignment vertical="center"/>
    </xf>
    <xf numFmtId="4" fontId="116" fillId="54" borderId="83" applyNumberFormat="0" applyProtection="0">
      <alignment vertical="center"/>
    </xf>
    <xf numFmtId="4" fontId="39" fillId="82" borderId="83" applyNumberFormat="0" applyProtection="0">
      <alignment vertical="center"/>
    </xf>
    <xf numFmtId="0" fontId="4" fillId="69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143" fillId="104" borderId="79" applyNumberFormat="0" applyAlignment="0" applyProtection="0"/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4" fontId="43" fillId="102" borderId="83" applyNumberFormat="0" applyProtection="0">
      <alignment horizontal="left" vertical="center" indent="1"/>
    </xf>
    <xf numFmtId="0" fontId="139" fillId="0" borderId="72">
      <alignment horizontal="right"/>
    </xf>
    <xf numFmtId="0" fontId="139" fillId="0" borderId="72">
      <alignment horizontal="left"/>
    </xf>
    <xf numFmtId="0" fontId="4" fillId="55" borderId="83" applyNumberFormat="0" applyProtection="0">
      <alignment horizontal="left" vertical="center" indent="1"/>
    </xf>
    <xf numFmtId="4" fontId="43" fillId="102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84" fillId="0" borderId="72">
      <alignment horizontal="center"/>
    </xf>
    <xf numFmtId="49" fontId="95" fillId="110" borderId="39"/>
    <xf numFmtId="0" fontId="93" fillId="67" borderId="39">
      <protection locked="0"/>
    </xf>
    <xf numFmtId="0" fontId="4" fillId="55" borderId="83" applyNumberFormat="0" applyProtection="0">
      <alignment horizontal="left" vertical="top" indent="1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5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7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8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89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38" fillId="61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0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2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38" fillId="63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4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5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38" fillId="6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96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4" fontId="43" fillId="102" borderId="83" applyNumberFormat="0" applyProtection="0">
      <alignment horizontal="right" vertical="center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38" fillId="69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36" fillId="66" borderId="85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4" fontId="43" fillId="72" borderId="83" applyNumberFormat="0" applyProtection="0">
      <alignment horizontal="left" vertical="center" indent="1"/>
    </xf>
    <xf numFmtId="0" fontId="43" fillId="72" borderId="83" applyNumberFormat="0" applyProtection="0">
      <alignment horizontal="left" vertical="top" indent="1"/>
    </xf>
    <xf numFmtId="4" fontId="43" fillId="72" borderId="83" applyNumberFormat="0" applyProtection="0">
      <alignment horizontal="left" vertical="center" indent="1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43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4" fontId="43" fillId="102" borderId="83" applyNumberFormat="0" applyProtection="0">
      <alignment horizontal="left" vertical="center" indent="1"/>
    </xf>
    <xf numFmtId="0" fontId="39" fillId="0" borderId="80" applyNumberFormat="0" applyFill="0" applyAlignment="0" applyProtection="0"/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102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6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4" fontId="43" fillId="72" borderId="83" applyNumberFormat="0" applyProtection="0">
      <alignment vertical="center"/>
    </xf>
    <xf numFmtId="0" fontId="62" fillId="77" borderId="59" applyNumberFormat="0" applyAlignment="0" applyProtection="0"/>
    <xf numFmtId="4" fontId="85" fillId="72" borderId="83" applyNumberFormat="0" applyProtection="0">
      <alignment vertical="center"/>
    </xf>
    <xf numFmtId="0" fontId="62" fillId="77" borderId="59" applyNumberFormat="0" applyAlignment="0" applyProtection="0"/>
    <xf numFmtId="4" fontId="85" fillId="72" borderId="83" applyNumberFormat="0" applyProtection="0">
      <alignment vertical="center"/>
    </xf>
    <xf numFmtId="4" fontId="43" fillId="102" borderId="83" applyNumberFormat="0" applyProtection="0">
      <alignment horizontal="left" vertical="center" indent="1"/>
    </xf>
    <xf numFmtId="4" fontId="43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4" fontId="39" fillId="54" borderId="83" applyNumberFormat="0" applyProtection="0">
      <alignment horizontal="left" vertical="center" indent="1"/>
    </xf>
    <xf numFmtId="0" fontId="39" fillId="54" borderId="83" applyNumberFormat="0" applyProtection="0">
      <alignment horizontal="left" vertical="top" indent="1"/>
    </xf>
    <xf numFmtId="4" fontId="85" fillId="101" borderId="83" applyNumberFormat="0" applyProtection="0">
      <alignment horizontal="right" vertical="center"/>
    </xf>
    <xf numFmtId="4" fontId="39" fillId="54" borderId="83" applyNumberFormat="0" applyProtection="0">
      <alignment horizontal="left" vertical="center" indent="1"/>
    </xf>
    <xf numFmtId="0" fontId="4" fillId="55" borderId="83" applyNumberFormat="0" applyProtection="0">
      <alignment horizontal="left" vertical="top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4" fontId="43" fillId="95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" fontId="85" fillId="72" borderId="83" applyNumberFormat="0" applyProtection="0">
      <alignment vertical="center"/>
    </xf>
    <xf numFmtId="0" fontId="4" fillId="66" borderId="83" applyNumberFormat="0" applyProtection="0">
      <alignment horizontal="left" vertical="center" indent="1"/>
    </xf>
    <xf numFmtId="4" fontId="85" fillId="101" borderId="83" applyNumberFormat="0" applyProtection="0">
      <alignment horizontal="right" vertical="center"/>
    </xf>
    <xf numFmtId="195" fontId="148" fillId="0" borderId="81" applyBorder="0" applyProtection="0">
      <alignment horizontal="right" vertical="center"/>
    </xf>
    <xf numFmtId="0" fontId="149" fillId="125" borderId="81" applyBorder="0" applyProtection="0">
      <alignment horizontal="centerContinuous" vertical="center"/>
    </xf>
    <xf numFmtId="0" fontId="4" fillId="55" borderId="83" applyNumberFormat="0" applyProtection="0">
      <alignment horizontal="left" vertical="top" indent="1"/>
    </xf>
    <xf numFmtId="0" fontId="4" fillId="55" borderId="83" applyNumberFormat="0" applyProtection="0">
      <alignment horizontal="left" vertical="top" indent="1"/>
    </xf>
    <xf numFmtId="0" fontId="139" fillId="0" borderId="72">
      <alignment horizontal="right"/>
    </xf>
    <xf numFmtId="4" fontId="85" fillId="101" borderId="83" applyNumberFormat="0" applyProtection="0">
      <alignment horizontal="right" vertical="center"/>
    </xf>
    <xf numFmtId="4" fontId="85" fillId="101" borderId="83" applyNumberFormat="0" applyProtection="0">
      <alignment horizontal="right" vertical="center"/>
    </xf>
    <xf numFmtId="0" fontId="4" fillId="68" borderId="83" applyNumberFormat="0" applyProtection="0">
      <alignment horizontal="left" vertical="top" indent="1"/>
    </xf>
    <xf numFmtId="0" fontId="62" fillId="77" borderId="59" applyNumberFormat="0" applyAlignment="0" applyProtection="0"/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0" fontId="43" fillId="68" borderId="83" applyNumberFormat="0" applyProtection="0">
      <alignment horizontal="left" vertical="top" indent="1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91" fillId="101" borderId="83" applyNumberFormat="0" applyProtection="0">
      <alignment horizontal="right" vertical="center"/>
    </xf>
    <xf numFmtId="4" fontId="36" fillId="66" borderId="83" applyNumberFormat="0" applyProtection="0">
      <alignment horizontal="left" vertical="center" indent="1"/>
    </xf>
    <xf numFmtId="0" fontId="4" fillId="68" borderId="83" applyNumberFormat="0" applyProtection="0">
      <alignment horizontal="left" vertical="top" indent="1"/>
    </xf>
    <xf numFmtId="0" fontId="4" fillId="66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center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25" fillId="73" borderId="86"/>
    <xf numFmtId="4" fontId="43" fillId="102" borderId="83" applyNumberFormat="0" applyProtection="0">
      <alignment horizontal="left" vertical="center" indent="1"/>
    </xf>
    <xf numFmtId="0" fontId="138" fillId="116" borderId="88" applyNumberFormat="0" applyAlignment="0" applyProtection="0"/>
    <xf numFmtId="10" fontId="25" fillId="72" borderId="86" applyNumberFormat="0" applyBorder="0" applyAlignment="0" applyProtection="0"/>
    <xf numFmtId="0" fontId="43" fillId="108" borderId="89" applyNumberFormat="0" applyFont="0" applyAlignment="0" applyProtection="0"/>
    <xf numFmtId="0" fontId="4" fillId="69" borderId="83" applyNumberFormat="0" applyProtection="0">
      <alignment horizontal="left" vertical="top" indent="1"/>
    </xf>
    <xf numFmtId="4" fontId="38" fillId="66" borderId="83" applyNumberFormat="0" applyProtection="0">
      <alignment horizontal="right" vertical="center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4" fontId="43" fillId="102" borderId="83" applyNumberFormat="0" applyProtection="0">
      <alignment horizontal="right" vertical="center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0" fontId="4" fillId="69" borderId="83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83" applyNumberFormat="0" applyProtection="0">
      <alignment vertical="center"/>
    </xf>
    <xf numFmtId="4" fontId="43" fillId="72" borderId="83" applyNumberFormat="0" applyProtection="0">
      <alignment horizontal="left" vertical="center" indent="1"/>
    </xf>
    <xf numFmtId="4" fontId="85" fillId="72" borderId="83" applyNumberFormat="0" applyProtection="0">
      <alignment vertical="center"/>
    </xf>
    <xf numFmtId="4" fontId="85" fillId="72" borderId="83" applyNumberFormat="0" applyProtection="0">
      <alignment vertical="center"/>
    </xf>
    <xf numFmtId="0" fontId="4" fillId="69" borderId="83" applyNumberFormat="0" applyProtection="0">
      <alignment horizontal="left" vertical="top" indent="1"/>
    </xf>
    <xf numFmtId="0" fontId="25" fillId="101" borderId="83" applyNumberFormat="0" applyProtection="0">
      <alignment horizontal="left" vertical="top" indent="1"/>
    </xf>
    <xf numFmtId="0" fontId="87" fillId="82" borderId="83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30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9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94">
      <alignment horizontal="right"/>
    </xf>
    <xf numFmtId="44" fontId="4" fillId="0" borderId="0" applyFont="0" applyFill="0" applyBorder="0" applyAlignment="0" applyProtection="0"/>
    <xf numFmtId="4" fontId="25" fillId="102" borderId="37" applyNumberFormat="0" applyProtection="0">
      <alignment horizontal="left" vertical="center" indent="1"/>
    </xf>
    <xf numFmtId="0" fontId="4" fillId="106" borderId="79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83" applyNumberFormat="0" applyProtection="0">
      <alignment vertical="center"/>
    </xf>
    <xf numFmtId="0" fontId="4" fillId="0" borderId="0"/>
    <xf numFmtId="49" fontId="95" fillId="110" borderId="92"/>
    <xf numFmtId="4" fontId="25" fillId="83" borderId="3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83" applyNumberFormat="0" applyProtection="0">
      <alignment horizontal="left" vertical="center" indent="1"/>
    </xf>
    <xf numFmtId="0" fontId="4" fillId="0" borderId="0"/>
    <xf numFmtId="4" fontId="43" fillId="72" borderId="79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9" applyNumberFormat="0" applyProtection="0">
      <alignment horizontal="right" vertical="center"/>
    </xf>
    <xf numFmtId="0" fontId="4" fillId="103" borderId="79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7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30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81" applyBorder="0" applyProtection="0">
      <alignment horizontal="right" vertical="center"/>
    </xf>
    <xf numFmtId="0" fontId="149" fillId="125" borderId="81" applyBorder="0" applyProtection="0">
      <alignment horizontal="centerContinuous" vertical="center"/>
    </xf>
    <xf numFmtId="0" fontId="4" fillId="4" borderId="79" applyNumberFormat="0" applyProtection="0">
      <alignment horizontal="left" vertical="center" indent="1"/>
    </xf>
    <xf numFmtId="4" fontId="25" fillId="101" borderId="37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25" fillId="71" borderId="83" applyNumberFormat="0" applyProtection="0">
      <alignment horizontal="left" vertical="top" indent="1"/>
    </xf>
    <xf numFmtId="0" fontId="25" fillId="102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4" fillId="103" borderId="79" applyNumberFormat="0" applyProtection="0">
      <alignment horizontal="left" vertical="center" indent="1"/>
    </xf>
    <xf numFmtId="4" fontId="43" fillId="54" borderId="79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30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83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83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83" applyNumberFormat="0" applyProtection="0">
      <alignment horizontal="left" vertical="top" indent="1"/>
    </xf>
    <xf numFmtId="0" fontId="4" fillId="84" borderId="79" applyNumberFormat="0" applyProtection="0">
      <alignment horizontal="left" vertical="center" indent="1"/>
    </xf>
    <xf numFmtId="0" fontId="149" fillId="125" borderId="81" applyBorder="0" applyProtection="0">
      <alignment horizontal="centerContinuous" vertical="center"/>
    </xf>
    <xf numFmtId="195" fontId="148" fillId="0" borderId="81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9" applyNumberFormat="0" applyProtection="0">
      <alignment horizontal="left" vertical="center" indent="1"/>
    </xf>
    <xf numFmtId="0" fontId="25" fillId="101" borderId="83" applyNumberFormat="0" applyProtection="0">
      <alignment horizontal="left" vertical="top" indent="1"/>
    </xf>
    <xf numFmtId="0" fontId="25" fillId="71" borderId="83" applyNumberFormat="0" applyProtection="0">
      <alignment horizontal="left" vertical="top" indent="1"/>
    </xf>
    <xf numFmtId="0" fontId="4" fillId="106" borderId="79" applyNumberFormat="0" applyProtection="0">
      <alignment horizontal="left" vertical="center" indent="1"/>
    </xf>
    <xf numFmtId="4" fontId="85" fillId="54" borderId="79" applyNumberFormat="0" applyProtection="0">
      <alignment vertical="center"/>
    </xf>
    <xf numFmtId="0" fontId="88" fillId="108" borderId="83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30" applyNumberFormat="0" applyProtection="0">
      <alignment horizontal="left" vertical="center" indent="1"/>
    </xf>
    <xf numFmtId="4" fontId="43" fillId="72" borderId="79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9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83" applyNumberFormat="0" applyProtection="0">
      <alignment horizontal="left" vertical="top" indent="1"/>
    </xf>
    <xf numFmtId="4" fontId="25" fillId="83" borderId="30" applyNumberFormat="0" applyProtection="0">
      <alignment horizontal="left" vertical="center" indent="1"/>
    </xf>
    <xf numFmtId="0" fontId="4" fillId="0" borderId="0"/>
    <xf numFmtId="4" fontId="25" fillId="83" borderId="3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12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30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9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83" applyNumberFormat="0" applyProtection="0">
      <alignment horizontal="left" vertical="top" indent="1"/>
    </xf>
    <xf numFmtId="4" fontId="85" fillId="72" borderId="79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9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83" applyNumberFormat="0" applyProtection="0">
      <alignment horizontal="left" vertical="top" indent="1"/>
    </xf>
    <xf numFmtId="0" fontId="4" fillId="0" borderId="79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30" applyNumberFormat="0" applyProtection="0">
      <alignment vertical="center"/>
    </xf>
    <xf numFmtId="0" fontId="4" fillId="84" borderId="79" applyNumberFormat="0" applyProtection="0">
      <alignment horizontal="left" vertical="center" indent="1"/>
    </xf>
    <xf numFmtId="0" fontId="4" fillId="84" borderId="79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7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60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30" applyNumberFormat="0" applyProtection="0">
      <alignment horizontal="right" vertical="center"/>
    </xf>
    <xf numFmtId="0" fontId="93" fillId="67" borderId="92">
      <protection locked="0"/>
    </xf>
    <xf numFmtId="4" fontId="25" fillId="102" borderId="30" applyNumberFormat="0" applyProtection="0">
      <alignment horizontal="right" vertical="center"/>
    </xf>
    <xf numFmtId="0" fontId="89" fillId="0" borderId="0"/>
    <xf numFmtId="0" fontId="4" fillId="106" borderId="79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95" applyNumberFormat="0" applyAlignment="0" applyProtection="0"/>
    <xf numFmtId="0" fontId="60" fillId="79" borderId="95" applyNumberFormat="0" applyAlignment="0" applyProtection="0"/>
    <xf numFmtId="0" fontId="73" fillId="49" borderId="95" applyNumberFormat="0" applyAlignment="0" applyProtection="0"/>
    <xf numFmtId="0" fontId="73" fillId="49" borderId="95" applyNumberForma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86" fillId="54" borderId="95" applyNumberFormat="0" applyProtection="0">
      <alignment vertical="center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86" fillId="67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90" fillId="109" borderId="96" applyNumberFormat="0" applyProtection="0">
      <alignment horizontal="left" vertical="center" indent="1"/>
    </xf>
    <xf numFmtId="4" fontId="92" fillId="70" borderId="95" applyNumberFormat="0" applyProtection="0">
      <alignment horizontal="right" vertical="center"/>
    </xf>
    <xf numFmtId="0" fontId="35" fillId="0" borderId="98" applyNumberFormat="0" applyFill="0" applyAlignment="0" applyProtection="0"/>
    <xf numFmtId="0" fontId="35" fillId="0" borderId="98" applyNumberFormat="0" applyFill="0" applyAlignment="0" applyProtection="0"/>
    <xf numFmtId="0" fontId="4" fillId="84" borderId="36" applyNumberFormat="0" applyProtection="0">
      <alignment horizontal="left" vertical="center" indent="1"/>
    </xf>
    <xf numFmtId="4" fontId="43" fillId="56" borderId="36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43" fillId="88" borderId="22" applyNumberFormat="0" applyProtection="0">
      <alignment horizontal="right" vertical="center"/>
    </xf>
    <xf numFmtId="4" fontId="43" fillId="0" borderId="22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3" fillId="108" borderId="100" applyNumberFormat="0" applyFont="0" applyAlignment="0" applyProtection="0"/>
    <xf numFmtId="4" fontId="43" fillId="9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63" borderId="36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43" fillId="54" borderId="36" applyNumberFormat="0" applyProtection="0">
      <alignment vertical="center"/>
    </xf>
    <xf numFmtId="4" fontId="85" fillId="54" borderId="36" applyNumberFormat="0" applyProtection="0">
      <alignment vertical="center"/>
    </xf>
    <xf numFmtId="4" fontId="43" fillId="88" borderId="22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43" fillId="54" borderId="36" applyNumberFormat="0" applyProtection="0">
      <alignment vertical="center"/>
    </xf>
    <xf numFmtId="0" fontId="88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43" fillId="64" borderId="36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7" fillId="54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88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4" fontId="85" fillId="10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88" fillId="10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8" fillId="104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85" fillId="72" borderId="36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43" fillId="72" borderId="22" applyNumberFormat="0" applyProtection="0">
      <alignment vertical="center"/>
    </xf>
    <xf numFmtId="4" fontId="88" fillId="108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43" fillId="72" borderId="36" applyNumberFormat="0" applyProtection="0">
      <alignment vertical="center"/>
    </xf>
    <xf numFmtId="4" fontId="38" fillId="62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103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15" fillId="71" borderId="26" applyBorder="0"/>
    <xf numFmtId="4" fontId="38" fillId="69" borderId="22" applyNumberFormat="0" applyProtection="0">
      <alignment vertical="center"/>
    </xf>
    <xf numFmtId="4" fontId="43" fillId="100" borderId="36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100" borderId="97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9" fillId="99" borderId="36" applyNumberFormat="0" applyProtection="0">
      <alignment horizontal="left" vertical="center" indent="1"/>
    </xf>
    <xf numFmtId="4" fontId="38" fillId="62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63" borderId="36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87" fillId="82" borderId="22" applyNumberFormat="0" applyProtection="0">
      <alignment horizontal="left" vertical="top" indent="1"/>
    </xf>
    <xf numFmtId="4" fontId="43" fillId="54" borderId="36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85" fillId="54" borderId="36" applyNumberFormat="0" applyProtection="0">
      <alignment vertical="center"/>
    </xf>
    <xf numFmtId="4" fontId="43" fillId="54" borderId="36" applyNumberFormat="0" applyProtection="0">
      <alignment vertical="center"/>
    </xf>
    <xf numFmtId="4" fontId="36" fillId="54" borderId="22" applyNumberFormat="0" applyProtection="0">
      <alignment vertical="center"/>
    </xf>
    <xf numFmtId="4" fontId="43" fillId="0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81" fillId="79" borderId="36" applyNumberFormat="0" applyAlignment="0" applyProtection="0"/>
    <xf numFmtId="0" fontId="81" fillId="79" borderId="36" applyNumberFormat="0" applyAlignment="0" applyProtection="0"/>
    <xf numFmtId="4" fontId="38" fillId="64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106" borderId="36" applyNumberFormat="0" applyProtection="0">
      <alignment horizontal="left" vertical="center" indent="1"/>
    </xf>
    <xf numFmtId="0" fontId="81" fillId="79" borderId="36" applyNumberFormat="0" applyAlignment="0" applyProtection="0"/>
    <xf numFmtId="4" fontId="39" fillId="82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4" fontId="38" fillId="59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36" fillId="54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91" fillId="100" borderId="36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61" borderId="36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0" borderId="22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4" fontId="43" fillId="0" borderId="36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9" fontId="95" fillId="110" borderId="92"/>
    <xf numFmtId="0" fontId="4" fillId="0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94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0" fontId="130" fillId="0" borderId="93" applyFill="0" applyBorder="0" applyProtection="0">
      <alignment horizontal="left" vertical="top"/>
    </xf>
    <xf numFmtId="0" fontId="4" fillId="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15" fillId="71" borderId="26" applyBorder="0"/>
    <xf numFmtId="0" fontId="4" fillId="0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4" fontId="43" fillId="100" borderId="97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88" fillId="108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0" borderId="22" applyNumberFormat="0" applyProtection="0">
      <alignment horizontal="right" vertical="center"/>
    </xf>
    <xf numFmtId="4" fontId="38" fillId="69" borderId="22" applyNumberFormat="0" applyProtection="0">
      <alignment vertical="center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4" fontId="38" fillId="58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6" fillId="66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38" fillId="69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38" fillId="62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36" fillId="54" borderId="22" applyNumberFormat="0" applyProtection="0">
      <alignment vertical="center"/>
    </xf>
    <xf numFmtId="4" fontId="43" fillId="97" borderId="36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88" borderId="22" applyNumberFormat="0" applyProtection="0">
      <alignment horizontal="right" vertical="center"/>
    </xf>
    <xf numFmtId="0" fontId="4" fillId="106" borderId="36" applyNumberFormat="0" applyProtection="0">
      <alignment horizontal="left" vertical="center" indent="1"/>
    </xf>
    <xf numFmtId="4" fontId="43" fillId="92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72" borderId="36" applyNumberFormat="0" applyProtection="0">
      <alignment vertical="center"/>
    </xf>
    <xf numFmtId="4" fontId="43" fillId="100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54" borderId="36" applyNumberFormat="0" applyProtection="0">
      <alignment vertical="center"/>
    </xf>
    <xf numFmtId="0" fontId="25" fillId="48" borderId="95" applyNumberFormat="0" applyFont="0" applyAlignment="0" applyProtection="0"/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54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4" fontId="25" fillId="0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38" fillId="54" borderId="22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0" fontId="124" fillId="104" borderId="99" applyNumberFormat="0" applyAlignment="0" applyProtection="0"/>
    <xf numFmtId="0" fontId="124" fillId="104" borderId="99" applyNumberFormat="0" applyAlignment="0" applyProtection="0"/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4" fontId="48" fillId="68" borderId="27" applyNumberFormat="0" applyProtection="0">
      <alignment horizontal="left" vertical="center" indent="1"/>
    </xf>
    <xf numFmtId="4" fontId="91" fillId="100" borderId="36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9" fontId="95" fillId="110" borderId="92"/>
    <xf numFmtId="0" fontId="4" fillId="69" borderId="22" applyNumberFormat="0" applyProtection="0">
      <alignment horizontal="left" vertical="center" indent="1"/>
    </xf>
    <xf numFmtId="0" fontId="93" fillId="67" borderId="92">
      <protection locked="0"/>
    </xf>
    <xf numFmtId="0" fontId="25" fillId="102" borderId="22" applyNumberFormat="0" applyProtection="0">
      <alignment horizontal="left" vertical="top" indent="1"/>
    </xf>
    <xf numFmtId="4" fontId="38" fillId="69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0" fontId="4" fillId="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4" fontId="43" fillId="103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38" fillId="63" borderId="22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85" fillId="54" borderId="36" applyNumberFormat="0" applyProtection="0">
      <alignment vertical="center"/>
    </xf>
    <xf numFmtId="0" fontId="25" fillId="101" borderId="22" applyNumberFormat="0" applyProtection="0">
      <alignment horizontal="left" vertical="top" indent="1"/>
    </xf>
    <xf numFmtId="0" fontId="93" fillId="67" borderId="92">
      <protection locked="0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8" fillId="68" borderId="27" applyNumberFormat="0" applyProtection="0">
      <alignment horizontal="left" vertical="center" indent="1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0" fontId="88" fillId="10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72" borderId="36" applyNumberFormat="0" applyProtection="0">
      <alignment vertical="center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4" fontId="43" fillId="63" borderId="36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88" fillId="10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1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94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9" fontId="95" fillId="110" borderId="92"/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8" fillId="57" borderId="22" applyNumberFormat="0" applyProtection="0">
      <alignment horizontal="right" vertical="center"/>
    </xf>
    <xf numFmtId="4" fontId="36" fillId="54" borderId="22" applyNumberFormat="0" applyProtection="0">
      <alignment vertical="center"/>
    </xf>
    <xf numFmtId="0" fontId="4" fillId="106" borderId="36" applyNumberFormat="0" applyProtection="0">
      <alignment horizontal="left" vertical="center" indent="1"/>
    </xf>
    <xf numFmtId="4" fontId="85" fillId="54" borderId="36" applyNumberFormat="0" applyProtection="0">
      <alignment vertical="center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8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88" fillId="108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93" fillId="67" borderId="92">
      <protection locked="0"/>
    </xf>
    <xf numFmtId="0" fontId="4" fillId="8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88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4" fontId="85" fillId="10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85" fillId="72" borderId="36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43" fillId="72" borderId="22" applyNumberFormat="0" applyProtection="0">
      <alignment vertical="center"/>
    </xf>
    <xf numFmtId="4" fontId="88" fillId="108" borderId="22" applyNumberFormat="0" applyProtection="0">
      <alignment vertical="center"/>
    </xf>
    <xf numFmtId="4" fontId="43" fillId="72" borderId="36" applyNumberFormat="0" applyProtection="0">
      <alignment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87" fillId="82" borderId="22" applyNumberFormat="0" applyProtection="0">
      <alignment horizontal="left" vertical="top" indent="1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38" fillId="57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57" borderId="36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38" fillId="56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37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3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138" fillId="116" borderId="99" applyNumberFormat="0" applyAlignment="0" applyProtection="0"/>
    <xf numFmtId="0" fontId="138" fillId="116" borderId="99" applyNumberFormat="0" applyAlignment="0" applyProtection="0"/>
    <xf numFmtId="0" fontId="39" fillId="54" borderId="22" applyNumberFormat="0" applyProtection="0">
      <alignment horizontal="left" vertical="top" indent="1"/>
    </xf>
    <xf numFmtId="4" fontId="43" fillId="88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38" fillId="69" borderId="22" applyNumberFormat="0" applyProtection="0">
      <alignment vertical="center"/>
    </xf>
    <xf numFmtId="4" fontId="43" fillId="102" borderId="22" applyNumberFormat="0" applyProtection="0">
      <alignment horizontal="left" vertical="center" indent="1"/>
    </xf>
    <xf numFmtId="4" fontId="43" fillId="72" borderId="36" applyNumberFormat="0" applyProtection="0">
      <alignment vertical="center"/>
    </xf>
    <xf numFmtId="4" fontId="85" fillId="72" borderId="36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36" fillId="54" borderId="22" applyNumberFormat="0" applyProtection="0">
      <alignment vertical="center"/>
    </xf>
    <xf numFmtId="0" fontId="4" fillId="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106" borderId="36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4" fontId="43" fillId="63" borderId="36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4" fontId="38" fillId="69" borderId="22" applyNumberFormat="0" applyProtection="0">
      <alignment vertical="center"/>
    </xf>
    <xf numFmtId="0" fontId="25" fillId="102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124" fillId="104" borderId="99" applyNumberFormat="0" applyAlignment="0" applyProtection="0"/>
    <xf numFmtId="4" fontId="43" fillId="101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4" fillId="84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54" borderId="36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4" fontId="43" fillId="100" borderId="97" applyNumberFormat="0" applyProtection="0">
      <alignment horizontal="left" vertical="center" indent="1"/>
    </xf>
    <xf numFmtId="4" fontId="38" fillId="62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91" fillId="100" borderId="36" applyNumberFormat="0" applyProtection="0">
      <alignment horizontal="right" vertical="center"/>
    </xf>
    <xf numFmtId="4" fontId="39" fillId="99" borderId="36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9" fillId="69" borderId="22" applyNumberFormat="0" applyProtection="0">
      <alignment horizontal="right" vertical="center"/>
    </xf>
    <xf numFmtId="4" fontId="43" fillId="103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9" fillId="69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4" fontId="48" fillId="68" borderId="27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" fillId="55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9" fontId="95" fillId="110" borderId="92"/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0" borderId="22" applyNumberFormat="0" applyProtection="0">
      <alignment horizontal="right" vertical="center"/>
    </xf>
    <xf numFmtId="0" fontId="4" fillId="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39" fillId="99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94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8" fillId="64" borderId="22" applyNumberFormat="0" applyProtection="0">
      <alignment horizontal="right" vertical="center"/>
    </xf>
    <xf numFmtId="4" fontId="37" fillId="54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100" borderId="97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8" fillId="54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4" borderId="22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0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138" fillId="116" borderId="99" applyNumberFormat="0" applyAlignment="0" applyProtection="0"/>
    <xf numFmtId="4" fontId="43" fillId="93" borderId="36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7" fillId="54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123" fillId="0" borderId="48" applyFill="0" applyProtection="0">
      <alignment horizontal="right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4" fillId="0" borderId="36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49" fontId="95" fillId="110" borderId="92"/>
    <xf numFmtId="4" fontId="43" fillId="0" borderId="22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0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0" fontId="88" fillId="10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8" fillId="104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38" fillId="59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138" fillId="116" borderId="99" applyNumberFormat="0" applyAlignment="0" applyProtection="0"/>
    <xf numFmtId="0" fontId="138" fillId="116" borderId="99" applyNumberFormat="0" applyAlignment="0" applyProtection="0"/>
    <xf numFmtId="4" fontId="43" fillId="54" borderId="36" applyNumberFormat="0" applyProtection="0">
      <alignment horizontal="left" vertical="center" indent="1"/>
    </xf>
    <xf numFmtId="200" fontId="127" fillId="0" borderId="94">
      <alignment horizontal="right"/>
    </xf>
    <xf numFmtId="4" fontId="43" fillId="54" borderId="36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43" fillId="54" borderId="36" applyNumberFormat="0" applyProtection="0">
      <alignment vertical="center"/>
    </xf>
    <xf numFmtId="4" fontId="3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72" borderId="36" applyNumberFormat="0" applyProtection="0">
      <alignment vertical="center"/>
    </xf>
    <xf numFmtId="4" fontId="43" fillId="102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38" fillId="6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66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4" fontId="38" fillId="6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49" fillId="69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43" fillId="56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4" fillId="69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96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39" fillId="0" borderId="101" applyNumberFormat="0" applyFill="0" applyAlignment="0" applyProtection="0"/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9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130" fillId="0" borderId="93" applyFill="0" applyBorder="0" applyProtection="0">
      <alignment horizontal="left" vertical="top"/>
    </xf>
    <xf numFmtId="0" fontId="4" fillId="68" borderId="22" applyNumberFormat="0" applyProtection="0">
      <alignment horizontal="left" vertical="top" indent="1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3" fontId="127" fillId="0" borderId="45"/>
    <xf numFmtId="0" fontId="4" fillId="68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0" fontId="4" fillId="0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4" fillId="4" borderId="36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81" fillId="79" borderId="36" applyNumberFormat="0" applyAlignment="0" applyProtection="0"/>
    <xf numFmtId="4" fontId="49" fillId="69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38" fillId="59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58" borderId="36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43" fillId="95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0" fontId="4" fillId="68" borderId="22" applyNumberFormat="0" applyProtection="0">
      <alignment horizontal="left" vertical="top" indent="1"/>
    </xf>
    <xf numFmtId="4" fontId="43" fillId="63" borderId="36" applyNumberFormat="0" applyProtection="0">
      <alignment horizontal="right" vertical="center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123" fillId="0" borderId="48" applyFill="0" applyProtection="0">
      <alignment horizontal="right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0" fontId="4" fillId="68" borderId="22" applyNumberFormat="0" applyProtection="0">
      <alignment horizontal="left" vertical="top" indent="1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4" fontId="38" fillId="64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38" fillId="59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61" borderId="36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36" fillId="54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101" borderId="22" applyNumberFormat="0" applyProtection="0">
      <alignment horizontal="right" vertical="center"/>
    </xf>
    <xf numFmtId="4" fontId="43" fillId="72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93" fillId="67" borderId="92">
      <protection locked="0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200" fontId="127" fillId="0" borderId="94">
      <alignment horizontal="right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8" fillId="58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39" fillId="0" borderId="101" applyNumberFormat="0" applyFill="0" applyAlignment="0" applyProtection="0"/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9" fontId="95" fillId="110" borderId="92"/>
    <xf numFmtId="0" fontId="4" fillId="68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38" fillId="69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91" fillId="100" borderId="36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0" borderId="36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72" borderId="36" applyNumberFormat="0" applyProtection="0">
      <alignment vertical="center"/>
    </xf>
    <xf numFmtId="0" fontId="25" fillId="107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81" fillId="79" borderId="36" applyNumberFormat="0" applyAlignment="0" applyProtection="0"/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94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9" fontId="95" fillId="110" borderId="92"/>
    <xf numFmtId="4" fontId="43" fillId="54" borderId="36" applyNumberFormat="0" applyProtection="0">
      <alignment vertical="center"/>
    </xf>
    <xf numFmtId="4" fontId="43" fillId="72" borderId="22" applyNumberFormat="0" applyProtection="0">
      <alignment vertical="center"/>
    </xf>
    <xf numFmtId="4" fontId="36" fillId="66" borderId="27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43" fillId="8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5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39" fillId="0" borderId="101" applyNumberFormat="0" applyFill="0" applyAlignment="0" applyProtection="0"/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58" borderId="36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4" fontId="43" fillId="0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0" fontId="143" fillId="104" borderId="36" applyNumberFormat="0" applyAlignment="0" applyProtection="0"/>
    <xf numFmtId="0" fontId="4" fillId="68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123" fillId="0" borderId="48" applyFill="0" applyProtection="0">
      <alignment horizontal="right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4" fontId="116" fillId="54" borderId="22" applyNumberFormat="0" applyProtection="0">
      <alignment vertical="center"/>
    </xf>
    <xf numFmtId="0" fontId="4" fillId="68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25" fillId="102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101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4" fontId="85" fillId="101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124" fillId="104" borderId="99" applyNumberFormat="0" applyAlignment="0" applyProtection="0"/>
    <xf numFmtId="4" fontId="116" fillId="54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0" fontId="138" fillId="116" borderId="99" applyNumberFormat="0" applyAlignment="0" applyProtection="0"/>
    <xf numFmtId="0" fontId="138" fillId="116" borderId="99" applyNumberFormat="0" applyAlignment="0" applyProtection="0"/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87" fillId="82" borderId="22" applyNumberFormat="0" applyProtection="0">
      <alignment horizontal="left" vertical="top" indent="1"/>
    </xf>
    <xf numFmtId="200" fontId="127" fillId="0" borderId="94">
      <alignment horizontal="right"/>
    </xf>
    <xf numFmtId="4" fontId="43" fillId="63" borderId="36" applyNumberFormat="0" applyProtection="0">
      <alignment horizontal="right" vertical="center"/>
    </xf>
    <xf numFmtId="0" fontId="25" fillId="107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48" fillId="68" borderId="27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38" fillId="69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43" fillId="63" borderId="36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100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85" fillId="72" borderId="36" applyNumberFormat="0" applyProtection="0">
      <alignment vertical="center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55" borderId="22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4" fontId="43" fillId="89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0" fontId="93" fillId="67" borderId="92">
      <protection locked="0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88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54" borderId="36" applyNumberFormat="0" applyProtection="0">
      <alignment vertical="center"/>
    </xf>
    <xf numFmtId="4" fontId="48" fillId="68" borderId="27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4" fontId="88" fillId="108" borderId="22" applyNumberFormat="0" applyProtection="0">
      <alignment vertical="center"/>
    </xf>
    <xf numFmtId="0" fontId="130" fillId="0" borderId="93" applyFill="0" applyBorder="0" applyProtection="0">
      <alignment horizontal="left" vertical="top"/>
    </xf>
    <xf numFmtId="4" fontId="43" fillId="58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3" fontId="127" fillId="0" borderId="45"/>
    <xf numFmtId="0" fontId="4" fillId="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38" fillId="64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3" fillId="7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43" fillId="87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63" borderId="22" applyNumberFormat="0" applyProtection="0">
      <alignment horizontal="right" vertical="center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0" fontId="25" fillId="71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43" fillId="90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123" fillId="0" borderId="48" applyFill="0" applyProtection="0">
      <alignment horizontal="right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4" fontId="48" fillId="68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0" fontId="43" fillId="108" borderId="100" applyNumberFormat="0" applyFont="0" applyAlignment="0" applyProtection="0"/>
    <xf numFmtId="0" fontId="4" fillId="66" borderId="22" applyNumberFormat="0" applyProtection="0">
      <alignment horizontal="left" vertical="center" indent="1"/>
    </xf>
    <xf numFmtId="4" fontId="91" fillId="100" borderId="36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4" fontId="36" fillId="54" borderId="22" applyNumberFormat="0" applyProtection="0">
      <alignment vertical="center"/>
    </xf>
    <xf numFmtId="4" fontId="43" fillId="0" borderId="22" applyNumberFormat="0" applyProtection="0">
      <alignment horizontal="left" vertical="center" indent="1"/>
    </xf>
    <xf numFmtId="4" fontId="43" fillId="58" borderId="36" applyNumberFormat="0" applyProtection="0">
      <alignment horizontal="right" vertical="center"/>
    </xf>
    <xf numFmtId="4" fontId="39" fillId="99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vertical="center"/>
    </xf>
    <xf numFmtId="0" fontId="25" fillId="101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38" fillId="69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54" borderId="36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91" fillId="100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58" borderId="36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43" fillId="91" borderId="36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4" fontId="43" fillId="64" borderId="36" applyNumberFormat="0" applyProtection="0">
      <alignment horizontal="right" vertical="center"/>
    </xf>
    <xf numFmtId="4" fontId="88" fillId="10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6" fillId="66" borderId="27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0" fontId="123" fillId="0" borderId="48" applyFill="0" applyProtection="0">
      <alignment horizontal="right"/>
    </xf>
    <xf numFmtId="0" fontId="4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48" fillId="68" borderId="27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4" fillId="106" borderId="36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0" fontId="87" fillId="82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38" fillId="54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72" borderId="36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0" fontId="4" fillId="84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9" fillId="69" borderId="22" applyNumberFormat="0" applyProtection="0">
      <alignment horizontal="right" vertical="center"/>
    </xf>
    <xf numFmtId="4" fontId="43" fillId="72" borderId="22" applyNumberFormat="0" applyProtection="0">
      <alignment horizontal="left" vertical="center" indent="1"/>
    </xf>
    <xf numFmtId="4" fontId="36" fillId="54" borderId="22" applyNumberFormat="0" applyProtection="0">
      <alignment vertical="center"/>
    </xf>
    <xf numFmtId="4" fontId="38" fillId="69" borderId="22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81" fillId="79" borderId="36" applyNumberFormat="0" applyAlignment="0" applyProtection="0"/>
    <xf numFmtId="4" fontId="43" fillId="54" borderId="36" applyNumberFormat="0" applyProtection="0">
      <alignment horizontal="left" vertical="center" indent="1"/>
    </xf>
    <xf numFmtId="4" fontId="85" fillId="54" borderId="36" applyNumberFormat="0" applyProtection="0">
      <alignment vertical="center"/>
    </xf>
    <xf numFmtId="4" fontId="37" fillId="54" borderId="22" applyNumberFormat="0" applyProtection="0">
      <alignment vertical="center"/>
    </xf>
    <xf numFmtId="4" fontId="43" fillId="5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100" borderId="97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200" fontId="127" fillId="0" borderId="94">
      <alignment horizontal="right"/>
    </xf>
    <xf numFmtId="0" fontId="4" fillId="106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4" fontId="88" fillId="104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4" fontId="43" fillId="0" borderId="36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93" fillId="67" borderId="92">
      <protection locked="0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4" fontId="38" fillId="69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72" borderId="36" applyNumberFormat="0" applyProtection="0">
      <alignment vertical="center"/>
    </xf>
    <xf numFmtId="0" fontId="25" fillId="10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49" fillId="69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0" fontId="15" fillId="71" borderId="26" applyBorder="0"/>
    <xf numFmtId="4" fontId="44" fillId="69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8" fillId="60" borderId="22" applyNumberFormat="0" applyProtection="0">
      <alignment horizontal="right" vertical="center"/>
    </xf>
    <xf numFmtId="4" fontId="43" fillId="100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0" fontId="4" fillId="106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36" fillId="54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0" fontId="25" fillId="107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4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124" fillId="104" borderId="99" applyNumberFormat="0" applyAlignment="0" applyProtection="0"/>
    <xf numFmtId="4" fontId="43" fillId="72" borderId="22" applyNumberFormat="0" applyProtection="0">
      <alignment vertical="center"/>
    </xf>
    <xf numFmtId="4" fontId="43" fillId="72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91" borderId="36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81" fillId="79" borderId="36" applyNumberFormat="0" applyAlignment="0" applyProtection="0"/>
    <xf numFmtId="4" fontId="38" fillId="69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143" fillId="104" borderId="36" applyNumberFormat="0" applyAlignment="0" applyProtection="0"/>
    <xf numFmtId="4" fontId="43" fillId="0" borderId="36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72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200" fontId="127" fillId="0" borderId="94">
      <alignment horizontal="right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0" fontId="43" fillId="108" borderId="100" applyNumberFormat="0" applyFont="0" applyAlignment="0" applyProtection="0"/>
    <xf numFmtId="4" fontId="43" fillId="72" borderId="22" applyNumberFormat="0" applyProtection="0">
      <alignment horizontal="left" vertical="center" indent="1"/>
    </xf>
    <xf numFmtId="4" fontId="49" fillId="69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15" fillId="71" borderId="26" applyBorder="0"/>
    <xf numFmtId="4" fontId="38" fillId="6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38" fillId="61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8" fillId="58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88" fillId="10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3" fillId="7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4" fillId="69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49" fillId="69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43" fillId="103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103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81" fillId="79" borderId="36" applyNumberFormat="0" applyAlignment="0" applyProtection="0"/>
    <xf numFmtId="4" fontId="39" fillId="82" borderId="22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0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0" borderId="36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3" fillId="63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0" fontId="130" fillId="0" borderId="93" applyFill="0" applyBorder="0" applyProtection="0">
      <alignment horizontal="left" vertical="top"/>
    </xf>
    <xf numFmtId="3" fontId="127" fillId="0" borderId="45"/>
    <xf numFmtId="0" fontId="25" fillId="10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138" fillId="116" borderId="99" applyNumberFormat="0" applyAlignment="0" applyProtection="0"/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100" borderId="97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43" fillId="9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25" fillId="101" borderId="22" applyNumberFormat="0" applyProtection="0">
      <alignment horizontal="left" vertical="top" indent="1"/>
    </xf>
    <xf numFmtId="0" fontId="93" fillId="67" borderId="92">
      <protection locked="0"/>
    </xf>
    <xf numFmtId="49" fontId="95" fillId="110" borderId="92"/>
    <xf numFmtId="0" fontId="43" fillId="68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4" fontId="38" fillId="61" borderId="22" applyNumberFormat="0" applyProtection="0">
      <alignment horizontal="right" vertical="center"/>
    </xf>
    <xf numFmtId="0" fontId="25" fillId="71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43" fillId="94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38" fillId="5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3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39" fillId="99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100" borderId="97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43" fillId="57" borderId="36" applyNumberFormat="0" applyProtection="0">
      <alignment horizontal="right" vertical="center"/>
    </xf>
    <xf numFmtId="4" fontId="43" fillId="64" borderId="36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92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8" fillId="56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43" fillId="72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4" fontId="43" fillId="58" borderId="36" applyNumberFormat="0" applyProtection="0">
      <alignment horizontal="right" vertical="center"/>
    </xf>
    <xf numFmtId="4" fontId="43" fillId="103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130" fillId="0" borderId="93" applyFill="0" applyBorder="0" applyProtection="0">
      <alignment horizontal="left" vertical="top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43" fillId="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4" fontId="38" fillId="69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0" fontId="25" fillId="71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0" fontId="4" fillId="55" borderId="22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38" fillId="57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4" fontId="38" fillId="66" borderId="22" applyNumberFormat="0" applyProtection="0">
      <alignment horizontal="right" vertical="center"/>
    </xf>
    <xf numFmtId="0" fontId="25" fillId="7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100" borderId="97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97" borderId="36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97" borderId="36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200" fontId="127" fillId="0" borderId="94">
      <alignment horizontal="right"/>
    </xf>
    <xf numFmtId="4" fontId="43" fillId="88" borderId="22" applyNumberFormat="0" applyProtection="0">
      <alignment horizontal="right" vertical="center"/>
    </xf>
    <xf numFmtId="0" fontId="25" fillId="107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97" borderId="36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4" fontId="43" fillId="0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4" fontId="85" fillId="100" borderId="36" applyNumberFormat="0" applyProtection="0">
      <alignment horizontal="right" vertical="center"/>
    </xf>
    <xf numFmtId="0" fontId="25" fillId="102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0" fontId="4" fillId="103" borderId="36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102" borderId="22" applyNumberFormat="0" applyProtection="0">
      <alignment horizontal="right" vertical="center"/>
    </xf>
    <xf numFmtId="4" fontId="43" fillId="54" borderId="36" applyNumberFormat="0" applyProtection="0">
      <alignment horizontal="left" vertical="center" indent="1"/>
    </xf>
    <xf numFmtId="4" fontId="38" fillId="59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0" fontId="43" fillId="108" borderId="100" applyNumberFormat="0" applyFont="0" applyAlignment="0" applyProtection="0"/>
    <xf numFmtId="0" fontId="88" fillId="102" borderId="22" applyNumberFormat="0" applyProtection="0">
      <alignment horizontal="left" vertical="top" indent="1"/>
    </xf>
    <xf numFmtId="4" fontId="43" fillId="0" borderId="22" applyNumberFormat="0" applyProtection="0">
      <alignment horizontal="left" vertical="center" indent="1"/>
    </xf>
    <xf numFmtId="0" fontId="4" fillId="0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4" fontId="44" fillId="69" borderId="22" applyNumberFormat="0" applyProtection="0">
      <alignment vertical="center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4" fontId="38" fillId="59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6" fillId="66" borderId="27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43" fillId="102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43" fillId="88" borderId="22" applyNumberFormat="0" applyProtection="0">
      <alignment horizontal="right" vertical="center"/>
    </xf>
    <xf numFmtId="4" fontId="85" fillId="100" borderId="36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38" fillId="57" borderId="22" applyNumberFormat="0" applyProtection="0">
      <alignment horizontal="right" vertical="center"/>
    </xf>
    <xf numFmtId="0" fontId="4" fillId="4" borderId="36" applyNumberFormat="0" applyProtection="0">
      <alignment horizontal="left" vertical="center" indent="1"/>
    </xf>
    <xf numFmtId="4" fontId="43" fillId="88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43" fillId="56" borderId="36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87" fillId="82" borderId="22" applyNumberFormat="0" applyProtection="0">
      <alignment horizontal="left" vertical="top" indent="1"/>
    </xf>
    <xf numFmtId="4" fontId="43" fillId="72" borderId="36" applyNumberFormat="0" applyProtection="0">
      <alignment vertical="center"/>
    </xf>
    <xf numFmtId="4" fontId="39" fillId="82" borderId="22" applyNumberFormat="0" applyProtection="0">
      <alignment vertical="center"/>
    </xf>
    <xf numFmtId="0" fontId="15" fillId="71" borderId="26" applyBorder="0"/>
    <xf numFmtId="4" fontId="38" fillId="69" borderId="22" applyNumberFormat="0" applyProtection="0">
      <alignment horizontal="right" vertical="center"/>
    </xf>
    <xf numFmtId="0" fontId="25" fillId="107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8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25" fillId="107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4" fontId="38" fillId="6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8" fillId="56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38" fillId="64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38" fillId="69" borderId="22" applyNumberFormat="0" applyProtection="0">
      <alignment horizontal="right" vertical="center"/>
    </xf>
    <xf numFmtId="4" fontId="36" fillId="66" borderId="27" applyNumberFormat="0" applyProtection="0">
      <alignment horizontal="left" vertical="center" indent="1"/>
    </xf>
    <xf numFmtId="0" fontId="124" fillId="104" borderId="99" applyNumberFormat="0" applyAlignment="0" applyProtection="0"/>
    <xf numFmtId="0" fontId="123" fillId="0" borderId="48" applyFill="0" applyProtection="0">
      <alignment horizontal="right"/>
    </xf>
    <xf numFmtId="0" fontId="138" fillId="116" borderId="99" applyNumberFormat="0" applyAlignment="0" applyProtection="0"/>
    <xf numFmtId="0" fontId="39" fillId="54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39" fillId="0" borderId="101" applyNumberFormat="0" applyFill="0" applyAlignment="0" applyProtection="0"/>
    <xf numFmtId="0" fontId="43" fillId="68" borderId="22" applyNumberFormat="0" applyProtection="0">
      <alignment horizontal="left" vertical="top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0" fontId="43" fillId="108" borderId="100" applyNumberFormat="0" applyFont="0" applyAlignment="0" applyProtection="0"/>
    <xf numFmtId="4" fontId="39" fillId="54" borderId="22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85" fillId="54" borderId="36" applyNumberFormat="0" applyProtection="0">
      <alignment vertical="center"/>
    </xf>
    <xf numFmtId="4" fontId="43" fillId="57" borderId="36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72" borderId="36" applyNumberFormat="0" applyProtection="0">
      <alignment vertical="center"/>
    </xf>
    <xf numFmtId="0" fontId="25" fillId="101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38" fillId="60" borderId="22" applyNumberFormat="0" applyProtection="0">
      <alignment horizontal="right" vertical="center"/>
    </xf>
    <xf numFmtId="4" fontId="37" fillId="54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36" fillId="66" borderId="22" applyNumberFormat="0" applyProtection="0">
      <alignment horizontal="left" vertical="center" indent="1"/>
    </xf>
    <xf numFmtId="0" fontId="88" fillId="102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93" fillId="67" borderId="92">
      <protection locked="0"/>
    </xf>
    <xf numFmtId="4" fontId="36" fillId="66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38" fillId="58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87" borderId="22" applyNumberFormat="0" applyProtection="0">
      <alignment horizontal="right" vertical="center"/>
    </xf>
    <xf numFmtId="0" fontId="25" fillId="71" borderId="22" applyNumberFormat="0" applyProtection="0">
      <alignment horizontal="left" vertical="top" indent="1"/>
    </xf>
    <xf numFmtId="4" fontId="43" fillId="89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43" fillId="90" borderId="22" applyNumberFormat="0" applyProtection="0">
      <alignment horizontal="right" vertical="center"/>
    </xf>
    <xf numFmtId="4" fontId="43" fillId="72" borderId="22" applyNumberFormat="0" applyProtection="0">
      <alignment vertical="center"/>
    </xf>
    <xf numFmtId="0" fontId="4" fillId="55" borderId="22" applyNumberFormat="0" applyProtection="0">
      <alignment horizontal="left" vertical="top" indent="1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38" fillId="5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64" borderId="36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97" borderId="36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7" borderId="36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9" fillId="99" borderId="36" applyNumberFormat="0" applyProtection="0">
      <alignment horizontal="left" vertical="center" indent="1"/>
    </xf>
    <xf numFmtId="4" fontId="48" fillId="68" borderId="27" applyNumberFormat="0" applyProtection="0">
      <alignment horizontal="left" vertical="center" indent="1"/>
    </xf>
    <xf numFmtId="4" fontId="38" fillId="64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4" fontId="43" fillId="63" borderId="36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102" borderId="22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43" fillId="100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0" fontId="4" fillId="106" borderId="36" applyNumberFormat="0" applyProtection="0">
      <alignment horizontal="left" vertical="center" indent="1"/>
    </xf>
    <xf numFmtId="4" fontId="43" fillId="97" borderId="36" applyNumberFormat="0" applyProtection="0">
      <alignment horizontal="right" vertical="center"/>
    </xf>
    <xf numFmtId="4" fontId="43" fillId="100" borderId="36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25" fillId="71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56" borderId="36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0" fontId="4" fillId="4" borderId="36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0" fontId="4" fillId="68" borderId="22" applyNumberFormat="0" applyProtection="0">
      <alignment horizontal="left" vertical="top" indent="1"/>
    </xf>
    <xf numFmtId="4" fontId="88" fillId="104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4" fontId="38" fillId="69" borderId="22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0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123" fillId="0" borderId="48" applyFill="0" applyProtection="0">
      <alignment horizontal="right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43" fillId="68" borderId="22" applyNumberFormat="0" applyProtection="0">
      <alignment horizontal="left" vertical="top" indent="1"/>
    </xf>
    <xf numFmtId="4" fontId="85" fillId="100" borderId="36" applyNumberFormat="0" applyProtection="0">
      <alignment horizontal="right" vertical="center"/>
    </xf>
    <xf numFmtId="4" fontId="43" fillId="0" borderId="36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85" fillId="72" borderId="36" applyNumberFormat="0" applyProtection="0">
      <alignment vertical="center"/>
    </xf>
    <xf numFmtId="4" fontId="43" fillId="72" borderId="36" applyNumberFormat="0" applyProtection="0">
      <alignment vertical="center"/>
    </xf>
    <xf numFmtId="4" fontId="88" fillId="108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91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0" fontId="4" fillId="4" borderId="36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3" fillId="100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3" borderId="36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54" borderId="36" applyNumberFormat="0" applyProtection="0">
      <alignment horizontal="left" vertical="center" indent="1"/>
    </xf>
    <xf numFmtId="0" fontId="87" fillId="82" borderId="22" applyNumberFormat="0" applyProtection="0">
      <alignment horizontal="left" vertical="top" indent="1"/>
    </xf>
    <xf numFmtId="4" fontId="43" fillId="54" borderId="36" applyNumberFormat="0" applyProtection="0">
      <alignment horizontal="left" vertical="center" indent="1"/>
    </xf>
    <xf numFmtId="0" fontId="138" fillId="116" borderId="99" applyNumberFormat="0" applyAlignment="0" applyProtection="0"/>
    <xf numFmtId="0" fontId="138" fillId="116" borderId="99" applyNumberFormat="0" applyAlignment="0" applyProtection="0"/>
    <xf numFmtId="4" fontId="43" fillId="54" borderId="36" applyNumberFormat="0" applyProtection="0">
      <alignment horizontal="left" vertical="center" indent="1"/>
    </xf>
    <xf numFmtId="200" fontId="127" fillId="0" borderId="94">
      <alignment horizontal="right"/>
    </xf>
    <xf numFmtId="4" fontId="43" fillId="54" borderId="36" applyNumberFormat="0" applyProtection="0">
      <alignment horizontal="left" vertical="center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43" fillId="54" borderId="36" applyNumberFormat="0" applyProtection="0">
      <alignment vertical="center"/>
    </xf>
    <xf numFmtId="0" fontId="81" fillId="79" borderId="36" applyNumberFormat="0" applyAlignment="0" applyProtection="0"/>
    <xf numFmtId="0" fontId="81" fillId="79" borderId="36" applyNumberFormat="0" applyAlignment="0" applyProtection="0"/>
    <xf numFmtId="0" fontId="4" fillId="69" borderId="22" applyNumberFormat="0" applyProtection="0">
      <alignment horizontal="left" vertical="top" indent="1"/>
    </xf>
    <xf numFmtId="4" fontId="38" fillId="58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43" fillId="104" borderId="36" applyNumberFormat="0" applyAlignment="0" applyProtection="0"/>
    <xf numFmtId="0" fontId="143" fillId="104" borderId="36" applyNumberFormat="0" applyAlignment="0" applyProtection="0"/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63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130" fillId="0" borderId="93" applyFill="0" applyBorder="0" applyProtection="0">
      <alignment horizontal="left" vertical="top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3" fontId="127" fillId="0" borderId="45"/>
    <xf numFmtId="0" fontId="25" fillId="101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88" fillId="104" borderId="22" applyNumberFormat="0" applyProtection="0">
      <alignment horizontal="left" vertical="center" indent="1"/>
    </xf>
    <xf numFmtId="0" fontId="4" fillId="4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4" fontId="38" fillId="61" borderId="22" applyNumberFormat="0" applyProtection="0">
      <alignment horizontal="right" vertical="center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123" fillId="0" borderId="48" applyFill="0" applyProtection="0">
      <alignment horizontal="right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8" fillId="59" borderId="22" applyNumberFormat="0" applyProtection="0">
      <alignment horizontal="right" vertical="center"/>
    </xf>
    <xf numFmtId="0" fontId="4" fillId="0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43" fillId="100" borderId="36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25" fillId="71" borderId="22" applyNumberFormat="0" applyProtection="0">
      <alignment horizontal="left" vertical="top" indent="1"/>
    </xf>
    <xf numFmtId="0" fontId="25" fillId="71" borderId="22" applyNumberFormat="0" applyProtection="0">
      <alignment horizontal="left" vertical="top" indent="1"/>
    </xf>
    <xf numFmtId="0" fontId="4" fillId="103" borderId="36" applyNumberFormat="0" applyProtection="0">
      <alignment horizontal="left" vertical="center" indent="1"/>
    </xf>
    <xf numFmtId="4" fontId="38" fillId="64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38" fillId="62" borderId="22" applyNumberFormat="0" applyProtection="0">
      <alignment horizontal="right" vertical="center"/>
    </xf>
    <xf numFmtId="0" fontId="4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0" fontId="4" fillId="103" borderId="36" applyNumberFormat="0" applyProtection="0">
      <alignment horizontal="left" vertical="center" indent="1"/>
    </xf>
    <xf numFmtId="4" fontId="43" fillId="97" borderId="36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123" fillId="0" borderId="48" applyFill="0" applyProtection="0">
      <alignment horizontal="right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124" fillId="104" borderId="99" applyNumberFormat="0" applyAlignment="0" applyProtection="0"/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38" fillId="54" borderId="22" applyNumberFormat="0" applyProtection="0">
      <alignment horizontal="left" vertical="center" indent="1"/>
    </xf>
    <xf numFmtId="0" fontId="124" fillId="104" borderId="99" applyNumberFormat="0" applyAlignment="0" applyProtection="0"/>
    <xf numFmtId="0" fontId="43" fillId="72" borderId="22" applyNumberFormat="0" applyProtection="0">
      <alignment horizontal="left" vertical="top" indent="1"/>
    </xf>
    <xf numFmtId="0" fontId="124" fillId="104" borderId="99" applyNumberFormat="0" applyAlignment="0" applyProtection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25" fillId="101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25" fillId="102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25" fillId="71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0" fontId="123" fillId="0" borderId="48" applyFill="0" applyProtection="0">
      <alignment horizontal="right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43" fillId="68" borderId="22" applyNumberFormat="0" applyProtection="0">
      <alignment horizontal="left" vertical="top" indent="1"/>
    </xf>
    <xf numFmtId="0" fontId="4" fillId="0" borderId="36" applyNumberFormat="0" applyProtection="0">
      <alignment horizontal="left" vertical="center" indent="1"/>
    </xf>
    <xf numFmtId="4" fontId="36" fillId="66" borderId="22" applyNumberFormat="0" applyProtection="0">
      <alignment horizontal="left" vertical="center" indent="1"/>
    </xf>
    <xf numFmtId="4" fontId="44" fillId="69" borderId="22" applyNumberFormat="0" applyProtection="0">
      <alignment horizontal="right" vertical="center"/>
    </xf>
    <xf numFmtId="4" fontId="85" fillId="100" borderId="36" applyNumberFormat="0" applyProtection="0">
      <alignment horizontal="right" vertical="center"/>
    </xf>
    <xf numFmtId="4" fontId="43" fillId="72" borderId="36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36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85" fillId="72" borderId="36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36" applyNumberFormat="0" applyProtection="0">
      <alignment vertical="center"/>
    </xf>
    <xf numFmtId="4" fontId="91" fillId="101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25" fillId="101" borderId="22" applyNumberFormat="0" applyProtection="0">
      <alignment horizontal="left" vertical="top" indent="1"/>
    </xf>
    <xf numFmtId="0" fontId="4" fillId="84" borderId="36" applyNumberFormat="0" applyProtection="0">
      <alignment horizontal="left" vertical="center" indent="1"/>
    </xf>
    <xf numFmtId="0" fontId="25" fillId="107" borderId="22" applyNumberFormat="0" applyProtection="0">
      <alignment horizontal="left" vertical="top" indent="1"/>
    </xf>
    <xf numFmtId="0" fontId="25" fillId="102" borderId="22" applyNumberFormat="0" applyProtection="0">
      <alignment horizontal="left" vertical="top" indent="1"/>
    </xf>
    <xf numFmtId="0" fontId="4" fillId="106" borderId="36" applyNumberFormat="0" applyProtection="0">
      <alignment horizontal="left" vertical="center" indent="1"/>
    </xf>
    <xf numFmtId="0" fontId="4" fillId="106" borderId="36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43" fillId="63" borderId="36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43" fillId="93" borderId="36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43" fillId="91" borderId="36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61" borderId="36" applyNumberFormat="0" applyProtection="0">
      <alignment horizontal="right" vertical="center"/>
    </xf>
    <xf numFmtId="4" fontId="43" fillId="56" borderId="36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4" fontId="43" fillId="57" borderId="36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0" fontId="138" fillId="116" borderId="99" applyNumberFormat="0" applyAlignment="0" applyProtection="0"/>
    <xf numFmtId="0" fontId="138" fillId="116" borderId="99" applyNumberFormat="0" applyAlignment="0" applyProtection="0"/>
    <xf numFmtId="4" fontId="43" fillId="54" borderId="36" applyNumberFormat="0" applyProtection="0">
      <alignment horizontal="left" vertical="center" indent="1"/>
    </xf>
    <xf numFmtId="200" fontId="127" fillId="0" borderId="94">
      <alignment horizontal="right"/>
    </xf>
    <xf numFmtId="4" fontId="43" fillId="54" borderId="36" applyNumberFormat="0" applyProtection="0">
      <alignment horizontal="left" vertical="center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43" fillId="54" borderId="36" applyNumberFormat="0" applyProtection="0">
      <alignment vertical="center"/>
    </xf>
    <xf numFmtId="0" fontId="39" fillId="54" borderId="22" applyNumberFormat="0" applyProtection="0">
      <alignment horizontal="left" vertical="top" indent="1"/>
    </xf>
    <xf numFmtId="4" fontId="38" fillId="58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0" fontId="81" fillId="79" borderId="36" applyNumberFormat="0" applyAlignment="0" applyProtection="0"/>
    <xf numFmtId="0" fontId="81" fillId="79" borderId="36" applyNumberFormat="0" applyAlignment="0" applyProtection="0"/>
    <xf numFmtId="4" fontId="39" fillId="54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43" fillId="104" borderId="36" applyNumberFormat="0" applyAlignment="0" applyProtection="0"/>
    <xf numFmtId="0" fontId="143" fillId="104" borderId="36" applyNumberFormat="0" applyAlignment="0" applyProtection="0"/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93" fillId="67" borderId="92">
      <protection locked="0"/>
    </xf>
    <xf numFmtId="49" fontId="95" fillId="110" borderId="92"/>
    <xf numFmtId="0" fontId="130" fillId="0" borderId="93" applyFill="0" applyBorder="0" applyProtection="0">
      <alignment horizontal="left" vertical="top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3" fontId="127" fillId="0" borderId="45"/>
    <xf numFmtId="4" fontId="43" fillId="87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0" fontId="4" fillId="55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116" fillId="54" borderId="22" applyNumberFormat="0" applyProtection="0">
      <alignment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88" fillId="102" borderId="22" applyNumberFormat="0" applyProtection="0">
      <alignment horizontal="left" vertical="top" indent="1"/>
    </xf>
    <xf numFmtId="0" fontId="88" fillId="108" borderId="22" applyNumberFormat="0" applyProtection="0">
      <alignment horizontal="left" vertical="top" indent="1"/>
    </xf>
    <xf numFmtId="0" fontId="25" fillId="107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9" fillId="69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4" fillId="69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4" fillId="69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58" borderId="36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7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" fillId="84" borderId="36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3" fillId="63" borderId="36" applyNumberFormat="0" applyProtection="0">
      <alignment horizontal="right" vertical="center"/>
    </xf>
    <xf numFmtId="0" fontId="43" fillId="108" borderId="100" applyNumberFormat="0" applyFont="0" applyAlignment="0" applyProtection="0"/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0" fontId="138" fillId="116" borderId="99" applyNumberFormat="0" applyAlignment="0" applyProtection="0"/>
    <xf numFmtId="4" fontId="43" fillId="54" borderId="36" applyNumberFormat="0" applyProtection="0">
      <alignment horizontal="left" vertical="center" indent="1"/>
    </xf>
    <xf numFmtId="4" fontId="43" fillId="93" borderId="36" applyNumberFormat="0" applyProtection="0">
      <alignment horizontal="right" vertical="center"/>
    </xf>
    <xf numFmtId="0" fontId="124" fillId="104" borderId="99" applyNumberFormat="0" applyAlignment="0" applyProtection="0"/>
    <xf numFmtId="0" fontId="124" fillId="104" borderId="99" applyNumberFormat="0" applyAlignment="0" applyProtection="0"/>
    <xf numFmtId="0" fontId="123" fillId="0" borderId="48" applyFill="0" applyProtection="0">
      <alignment horizontal="right"/>
    </xf>
    <xf numFmtId="4" fontId="43" fillId="64" borderId="36" applyNumberFormat="0" applyProtection="0">
      <alignment horizontal="right" vertical="center"/>
    </xf>
    <xf numFmtId="4" fontId="49" fillId="69" borderId="22" applyNumberFormat="0" applyProtection="0">
      <alignment horizontal="right" vertical="center"/>
    </xf>
    <xf numFmtId="4" fontId="48" fillId="68" borderId="27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4" fontId="44" fillId="69" borderId="22" applyNumberFormat="0" applyProtection="0">
      <alignment horizontal="right" vertical="center"/>
    </xf>
    <xf numFmtId="4" fontId="38" fillId="69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36" fillId="66" borderId="27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4" fontId="38" fillId="62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59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8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8" fillId="54" borderId="22" applyNumberFormat="0" applyProtection="0">
      <alignment horizontal="left" vertical="center" indent="1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0" fontId="4" fillId="84" borderId="36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64" borderId="36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0" fontId="4" fillId="84" borderId="36" applyNumberFormat="0" applyProtection="0">
      <alignment horizontal="left" vertical="center" indent="1"/>
    </xf>
    <xf numFmtId="0" fontId="4" fillId="84" borderId="36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200" fontId="127" fillId="0" borderId="94">
      <alignment horizontal="right"/>
    </xf>
    <xf numFmtId="0" fontId="4" fillId="66" borderId="22" applyNumberFormat="0" applyProtection="0">
      <alignment horizontal="left" vertical="center" indent="1"/>
    </xf>
    <xf numFmtId="0" fontId="138" fillId="116" borderId="99" applyNumberFormat="0" applyAlignment="0" applyProtection="0"/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96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130" fillId="0" borderId="93" applyFill="0" applyBorder="0" applyProtection="0">
      <alignment horizontal="left" vertical="top"/>
    </xf>
    <xf numFmtId="4" fontId="43" fillId="92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200" fontId="127" fillId="0" borderId="94">
      <alignment horizontal="right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0" fontId="39" fillId="54" borderId="22" applyNumberFormat="0" applyProtection="0">
      <alignment horizontal="left" vertical="top" indent="1"/>
    </xf>
    <xf numFmtId="4" fontId="39" fillId="54" borderId="22" applyNumberFormat="0" applyProtection="0">
      <alignment horizontal="left" vertical="center" indent="1"/>
    </xf>
    <xf numFmtId="0" fontId="143" fillId="104" borderId="36" applyNumberFormat="0" applyAlignment="0" applyProtection="0"/>
    <xf numFmtId="0" fontId="143" fillId="104" borderId="36" applyNumberFormat="0" applyAlignment="0" applyProtection="0"/>
    <xf numFmtId="4" fontId="39" fillId="54" borderId="22" applyNumberFormat="0" applyProtection="0">
      <alignment horizontal="left" vertical="center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3" fillId="108" borderId="100" applyNumberFormat="0" applyFont="0" applyAlignment="0" applyProtection="0"/>
    <xf numFmtId="0" fontId="138" fillId="116" borderId="99" applyNumberFormat="0" applyAlignment="0" applyProtection="0"/>
    <xf numFmtId="4" fontId="44" fillId="69" borderId="22" applyNumberFormat="0" applyProtection="0">
      <alignment horizontal="right" vertical="center"/>
    </xf>
    <xf numFmtId="4" fontId="36" fillId="66" borderId="27" applyNumberFormat="0" applyProtection="0">
      <alignment horizontal="left" vertical="center" indent="1"/>
    </xf>
    <xf numFmtId="4" fontId="38" fillId="69" borderId="22" applyNumberFormat="0" applyProtection="0">
      <alignment vertical="center"/>
    </xf>
    <xf numFmtId="0" fontId="15" fillId="71" borderId="26" applyBorder="0"/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4" fontId="38" fillId="6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38" fillId="57" borderId="22" applyNumberFormat="0" applyProtection="0">
      <alignment horizontal="right" vertical="center"/>
    </xf>
    <xf numFmtId="4" fontId="38" fillId="56" borderId="22" applyNumberFormat="0" applyProtection="0">
      <alignment horizontal="right" vertical="center"/>
    </xf>
    <xf numFmtId="4" fontId="37" fillId="54" borderId="22" applyNumberFormat="0" applyProtection="0">
      <alignment vertical="center"/>
    </xf>
    <xf numFmtId="4" fontId="36" fillId="54" borderId="22" applyNumberFormat="0" applyProtection="0">
      <alignment vertical="center"/>
    </xf>
    <xf numFmtId="0" fontId="39" fillId="0" borderId="101" applyNumberFormat="0" applyFill="0" applyAlignment="0" applyProtection="0"/>
    <xf numFmtId="0" fontId="39" fillId="0" borderId="101" applyNumberFormat="0" applyFill="0" applyAlignment="0" applyProtection="0"/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" fillId="68" borderId="22" applyNumberFormat="0" applyProtection="0">
      <alignment horizontal="left" vertical="top" indent="1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39" fillId="82" borderId="22" applyNumberFormat="0" applyProtection="0">
      <alignment vertical="center"/>
    </xf>
    <xf numFmtId="4" fontId="116" fillId="54" borderId="22" applyNumberFormat="0" applyProtection="0">
      <alignment vertical="center"/>
    </xf>
    <xf numFmtId="3" fontId="127" fillId="0" borderId="45"/>
    <xf numFmtId="4" fontId="116" fillId="54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0" fontId="39" fillId="54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130" fillId="0" borderId="93" applyFill="0" applyBorder="0" applyProtection="0">
      <alignment horizontal="left" vertical="top"/>
    </xf>
    <xf numFmtId="0" fontId="39" fillId="0" borderId="101" applyNumberFormat="0" applyFill="0" applyAlignment="0" applyProtection="0"/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91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4" fillId="69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38" fillId="6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4" fontId="43" fillId="95" borderId="22" applyNumberFormat="0" applyProtection="0">
      <alignment horizontal="right" vertical="center"/>
    </xf>
    <xf numFmtId="4" fontId="38" fillId="6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38" fillId="60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4" fontId="38" fillId="5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85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96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4" fontId="43" fillId="94" borderId="22" applyNumberFormat="0" applyProtection="0">
      <alignment horizontal="right" vertical="center"/>
    </xf>
    <xf numFmtId="0" fontId="124" fillId="104" borderId="99" applyNumberFormat="0" applyAlignment="0" applyProtection="0"/>
    <xf numFmtId="0" fontId="4" fillId="66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3" fillId="108" borderId="100" applyNumberFormat="0" applyFont="0" applyAlignment="0" applyProtection="0"/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90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3" fontId="127" fillId="0" borderId="45"/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90" borderId="22" applyNumberFormat="0" applyProtection="0">
      <alignment horizontal="right" vertical="center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3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30" fillId="0" borderId="93" applyFill="0" applyBorder="0" applyProtection="0">
      <alignment horizontal="left" vertical="top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3" fontId="127" fillId="0" borderId="45"/>
    <xf numFmtId="0" fontId="43" fillId="72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68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43" fillId="72" borderId="22" applyNumberFormat="0" applyProtection="0">
      <alignment horizontal="left" vertical="top" indent="1"/>
    </xf>
    <xf numFmtId="0" fontId="43" fillId="72" borderId="22" applyNumberFormat="0" applyProtection="0">
      <alignment horizontal="left" vertical="top" indent="1"/>
    </xf>
    <xf numFmtId="4" fontId="116" fillId="54" borderId="22" applyNumberFormat="0" applyProtection="0">
      <alignment vertical="center"/>
    </xf>
    <xf numFmtId="4" fontId="116" fillId="54" borderId="22" applyNumberFormat="0" applyProtection="0">
      <alignment vertical="center"/>
    </xf>
    <xf numFmtId="4" fontId="39" fillId="82" borderId="22" applyNumberFormat="0" applyProtection="0">
      <alignment vertical="center"/>
    </xf>
    <xf numFmtId="0" fontId="4" fillId="69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143" fillId="104" borderId="36" applyNumberFormat="0" applyAlignment="0" applyProtection="0"/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4" fontId="43" fillId="102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49" fontId="95" fillId="110" borderId="92"/>
    <xf numFmtId="0" fontId="93" fillId="67" borderId="92">
      <protection locked="0"/>
    </xf>
    <xf numFmtId="0" fontId="4" fillId="55" borderId="22" applyNumberFormat="0" applyProtection="0">
      <alignment horizontal="left" vertical="top" indent="1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5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7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8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89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38" fillId="61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0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2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38" fillId="63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4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5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38" fillId="6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96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4" fontId="43" fillId="102" borderId="22" applyNumberFormat="0" applyProtection="0">
      <alignment horizontal="right" vertical="center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38" fillId="69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36" fillId="66" borderId="27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4" fontId="43" fillId="72" borderId="22" applyNumberFormat="0" applyProtection="0">
      <alignment horizontal="left" vertical="center" indent="1"/>
    </xf>
    <xf numFmtId="0" fontId="43" fillId="72" borderId="22" applyNumberFormat="0" applyProtection="0">
      <alignment horizontal="left" vertical="top" indent="1"/>
    </xf>
    <xf numFmtId="4" fontId="43" fillId="72" borderId="22" applyNumberFormat="0" applyProtection="0">
      <alignment horizontal="left" vertical="center" indent="1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43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4" fontId="43" fillId="102" borderId="22" applyNumberFormat="0" applyProtection="0">
      <alignment horizontal="left" vertical="center" indent="1"/>
    </xf>
    <xf numFmtId="0" fontId="39" fillId="0" borderId="101" applyNumberFormat="0" applyFill="0" applyAlignment="0" applyProtection="0"/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6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4" fontId="43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102" borderId="22" applyNumberFormat="0" applyProtection="0">
      <alignment horizontal="left" vertical="center" indent="1"/>
    </xf>
    <xf numFmtId="4" fontId="43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4" fontId="39" fillId="54" borderId="22" applyNumberFormat="0" applyProtection="0">
      <alignment horizontal="left" vertical="center" indent="1"/>
    </xf>
    <xf numFmtId="0" fontId="39" fillId="54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39" fillId="54" borderId="22" applyNumberFormat="0" applyProtection="0">
      <alignment horizontal="left" vertical="center" indent="1"/>
    </xf>
    <xf numFmtId="0" fontId="4" fillId="55" borderId="22" applyNumberFormat="0" applyProtection="0">
      <alignment horizontal="left" vertical="top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4" fontId="43" fillId="95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0" fontId="4" fillId="66" borderId="22" applyNumberFormat="0" applyProtection="0">
      <alignment horizontal="left" vertical="center" indent="1"/>
    </xf>
    <xf numFmtId="4" fontId="85" fillId="101" borderId="22" applyNumberFormat="0" applyProtection="0">
      <alignment horizontal="right" vertical="center"/>
    </xf>
    <xf numFmtId="0" fontId="4" fillId="55" borderId="22" applyNumberFormat="0" applyProtection="0">
      <alignment horizontal="left" vertical="top" indent="1"/>
    </xf>
    <xf numFmtId="0" fontId="4" fillId="55" borderId="22" applyNumberFormat="0" applyProtection="0">
      <alignment horizontal="left" vertical="top" indent="1"/>
    </xf>
    <xf numFmtId="4" fontId="85" fillId="101" borderId="22" applyNumberFormat="0" applyProtection="0">
      <alignment horizontal="right" vertical="center"/>
    </xf>
    <xf numFmtId="4" fontId="85" fillId="101" borderId="22" applyNumberFormat="0" applyProtection="0">
      <alignment horizontal="right" vertical="center"/>
    </xf>
    <xf numFmtId="0" fontId="4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0" fontId="43" fillId="68" borderId="22" applyNumberFormat="0" applyProtection="0">
      <alignment horizontal="left" vertical="top" indent="1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91" fillId="101" borderId="22" applyNumberFormat="0" applyProtection="0">
      <alignment horizontal="right" vertical="center"/>
    </xf>
    <xf numFmtId="4" fontId="36" fillId="66" borderId="22" applyNumberFormat="0" applyProtection="0">
      <alignment horizontal="left" vertical="center" indent="1"/>
    </xf>
    <xf numFmtId="0" fontId="4" fillId="68" borderId="22" applyNumberFormat="0" applyProtection="0">
      <alignment horizontal="left" vertical="top" indent="1"/>
    </xf>
    <xf numFmtId="0" fontId="4" fillId="66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center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43" fillId="102" borderId="22" applyNumberFormat="0" applyProtection="0">
      <alignment horizontal="left" vertical="center" indent="1"/>
    </xf>
    <xf numFmtId="0" fontId="138" fillId="116" borderId="99" applyNumberFormat="0" applyAlignment="0" applyProtection="0"/>
    <xf numFmtId="0" fontId="43" fillId="108" borderId="100" applyNumberFormat="0" applyFont="0" applyAlignment="0" applyProtection="0"/>
    <xf numFmtId="0" fontId="4" fillId="69" borderId="22" applyNumberFormat="0" applyProtection="0">
      <alignment horizontal="left" vertical="top" indent="1"/>
    </xf>
    <xf numFmtId="4" fontId="38" fillId="66" borderId="22" applyNumberFormat="0" applyProtection="0">
      <alignment horizontal="right" vertical="center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4" fontId="43" fillId="102" borderId="22" applyNumberFormat="0" applyProtection="0">
      <alignment horizontal="right" vertical="center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0" fontId="4" fillId="69" borderId="22" applyNumberFormat="0" applyProtection="0">
      <alignment horizontal="left" vertical="top" indent="1"/>
    </xf>
    <xf numFmtId="4" fontId="85" fillId="72" borderId="22" applyNumberFormat="0" applyProtection="0">
      <alignment vertical="center"/>
    </xf>
    <xf numFmtId="4" fontId="43" fillId="72" borderId="22" applyNumberFormat="0" applyProtection="0">
      <alignment horizontal="left" vertical="center" indent="1"/>
    </xf>
    <xf numFmtId="4" fontId="85" fillId="72" borderId="22" applyNumberFormat="0" applyProtection="0">
      <alignment vertical="center"/>
    </xf>
    <xf numFmtId="4" fontId="85" fillId="72" borderId="22" applyNumberFormat="0" applyProtection="0">
      <alignment vertical="center"/>
    </xf>
    <xf numFmtId="0" fontId="4" fillId="69" borderId="22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95" applyNumberFormat="0" applyProtection="0">
      <alignment horizontal="right" vertical="center"/>
    </xf>
    <xf numFmtId="4" fontId="25" fillId="98" borderId="96" applyNumberFormat="0" applyProtection="0">
      <alignment horizontal="left" vertical="center" indent="1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0" fontId="25" fillId="107" borderId="95" applyNumberFormat="0" applyProtection="0">
      <alignment horizontal="left" vertical="center" indent="1"/>
    </xf>
    <xf numFmtId="4" fontId="25" fillId="0" borderId="95" applyNumberFormat="0" applyProtection="0">
      <alignment horizontal="right" vertical="center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2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82" borderId="95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98" applyNumberFormat="0" applyFill="0" applyAlignment="0" applyProtection="0"/>
    <xf numFmtId="0" fontId="35" fillId="0" borderId="98" applyNumberFormat="0" applyFill="0" applyAlignment="0" applyProtection="0"/>
    <xf numFmtId="4" fontId="92" fillId="70" borderId="95" applyNumberFormat="0" applyProtection="0">
      <alignment horizontal="right" vertical="center"/>
    </xf>
    <xf numFmtId="4" fontId="90" fillId="109" borderId="96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86" fillId="67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4" fontId="25" fillId="0" borderId="95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60" fillId="79" borderId="95" applyNumberFormat="0" applyAlignment="0" applyProtection="0"/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95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0" fontId="67" fillId="0" borderId="32" applyNumberFormat="0" applyFill="0" applyAlignment="0" applyProtection="0"/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0" fontId="69" fillId="0" borderId="33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95" applyNumberFormat="0" applyAlignment="0" applyProtection="0"/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0" fontId="75" fillId="0" borderId="35" applyNumberFormat="0" applyFill="0" applyAlignment="0" applyProtection="0"/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0" fontId="4" fillId="0" borderId="0"/>
    <xf numFmtId="4" fontId="25" fillId="98" borderId="96" applyNumberFormat="0" applyProtection="0">
      <alignment horizontal="left" vertical="center" indent="1"/>
    </xf>
    <xf numFmtId="4" fontId="25" fillId="96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0" fontId="25" fillId="48" borderId="95" applyNumberFormat="0" applyFont="0" applyAlignment="0" applyProtection="0"/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0" fontId="84" fillId="0" borderId="72">
      <alignment horizont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86" fillId="54" borderId="95" applyNumberFormat="0" applyProtection="0">
      <alignment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86" fillId="54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73" fillId="49" borderId="95" applyNumberFormat="0" applyAlignment="0" applyProtection="0"/>
    <xf numFmtId="0" fontId="73" fillId="49" borderId="95" applyNumberFormat="0" applyAlignment="0" applyProtection="0"/>
    <xf numFmtId="0" fontId="60" fillId="79" borderId="95" applyNumberFormat="0" applyAlignment="0" applyProtection="0"/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86" fillId="67" borderId="95" applyNumberFormat="0" applyProtection="0">
      <alignment horizontal="right" vertical="center"/>
    </xf>
    <xf numFmtId="4" fontId="90" fillId="109" borderId="96" applyNumberFormat="0" applyProtection="0">
      <alignment horizontal="left" vertical="center" indent="1"/>
    </xf>
    <xf numFmtId="4" fontId="92" fillId="70" borderId="95" applyNumberFormat="0" applyProtection="0">
      <alignment horizontal="right" vertical="center"/>
    </xf>
    <xf numFmtId="0" fontId="35" fillId="0" borderId="98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95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95" applyNumberFormat="0" applyProtection="0">
      <alignment horizontal="right" vertical="center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9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4" fillId="71" borderId="9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9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9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9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0" fontId="2" fillId="0" borderId="0"/>
    <xf numFmtId="4" fontId="25" fillId="96" borderId="95" applyNumberFormat="0" applyProtection="0">
      <alignment horizontal="right" vertical="center"/>
    </xf>
    <xf numFmtId="0" fontId="2" fillId="0" borderId="0"/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0" fontId="2" fillId="11" borderId="20" applyNumberFormat="0" applyFont="0" applyAlignment="0" applyProtection="0"/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54" borderId="95" applyNumberFormat="0" applyProtection="0">
      <alignment horizontal="left" vertical="center" indent="1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25" fillId="48" borderId="95" applyNumberFormat="0" applyFont="0" applyAlignment="0" applyProtection="0"/>
    <xf numFmtId="0" fontId="60" fillId="79" borderId="95" applyNumberFormat="0" applyAlignment="0" applyProtection="0"/>
    <xf numFmtId="200" fontId="127" fillId="0" borderId="6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95" applyNumberFormat="0" applyFont="0" applyAlignment="0" applyProtection="0"/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82" borderId="95" applyNumberFormat="0" applyProtection="0">
      <alignment vertical="center"/>
    </xf>
    <xf numFmtId="4" fontId="25" fillId="54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5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6" borderId="95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8" borderId="96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89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0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2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4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5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6" borderId="95" applyNumberFormat="0" applyProtection="0">
      <alignment horizontal="right" vertical="center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98" borderId="96" applyNumberFormat="0" applyProtection="0">
      <alignment horizontal="left" vertical="center" indent="1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2" borderId="95" applyNumberFormat="0" applyProtection="0">
      <alignment horizontal="right" vertical="center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4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4" fontId="25" fillId="0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0" fontId="84" fillId="0" borderId="72">
      <alignment horizontal="center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105" applyFont="0" applyFill="0" applyBorder="0" applyProtection="0">
      <alignment horizontal="right"/>
    </xf>
    <xf numFmtId="0" fontId="139" fillId="0" borderId="72">
      <alignment horizontal="right"/>
    </xf>
    <xf numFmtId="0" fontId="139" fillId="0" borderId="72">
      <alignment horizontal="left"/>
    </xf>
    <xf numFmtId="0" fontId="84" fillId="0" borderId="72">
      <alignment horizontal="center"/>
    </xf>
    <xf numFmtId="0" fontId="139" fillId="0" borderId="72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95" applyNumberFormat="0" applyProtection="0">
      <alignment vertical="center"/>
    </xf>
    <xf numFmtId="4" fontId="25" fillId="83" borderId="95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4" fillId="71" borderId="96" applyNumberFormat="0" applyProtection="0">
      <alignment horizontal="left" vertical="center" indent="1"/>
    </xf>
    <xf numFmtId="4" fontId="25" fillId="101" borderId="96" applyNumberFormat="0" applyProtection="0">
      <alignment horizontal="left" vertical="center" indent="1"/>
    </xf>
    <xf numFmtId="4" fontId="25" fillId="102" borderId="96" applyNumberFormat="0" applyProtection="0">
      <alignment horizontal="left" vertical="center" indent="1"/>
    </xf>
    <xf numFmtId="4" fontId="86" fillId="67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92" fillId="70" borderId="95" applyNumberFormat="0" applyProtection="0">
      <alignment horizontal="right" vertical="center"/>
    </xf>
    <xf numFmtId="4" fontId="25" fillId="83" borderId="95" applyNumberFormat="0" applyProtection="0">
      <alignment horizontal="left" vertical="center" indent="1"/>
    </xf>
    <xf numFmtId="4" fontId="25" fillId="102" borderId="95" applyNumberFormat="0" applyProtection="0">
      <alignment horizontal="right" vertical="center"/>
    </xf>
    <xf numFmtId="0" fontId="25" fillId="104" borderId="95" applyNumberFormat="0" applyProtection="0">
      <alignment horizontal="left" vertical="center" indent="1"/>
    </xf>
    <xf numFmtId="0" fontId="25" fillId="105" borderId="95" applyNumberFormat="0" applyProtection="0">
      <alignment horizontal="left" vertical="center" indent="1"/>
    </xf>
    <xf numFmtId="0" fontId="25" fillId="107" borderId="95" applyNumberFormat="0" applyProtection="0">
      <alignment horizontal="left" vertical="center" indent="1"/>
    </xf>
    <xf numFmtId="0" fontId="25" fillId="101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4" fontId="25" fillId="83" borderId="95" applyNumberFormat="0" applyProtection="0">
      <alignment horizontal="left" vertical="center" indent="1"/>
    </xf>
    <xf numFmtId="0" fontId="25" fillId="70" borderId="113" applyNumberFormat="0">
      <protection locked="0"/>
    </xf>
    <xf numFmtId="4" fontId="36" fillId="65" borderId="11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116" applyNumberFormat="0" applyAlignment="0" applyProtection="0"/>
    <xf numFmtId="4" fontId="43" fillId="54" borderId="116" applyNumberFormat="0" applyProtection="0">
      <alignment vertical="center"/>
    </xf>
    <xf numFmtId="4" fontId="43" fillId="54" borderId="116" applyNumberFormat="0" applyProtection="0">
      <alignment vertical="center"/>
    </xf>
    <xf numFmtId="4" fontId="43" fillId="54" borderId="116" applyNumberFormat="0" applyProtection="0">
      <alignment vertical="center"/>
    </xf>
    <xf numFmtId="4" fontId="85" fillId="54" borderId="116" applyNumberFormat="0" applyProtection="0">
      <alignment vertical="center"/>
    </xf>
    <xf numFmtId="4" fontId="43" fillId="54" borderId="116" applyNumberFormat="0" applyProtection="0">
      <alignment horizontal="left" vertical="center" indent="1"/>
    </xf>
    <xf numFmtId="4" fontId="43" fillId="54" borderId="116" applyNumberFormat="0" applyProtection="0">
      <alignment horizontal="left" vertical="center" indent="1"/>
    </xf>
    <xf numFmtId="4" fontId="43" fillId="54" borderId="116" applyNumberFormat="0" applyProtection="0">
      <alignment horizontal="left" vertical="center" indent="1"/>
    </xf>
    <xf numFmtId="4" fontId="43" fillId="54" borderId="116" applyNumberFormat="0" applyProtection="0">
      <alignment horizontal="left" vertical="center" indent="1"/>
    </xf>
    <xf numFmtId="4" fontId="43" fillId="54" borderId="116" applyNumberFormat="0" applyProtection="0">
      <alignment horizontal="left" vertical="center" indent="1"/>
    </xf>
    <xf numFmtId="4" fontId="43" fillId="5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4" fontId="43" fillId="57" borderId="116" applyNumberFormat="0" applyProtection="0">
      <alignment horizontal="right" vertical="center"/>
    </xf>
    <xf numFmtId="4" fontId="43" fillId="57" borderId="116" applyNumberFormat="0" applyProtection="0">
      <alignment horizontal="right" vertical="center"/>
    </xf>
    <xf numFmtId="4" fontId="43" fillId="57" borderId="116" applyNumberFormat="0" applyProtection="0">
      <alignment horizontal="right" vertical="center"/>
    </xf>
    <xf numFmtId="4" fontId="43" fillId="58" borderId="116" applyNumberFormat="0" applyProtection="0">
      <alignment horizontal="right" vertical="center"/>
    </xf>
    <xf numFmtId="4" fontId="43" fillId="58" borderId="116" applyNumberFormat="0" applyProtection="0">
      <alignment horizontal="right" vertical="center"/>
    </xf>
    <xf numFmtId="4" fontId="43" fillId="58" borderId="116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43" fillId="56" borderId="116" applyNumberFormat="0" applyProtection="0">
      <alignment horizontal="right" vertical="center"/>
    </xf>
    <xf numFmtId="4" fontId="43" fillId="56" borderId="116" applyNumberFormat="0" applyProtection="0">
      <alignment horizontal="right" vertical="center"/>
    </xf>
    <xf numFmtId="4" fontId="43" fillId="56" borderId="116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25" fillId="88" borderId="117" applyNumberFormat="0" applyProtection="0">
      <alignment horizontal="right" vertical="center"/>
    </xf>
    <xf numFmtId="4" fontId="43" fillId="61" borderId="116" applyNumberFormat="0" applyProtection="0">
      <alignment horizontal="right" vertical="center"/>
    </xf>
    <xf numFmtId="4" fontId="43" fillId="61" borderId="116" applyNumberFormat="0" applyProtection="0">
      <alignment horizontal="right" vertical="center"/>
    </xf>
    <xf numFmtId="4" fontId="43" fillId="61" borderId="116" applyNumberFormat="0" applyProtection="0">
      <alignment horizontal="right" vertical="center"/>
    </xf>
    <xf numFmtId="4" fontId="43" fillId="91" borderId="116" applyNumberFormat="0" applyProtection="0">
      <alignment horizontal="right" vertical="center"/>
    </xf>
    <xf numFmtId="4" fontId="43" fillId="91" borderId="116" applyNumberFormat="0" applyProtection="0">
      <alignment horizontal="right" vertical="center"/>
    </xf>
    <xf numFmtId="4" fontId="43" fillId="91" borderId="116" applyNumberFormat="0" applyProtection="0">
      <alignment horizontal="right" vertical="center"/>
    </xf>
    <xf numFmtId="4" fontId="43" fillId="93" borderId="116" applyNumberFormat="0" applyProtection="0">
      <alignment horizontal="right" vertical="center"/>
    </xf>
    <xf numFmtId="4" fontId="43" fillId="93" borderId="116" applyNumberFormat="0" applyProtection="0">
      <alignment horizontal="right" vertical="center"/>
    </xf>
    <xf numFmtId="4" fontId="43" fillId="93" borderId="116" applyNumberFormat="0" applyProtection="0">
      <alignment horizontal="right" vertical="center"/>
    </xf>
    <xf numFmtId="4" fontId="43" fillId="64" borderId="116" applyNumberFormat="0" applyProtection="0">
      <alignment horizontal="right" vertical="center"/>
    </xf>
    <xf numFmtId="4" fontId="43" fillId="64" borderId="116" applyNumberFormat="0" applyProtection="0">
      <alignment horizontal="right" vertical="center"/>
    </xf>
    <xf numFmtId="4" fontId="43" fillId="64" borderId="116" applyNumberFormat="0" applyProtection="0">
      <alignment horizontal="right" vertical="center"/>
    </xf>
    <xf numFmtId="4" fontId="43" fillId="63" borderId="116" applyNumberFormat="0" applyProtection="0">
      <alignment horizontal="right" vertical="center"/>
    </xf>
    <xf numFmtId="4" fontId="43" fillId="63" borderId="116" applyNumberFormat="0" applyProtection="0">
      <alignment horizontal="right" vertical="center"/>
    </xf>
    <xf numFmtId="4" fontId="43" fillId="63" borderId="116" applyNumberFormat="0" applyProtection="0">
      <alignment horizontal="right" vertical="center"/>
    </xf>
    <xf numFmtId="4" fontId="43" fillId="97" borderId="116" applyNumberFormat="0" applyProtection="0">
      <alignment horizontal="right" vertical="center"/>
    </xf>
    <xf numFmtId="4" fontId="43" fillId="97" borderId="116" applyNumberFormat="0" applyProtection="0">
      <alignment horizontal="right" vertical="center"/>
    </xf>
    <xf numFmtId="4" fontId="43" fillId="97" borderId="116" applyNumberFormat="0" applyProtection="0">
      <alignment horizontal="right" vertical="center"/>
    </xf>
    <xf numFmtId="4" fontId="39" fillId="99" borderId="116" applyNumberFormat="0" applyProtection="0">
      <alignment horizontal="left" vertical="center" indent="1"/>
    </xf>
    <xf numFmtId="4" fontId="39" fillId="98" borderId="112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36" fillId="65" borderId="112" applyNumberFormat="0" applyProtection="0">
      <alignment horizontal="left" vertical="center" indent="1"/>
    </xf>
    <xf numFmtId="4" fontId="25" fillId="98" borderId="117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117" applyNumberFormat="0" applyProtection="0">
      <alignment horizontal="left" vertical="center" indent="1"/>
    </xf>
    <xf numFmtId="4" fontId="4" fillId="71" borderId="117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43" fillId="100" borderId="116" applyNumberFormat="0" applyProtection="0">
      <alignment horizontal="left" vertical="center" indent="1"/>
    </xf>
    <xf numFmtId="4" fontId="43" fillId="100" borderId="116" applyNumberFormat="0" applyProtection="0">
      <alignment horizontal="left" vertical="center" indent="1"/>
    </xf>
    <xf numFmtId="4" fontId="43" fillId="100" borderId="116" applyNumberFormat="0" applyProtection="0">
      <alignment horizontal="left" vertical="center" indent="1"/>
    </xf>
    <xf numFmtId="4" fontId="43" fillId="100" borderId="116" applyNumberFormat="0" applyProtection="0">
      <alignment horizontal="left" vertical="center" indent="1"/>
    </xf>
    <xf numFmtId="4" fontId="43" fillId="100" borderId="116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1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43" fillId="103" borderId="116" applyNumberFormat="0" applyProtection="0">
      <alignment horizontal="left" vertical="center" indent="1"/>
    </xf>
    <xf numFmtId="4" fontId="43" fillId="103" borderId="116" applyNumberFormat="0" applyProtection="0">
      <alignment horizontal="left" vertical="center" indent="1"/>
    </xf>
    <xf numFmtId="4" fontId="43" fillId="103" borderId="116" applyNumberFormat="0" applyProtection="0">
      <alignment horizontal="left" vertical="center" indent="1"/>
    </xf>
    <xf numFmtId="4" fontId="43" fillId="103" borderId="116" applyNumberFormat="0" applyProtection="0">
      <alignment horizontal="left" vertical="center" indent="1"/>
    </xf>
    <xf numFmtId="4" fontId="43" fillId="103" borderId="116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4" fontId="25" fillId="102" borderId="117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3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106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25" fillId="70" borderId="113" applyNumberFormat="0">
      <protection locked="0"/>
    </xf>
    <xf numFmtId="0" fontId="25" fillId="70" borderId="113" applyNumberFormat="0">
      <protection locked="0"/>
    </xf>
    <xf numFmtId="0" fontId="25" fillId="70" borderId="113" applyNumberFormat="0">
      <protection locked="0"/>
    </xf>
    <xf numFmtId="0" fontId="25" fillId="70" borderId="113" applyNumberFormat="0">
      <protection locked="0"/>
    </xf>
    <xf numFmtId="4" fontId="43" fillId="72" borderId="116" applyNumberFormat="0" applyProtection="0">
      <alignment vertical="center"/>
    </xf>
    <xf numFmtId="4" fontId="43" fillId="72" borderId="116" applyNumberFormat="0" applyProtection="0">
      <alignment vertical="center"/>
    </xf>
    <xf numFmtId="4" fontId="43" fillId="72" borderId="116" applyNumberFormat="0" applyProtection="0">
      <alignment vertical="center"/>
    </xf>
    <xf numFmtId="4" fontId="85" fillId="72" borderId="116" applyNumberFormat="0" applyProtection="0">
      <alignment vertical="center"/>
    </xf>
    <xf numFmtId="4" fontId="43" fillId="72" borderId="116" applyNumberFormat="0" applyProtection="0">
      <alignment horizontal="left" vertical="center" indent="1"/>
    </xf>
    <xf numFmtId="4" fontId="43" fillId="72" borderId="116" applyNumberFormat="0" applyProtection="0">
      <alignment horizontal="left" vertical="center" indent="1"/>
    </xf>
    <xf numFmtId="4" fontId="43" fillId="72" borderId="116" applyNumberFormat="0" applyProtection="0">
      <alignment horizontal="left" vertical="center" indent="1"/>
    </xf>
    <xf numFmtId="4" fontId="43" fillId="72" borderId="116" applyNumberFormat="0" applyProtection="0">
      <alignment horizontal="left" vertical="center" indent="1"/>
    </xf>
    <xf numFmtId="4" fontId="43" fillId="72" borderId="116" applyNumberFormat="0" applyProtection="0">
      <alignment horizontal="left" vertical="center" indent="1"/>
    </xf>
    <xf numFmtId="4" fontId="43" fillId="72" borderId="116" applyNumberFormat="0" applyProtection="0">
      <alignment horizontal="left" vertical="center" indent="1"/>
    </xf>
    <xf numFmtId="4" fontId="43" fillId="0" borderId="116" applyNumberFormat="0" applyProtection="0">
      <alignment horizontal="right" vertical="center"/>
    </xf>
    <xf numFmtId="4" fontId="43" fillId="0" borderId="116" applyNumberFormat="0" applyProtection="0">
      <alignment horizontal="right" vertical="center"/>
    </xf>
    <xf numFmtId="4" fontId="43" fillId="0" borderId="116" applyNumberFormat="0" applyProtection="0">
      <alignment horizontal="right" vertical="center"/>
    </xf>
    <xf numFmtId="4" fontId="85" fillId="100" borderId="116" applyNumberFormat="0" applyProtection="0">
      <alignment horizontal="right" vertical="center"/>
    </xf>
    <xf numFmtId="0" fontId="4" fillId="0" borderId="116" applyNumberFormat="0" applyProtection="0">
      <alignment horizontal="left" vertical="center" indent="1"/>
    </xf>
    <xf numFmtId="0" fontId="4" fillId="0" borderId="116" applyNumberFormat="0" applyProtection="0">
      <alignment horizontal="left" vertical="center" indent="1"/>
    </xf>
    <xf numFmtId="0" fontId="4" fillId="0" borderId="116" applyNumberFormat="0" applyProtection="0">
      <alignment horizontal="left" vertical="center" indent="1"/>
    </xf>
    <xf numFmtId="0" fontId="4" fillId="0" borderId="116" applyNumberFormat="0" applyProtection="0">
      <alignment horizontal="left" vertical="center" indent="1"/>
    </xf>
    <xf numFmtId="0" fontId="4" fillId="0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0" fontId="4" fillId="84" borderId="116" applyNumberFormat="0" applyProtection="0">
      <alignment horizontal="left" vertical="center" indent="1"/>
    </xf>
    <xf numFmtId="4" fontId="91" fillId="100" borderId="116" applyNumberFormat="0" applyProtection="0">
      <alignment horizontal="right" vertical="center"/>
    </xf>
    <xf numFmtId="0" fontId="35" fillId="0" borderId="119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20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674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11" fillId="0" borderId="0" xfId="4" applyFont="1" applyAlignment="1" applyProtection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5" fontId="5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/>
    </xf>
    <xf numFmtId="0" fontId="6" fillId="0" borderId="0" xfId="0" applyFont="1"/>
    <xf numFmtId="0" fontId="5" fillId="0" borderId="0" xfId="0" applyFont="1" applyBorder="1"/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 applyFill="1" applyBorder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166" fontId="5" fillId="0" borderId="0" xfId="1" applyNumberFormat="1" applyFont="1" applyFill="1" applyBorder="1" applyAlignment="1">
      <alignment vertical="top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27" fillId="0" borderId="0" xfId="0" applyFont="1"/>
    <xf numFmtId="0" fontId="5" fillId="0" borderId="0" xfId="54" applyFont="1" applyFill="1" applyBorder="1"/>
    <xf numFmtId="165" fontId="5" fillId="0" borderId="0" xfId="2011" applyNumberFormat="1" applyFont="1"/>
    <xf numFmtId="0" fontId="13" fillId="0" borderId="0" xfId="1965" applyFont="1" applyBorder="1"/>
    <xf numFmtId="0" fontId="5" fillId="0" borderId="0" xfId="4" applyFont="1" applyProtection="1"/>
    <xf numFmtId="0" fontId="5" fillId="0" borderId="0" xfId="4" applyFont="1" applyAlignment="1" applyProtection="1">
      <alignment horizontal="left"/>
    </xf>
    <xf numFmtId="0" fontId="5" fillId="0" borderId="0" xfId="4" applyFont="1" applyAlignment="1" applyProtection="1">
      <alignment horizontal="left" vertical="center"/>
    </xf>
    <xf numFmtId="0" fontId="10" fillId="0" borderId="0" xfId="4" applyFont="1" applyProtection="1"/>
    <xf numFmtId="0" fontId="10" fillId="0" borderId="0" xfId="4" applyFont="1" applyAlignment="1" applyProtection="1">
      <alignment horizontal="left"/>
    </xf>
    <xf numFmtId="0" fontId="5" fillId="0" borderId="0" xfId="1965" applyFont="1" applyFill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53" xfId="22" applyNumberFormat="1" applyFont="1" applyBorder="1"/>
    <xf numFmtId="181" fontId="6" fillId="0" borderId="49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Fill="1" applyBorder="1" applyAlignment="1">
      <alignment horizontal="center"/>
    </xf>
    <xf numFmtId="0" fontId="6" fillId="0" borderId="0" xfId="2012" applyFont="1" applyBorder="1" applyAlignment="1">
      <alignment horizontal="center"/>
    </xf>
    <xf numFmtId="0" fontId="6" fillId="0" borderId="0" xfId="2012" applyFont="1" applyProtection="1"/>
    <xf numFmtId="0" fontId="6" fillId="0" borderId="0" xfId="2012" applyFont="1"/>
    <xf numFmtId="0" fontId="6" fillId="0" borderId="0" xfId="2012" applyFont="1" applyAlignment="1">
      <alignment horizontal="left"/>
    </xf>
    <xf numFmtId="0" fontId="5" fillId="0" borderId="0" xfId="2012" applyFont="1" applyBorder="1" applyAlignment="1">
      <alignment horizontal="center"/>
    </xf>
    <xf numFmtId="0" fontId="6" fillId="0" borderId="0" xfId="2012" applyFont="1" applyBorder="1" applyProtection="1"/>
    <xf numFmtId="0" fontId="6" fillId="0" borderId="0" xfId="2012" applyFont="1" applyBorder="1"/>
    <xf numFmtId="0" fontId="6" fillId="0" borderId="0" xfId="2012" applyFont="1" applyBorder="1" applyAlignment="1" applyProtection="1"/>
    <xf numFmtId="0" fontId="13" fillId="0" borderId="0" xfId="2012" applyFont="1" applyBorder="1" applyAlignment="1" applyProtection="1"/>
    <xf numFmtId="183" fontId="5" fillId="0" borderId="0" xfId="2012" applyNumberFormat="1" applyFont="1" applyAlignment="1">
      <alignment horizontal="right"/>
    </xf>
    <xf numFmtId="0" fontId="5" fillId="0" borderId="0" xfId="2012" applyFont="1" applyProtection="1"/>
    <xf numFmtId="183" fontId="5" fillId="0" borderId="0" xfId="2012" applyNumberFormat="1" applyFont="1" applyFill="1" applyAlignment="1">
      <alignment horizontal="right"/>
    </xf>
    <xf numFmtId="183" fontId="5" fillId="0" borderId="0" xfId="2012" quotePrefix="1" applyNumberFormat="1" applyFont="1" applyAlignment="1">
      <alignment horizontal="right"/>
    </xf>
    <xf numFmtId="0" fontId="6" fillId="0" borderId="0" xfId="2012" applyFont="1" applyAlignment="1"/>
    <xf numFmtId="0" fontId="13" fillId="0" borderId="0" xfId="2012" applyFont="1" applyProtection="1"/>
    <xf numFmtId="0" fontId="5" fillId="0" borderId="0" xfId="2012" applyFont="1"/>
    <xf numFmtId="0" fontId="6" fillId="0" borderId="0" xfId="2012" applyFont="1" applyBorder="1" applyAlignment="1">
      <alignment horizontal="left"/>
    </xf>
    <xf numFmtId="182" fontId="5" fillId="0" borderId="0" xfId="2012" applyNumberFormat="1" applyFont="1" applyBorder="1" applyAlignment="1" applyProtection="1">
      <alignment horizontal="left"/>
    </xf>
    <xf numFmtId="0" fontId="5" fillId="0" borderId="0" xfId="2012" applyNumberFormat="1" applyFont="1" applyBorder="1" applyAlignment="1">
      <alignment horizontal="center"/>
    </xf>
    <xf numFmtId="0" fontId="6" fillId="0" borderId="0" xfId="2012" applyFont="1" applyFill="1" applyBorder="1" applyAlignment="1">
      <alignment horizontal="center"/>
    </xf>
    <xf numFmtId="0" fontId="13" fillId="0" borderId="0" xfId="2012" applyFont="1" applyBorder="1" applyProtection="1"/>
    <xf numFmtId="0" fontId="13" fillId="0" borderId="0" xfId="2012" applyFont="1" applyFill="1" applyBorder="1" applyAlignment="1">
      <alignment horizontal="center"/>
    </xf>
    <xf numFmtId="0" fontId="5" fillId="0" borderId="0" xfId="2012" applyFont="1" applyBorder="1" applyProtection="1"/>
    <xf numFmtId="165" fontId="5" fillId="0" borderId="0" xfId="21" applyNumberFormat="1" applyFont="1" applyFill="1" applyBorder="1" applyProtection="1">
      <protection locked="0"/>
    </xf>
    <xf numFmtId="0" fontId="5" fillId="0" borderId="0" xfId="2012" applyNumberFormat="1" applyFont="1" applyFill="1" applyBorder="1" applyAlignment="1">
      <alignment horizontal="center"/>
    </xf>
    <xf numFmtId="165" fontId="5" fillId="0" borderId="0" xfId="2012" applyNumberFormat="1" applyFont="1" applyBorder="1" applyAlignment="1" applyProtection="1">
      <alignment horizontal="right"/>
      <protection locked="0"/>
    </xf>
    <xf numFmtId="0" fontId="6" fillId="0" borderId="0" xfId="2012" applyNumberFormat="1" applyFont="1" applyBorder="1" applyAlignment="1">
      <alignment horizontal="left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Border="1" applyAlignment="1" applyProtection="1">
      <alignment horizontal="right"/>
      <protection locked="0"/>
    </xf>
    <xf numFmtId="0" fontId="5" fillId="0" borderId="0" xfId="2012" applyFont="1" applyBorder="1"/>
    <xf numFmtId="10" fontId="6" fillId="0" borderId="0" xfId="61" applyNumberFormat="1" applyFont="1"/>
    <xf numFmtId="183" fontId="6" fillId="0" borderId="0" xfId="2012" quotePrefix="1" applyNumberFormat="1" applyFont="1" applyBorder="1" applyAlignment="1">
      <alignment horizontal="right"/>
    </xf>
    <xf numFmtId="183" fontId="5" fillId="0" borderId="0" xfId="2012" applyNumberFormat="1" applyFont="1" applyFill="1" applyBorder="1" applyAlignment="1" applyProtection="1">
      <alignment horizontal="right"/>
      <protection locked="0"/>
    </xf>
    <xf numFmtId="0" fontId="5" fillId="0" borderId="0" xfId="1965" applyFont="1" applyAlignment="1">
      <alignment horizontal="center"/>
    </xf>
    <xf numFmtId="0" fontId="6" fillId="0" borderId="0" xfId="1965" applyFont="1"/>
    <xf numFmtId="0" fontId="13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Fill="1" applyBorder="1" applyAlignment="1">
      <alignment horizontal="center"/>
    </xf>
    <xf numFmtId="0" fontId="6" fillId="0" borderId="0" xfId="1965" applyFont="1" applyBorder="1"/>
    <xf numFmtId="175" fontId="6" fillId="0" borderId="0" xfId="1965" applyNumberFormat="1" applyFont="1"/>
    <xf numFmtId="0" fontId="6" fillId="0" borderId="0" xfId="1965" applyFont="1" applyBorder="1" applyAlignment="1">
      <alignment horizontal="center"/>
    </xf>
    <xf numFmtId="0" fontId="5" fillId="0" borderId="0" xfId="1965" applyFont="1" applyBorder="1" applyAlignment="1">
      <alignment horizontal="left"/>
    </xf>
    <xf numFmtId="165" fontId="6" fillId="0" borderId="0" xfId="1965" applyNumberFormat="1" applyFont="1" applyFill="1"/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54" xfId="4" applyFont="1" applyBorder="1"/>
    <xf numFmtId="0" fontId="6" fillId="0" borderId="42" xfId="4" applyFont="1" applyBorder="1"/>
    <xf numFmtId="0" fontId="6" fillId="0" borderId="0" xfId="4" applyFont="1" applyBorder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0" xfId="1604" applyFont="1" applyFill="1" applyBorder="1"/>
    <xf numFmtId="0" fontId="5" fillId="0" borderId="0" xfId="0" applyFont="1" applyProtection="1"/>
    <xf numFmtId="0" fontId="5" fillId="0" borderId="94" xfId="4" applyFont="1" applyBorder="1"/>
    <xf numFmtId="0" fontId="5" fillId="0" borderId="81" xfId="4" applyFont="1" applyBorder="1" applyAlignment="1">
      <alignment horizontal="center"/>
    </xf>
    <xf numFmtId="0" fontId="6" fillId="0" borderId="0" xfId="4" applyFont="1" applyAlignment="1"/>
    <xf numFmtId="0" fontId="6" fillId="0" borderId="0" xfId="4" applyFont="1" applyBorder="1"/>
    <xf numFmtId="0" fontId="5" fillId="0" borderId="0" xfId="4" applyFont="1" applyBorder="1"/>
    <xf numFmtId="0" fontId="5" fillId="0" borderId="0" xfId="2001" applyFont="1"/>
    <xf numFmtId="0" fontId="5" fillId="0" borderId="0" xfId="2001" applyFont="1" applyFill="1" applyBorder="1"/>
    <xf numFmtId="0" fontId="5" fillId="0" borderId="0" xfId="2001" applyFont="1" applyFill="1" applyAlignment="1">
      <alignment horizontal="center"/>
    </xf>
    <xf numFmtId="165" fontId="5" fillId="0" borderId="0" xfId="23" applyNumberFormat="1" applyFont="1" applyAlignment="1">
      <alignment horizontal="center"/>
    </xf>
    <xf numFmtId="5" fontId="5" fillId="0" borderId="0" xfId="0" applyNumberFormat="1" applyFont="1" applyFill="1" applyAlignment="1">
      <alignment horizontal="center"/>
    </xf>
    <xf numFmtId="5" fontId="5" fillId="0" borderId="0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0" xfId="4" applyFont="1" applyFill="1"/>
    <xf numFmtId="0" fontId="6" fillId="0" borderId="0" xfId="4" applyFont="1" applyFill="1" applyAlignment="1"/>
    <xf numFmtId="165" fontId="6" fillId="0" borderId="0" xfId="21" quotePrefix="1" applyNumberFormat="1" applyFont="1" applyFill="1" applyBorder="1" applyAlignment="1">
      <alignment horizontal="right"/>
    </xf>
    <xf numFmtId="0" fontId="6" fillId="0" borderId="0" xfId="4" applyFont="1" applyFill="1" applyBorder="1"/>
    <xf numFmtId="173" fontId="6" fillId="0" borderId="0" xfId="4" applyNumberFormat="1" applyFont="1" applyFill="1" applyAlignment="1" applyProtection="1">
      <alignment horizontal="center"/>
    </xf>
    <xf numFmtId="0" fontId="6" fillId="0" borderId="0" xfId="4" applyFont="1" applyFill="1"/>
    <xf numFmtId="0" fontId="5" fillId="0" borderId="0" xfId="4" applyFont="1" applyFill="1" applyAlignment="1">
      <alignment horizontal="center"/>
    </xf>
    <xf numFmtId="0" fontId="13" fillId="0" borderId="0" xfId="4" applyFont="1" applyFill="1" applyBorder="1" applyAlignment="1">
      <alignment horizontal="left"/>
    </xf>
    <xf numFmtId="0" fontId="6" fillId="0" borderId="0" xfId="4" applyFont="1" applyFill="1" applyBorder="1" applyAlignment="1" applyProtection="1">
      <alignment horizontal="center"/>
      <protection locked="0"/>
    </xf>
    <xf numFmtId="0" fontId="5" fillId="0" borderId="0" xfId="4" applyFont="1" applyFill="1" applyAlignment="1" applyProtection="1">
      <alignment horizontal="left"/>
    </xf>
    <xf numFmtId="0" fontId="5" fillId="0" borderId="0" xfId="4" applyFont="1" applyFill="1" applyBorder="1" applyAlignment="1" applyProtection="1">
      <alignment horizontal="left"/>
    </xf>
    <xf numFmtId="0" fontId="6" fillId="0" borderId="0" xfId="4" applyFont="1" applyFill="1" applyAlignment="1" applyProtection="1">
      <alignment horizontal="left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0" fontId="6" fillId="0" borderId="0" xfId="4" applyFont="1" applyFill="1" applyBorder="1" applyAlignment="1" applyProtection="1">
      <alignment horizontal="left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Border="1" applyAlignment="1">
      <alignment horizontal="center"/>
    </xf>
    <xf numFmtId="0" fontId="5" fillId="0" borderId="0" xfId="4" applyFont="1" applyFill="1" applyAlignment="1"/>
    <xf numFmtId="0" fontId="5" fillId="0" borderId="0" xfId="4" applyFont="1" applyFill="1" applyBorder="1"/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 applyFill="1" applyBorder="1"/>
    <xf numFmtId="0" fontId="29" fillId="0" borderId="0" xfId="1962" applyFont="1" applyBorder="1"/>
    <xf numFmtId="41" fontId="29" fillId="0" borderId="0" xfId="1962" applyNumberFormat="1" applyFont="1" applyFill="1" applyBorder="1"/>
    <xf numFmtId="209" fontId="29" fillId="0" borderId="0" xfId="1962" applyNumberFormat="1" applyFont="1" applyBorder="1"/>
    <xf numFmtId="0" fontId="5" fillId="0" borderId="94" xfId="37887" quotePrefix="1" applyNumberFormat="1" applyFont="1" applyFill="1" applyBorder="1" applyAlignment="1">
      <alignment vertical="center"/>
    </xf>
    <xf numFmtId="0" fontId="29" fillId="0" borderId="94" xfId="1962" applyFont="1" applyFill="1" applyBorder="1"/>
    <xf numFmtId="0" fontId="6" fillId="0" borderId="0" xfId="4" applyFont="1" applyAlignment="1">
      <alignment horizontal="center"/>
    </xf>
    <xf numFmtId="0" fontId="6" fillId="0" borderId="0" xfId="4" applyFont="1" applyFill="1" applyAlignment="1" applyProtection="1">
      <alignment horizontal="center"/>
    </xf>
    <xf numFmtId="0" fontId="6" fillId="0" borderId="0" xfId="4" quotePrefix="1" applyFont="1" applyFill="1" applyAlignment="1">
      <alignment horizontal="center"/>
    </xf>
    <xf numFmtId="0" fontId="6" fillId="0" borderId="0" xfId="4" applyFont="1" applyAlignment="1">
      <alignment horizontal="center"/>
    </xf>
    <xf numFmtId="0" fontId="5" fillId="0" borderId="3" xfId="4" applyFont="1" applyBorder="1" applyAlignment="1">
      <alignment horizontal="center"/>
    </xf>
    <xf numFmtId="0" fontId="6" fillId="0" borderId="3" xfId="4" applyFont="1" applyBorder="1" applyAlignment="1">
      <alignment horizontal="center"/>
    </xf>
    <xf numFmtId="0" fontId="6" fillId="0" borderId="123" xfId="4" applyFont="1" applyBorder="1"/>
    <xf numFmtId="0" fontId="6" fillId="0" borderId="4" xfId="4" applyFont="1" applyBorder="1" applyAlignment="1">
      <alignment horizontal="left"/>
    </xf>
    <xf numFmtId="0" fontId="6" fillId="0" borderId="107" xfId="4" applyFont="1" applyBorder="1" applyAlignment="1">
      <alignment horizontal="center"/>
    </xf>
    <xf numFmtId="10" fontId="6" fillId="0" borderId="3" xfId="61" applyNumberFormat="1" applyFont="1" applyBorder="1" applyAlignment="1">
      <alignment horizontal="center"/>
    </xf>
    <xf numFmtId="41" fontId="5" fillId="0" borderId="3" xfId="21" applyNumberFormat="1" applyFont="1" applyBorder="1" applyAlignment="1">
      <alignment horizontal="center"/>
    </xf>
    <xf numFmtId="43" fontId="6" fillId="0" borderId="3" xfId="4" applyNumberFormat="1" applyFont="1" applyBorder="1" applyAlignment="1">
      <alignment horizontal="center"/>
    </xf>
    <xf numFmtId="41" fontId="6" fillId="0" borderId="3" xfId="21" applyNumberFormat="1" applyFont="1" applyBorder="1" applyAlignment="1">
      <alignment horizontal="left"/>
    </xf>
    <xf numFmtId="41" fontId="6" fillId="0" borderId="3" xfId="21" applyNumberFormat="1" applyFont="1" applyFill="1" applyBorder="1" applyAlignment="1">
      <alignment horizontal="left"/>
    </xf>
    <xf numFmtId="41" fontId="5" fillId="0" borderId="3" xfId="21" applyNumberFormat="1" applyFont="1" applyFill="1" applyBorder="1" applyAlignment="1">
      <alignment horizontal="center"/>
    </xf>
    <xf numFmtId="41" fontId="5" fillId="0" borderId="0" xfId="21" applyNumberFormat="1" applyFont="1" applyFill="1" applyBorder="1" applyAlignment="1">
      <alignment horizontal="center"/>
    </xf>
    <xf numFmtId="41" fontId="6" fillId="0" borderId="3" xfId="21" applyNumberFormat="1" applyFont="1" applyFill="1" applyBorder="1" applyAlignment="1">
      <alignment horizontal="center"/>
    </xf>
    <xf numFmtId="0" fontId="6" fillId="0" borderId="108" xfId="4" applyFont="1" applyBorder="1"/>
    <xf numFmtId="43" fontId="5" fillId="0" borderId="3" xfId="4" applyNumberFormat="1" applyFont="1" applyBorder="1" applyAlignment="1">
      <alignment horizontal="center"/>
    </xf>
    <xf numFmtId="41" fontId="6" fillId="0" borderId="3" xfId="21" applyNumberFormat="1" applyFont="1" applyBorder="1" applyAlignment="1">
      <alignment horizontal="center"/>
    </xf>
    <xf numFmtId="41" fontId="6" fillId="0" borderId="3" xfId="21" applyNumberFormat="1" applyFont="1" applyFill="1" applyBorder="1"/>
    <xf numFmtId="166" fontId="6" fillId="0" borderId="3" xfId="22" applyNumberFormat="1" applyFont="1" applyFill="1" applyBorder="1"/>
    <xf numFmtId="0" fontId="6" fillId="0" borderId="108" xfId="4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9" fillId="0" borderId="0" xfId="0" applyFont="1" applyAlignment="1"/>
    <xf numFmtId="49" fontId="157" fillId="128" borderId="86" xfId="0" applyNumberFormat="1" applyFont="1" applyFill="1" applyBorder="1" applyAlignment="1">
      <alignment horizontal="center"/>
    </xf>
    <xf numFmtId="49" fontId="117" fillId="129" borderId="94" xfId="0" applyNumberFormat="1" applyFont="1" applyFill="1" applyBorder="1" applyAlignment="1">
      <alignment horizontal="center"/>
    </xf>
    <xf numFmtId="2" fontId="27" fillId="0" borderId="0" xfId="0" applyNumberFormat="1" applyFont="1"/>
    <xf numFmtId="0" fontId="5" fillId="0" borderId="0" xfId="4" applyFont="1" applyAlignment="1">
      <alignment horizontal="left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6" fillId="0" borderId="125" xfId="4" applyFont="1" applyBorder="1" applyAlignment="1">
      <alignment vertical="center"/>
    </xf>
    <xf numFmtId="0" fontId="6" fillId="0" borderId="123" xfId="4" quotePrefix="1" applyFont="1" applyBorder="1" applyAlignment="1">
      <alignment horizontal="center" vertical="center"/>
    </xf>
    <xf numFmtId="0" fontId="6" fillId="0" borderId="125" xfId="4" quotePrefix="1" applyNumberFormat="1" applyFont="1" applyBorder="1" applyAlignment="1">
      <alignment horizontal="center" vertical="center"/>
    </xf>
    <xf numFmtId="0" fontId="6" fillId="0" borderId="94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94" xfId="4" applyNumberFormat="1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94" xfId="4" applyNumberFormat="1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horizontal="centerContinuous" vertical="center"/>
    </xf>
    <xf numFmtId="0" fontId="6" fillId="0" borderId="94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0" fontId="6" fillId="0" borderId="106" xfId="4" applyFont="1" applyBorder="1" applyAlignment="1">
      <alignment horizontal="center" vertical="center"/>
    </xf>
    <xf numFmtId="0" fontId="6" fillId="0" borderId="128" xfId="4" applyFont="1" applyBorder="1" applyAlignment="1">
      <alignment horizontal="center" vertical="center"/>
    </xf>
    <xf numFmtId="0" fontId="6" fillId="0" borderId="106" xfId="4" applyNumberFormat="1" applyFont="1" applyBorder="1" applyAlignment="1">
      <alignment horizontal="center" vertical="center"/>
    </xf>
    <xf numFmtId="0" fontId="6" fillId="0" borderId="111" xfId="4" applyFont="1" applyBorder="1" applyAlignment="1">
      <alignment horizontal="center" vertical="center"/>
    </xf>
    <xf numFmtId="17" fontId="5" fillId="0" borderId="94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94" xfId="4" applyNumberFormat="1" applyFont="1" applyFill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8" fillId="0" borderId="94" xfId="4" applyNumberFormat="1" applyFont="1" applyFill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158" fillId="0" borderId="94" xfId="4" applyNumberFormat="1" applyFont="1" applyBorder="1" applyAlignment="1">
      <alignment horizontal="centerContinuous" vertical="center"/>
    </xf>
    <xf numFmtId="0" fontId="6" fillId="0" borderId="0" xfId="4" applyFont="1" applyFill="1" applyAlignment="1">
      <alignment vertical="center"/>
    </xf>
    <xf numFmtId="0" fontId="6" fillId="0" borderId="0" xfId="4" applyFont="1" applyBorder="1" applyAlignment="1">
      <alignment vertical="center"/>
    </xf>
    <xf numFmtId="17" fontId="5" fillId="0" borderId="106" xfId="4" applyNumberFormat="1" applyFont="1" applyBorder="1" applyAlignment="1">
      <alignment horizontal="left" vertical="center"/>
    </xf>
    <xf numFmtId="166" fontId="5" fillId="0" borderId="111" xfId="4" applyNumberFormat="1" applyFont="1" applyFill="1" applyBorder="1" applyAlignment="1">
      <alignment vertical="center"/>
    </xf>
    <xf numFmtId="0" fontId="6" fillId="0" borderId="94" xfId="4" applyFont="1" applyBorder="1" applyAlignment="1">
      <alignment vertical="center"/>
    </xf>
    <xf numFmtId="0" fontId="6" fillId="0" borderId="123" xfId="4" applyFont="1" applyBorder="1" applyAlignment="1">
      <alignment vertical="center"/>
    </xf>
    <xf numFmtId="0" fontId="6" fillId="0" borderId="125" xfId="4" applyNumberFormat="1" applyFont="1" applyFill="1" applyBorder="1" applyAlignment="1">
      <alignment vertical="center"/>
    </xf>
    <xf numFmtId="0" fontId="6" fillId="0" borderId="4" xfId="4" applyFont="1" applyBorder="1" applyAlignment="1">
      <alignment vertical="center"/>
    </xf>
    <xf numFmtId="0" fontId="6" fillId="0" borderId="125" xfId="4" applyNumberFormat="1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94" xfId="4" applyNumberFormat="1" applyFont="1" applyFill="1" applyBorder="1" applyAlignment="1">
      <alignment vertical="center"/>
    </xf>
    <xf numFmtId="0" fontId="6" fillId="0" borderId="106" xfId="4" applyFont="1" applyBorder="1" applyAlignment="1">
      <alignment vertical="center"/>
    </xf>
    <xf numFmtId="165" fontId="6" fillId="0" borderId="111" xfId="21" applyNumberFormat="1" applyFont="1" applyBorder="1" applyAlignment="1">
      <alignment vertical="center"/>
    </xf>
    <xf numFmtId="0" fontId="6" fillId="0" borderId="106" xfId="4" applyNumberFormat="1" applyFont="1" applyFill="1" applyBorder="1" applyAlignment="1">
      <alignment vertical="center"/>
    </xf>
    <xf numFmtId="0" fontId="6" fillId="0" borderId="106" xfId="4" applyNumberFormat="1" applyFont="1" applyBorder="1" applyAlignment="1">
      <alignment vertical="center"/>
    </xf>
    <xf numFmtId="0" fontId="6" fillId="0" borderId="94" xfId="4" applyNumberFormat="1" applyFont="1" applyFill="1" applyBorder="1" applyAlignment="1">
      <alignment vertical="center"/>
    </xf>
    <xf numFmtId="0" fontId="6" fillId="0" borderId="94" xfId="4" applyNumberFormat="1" applyFont="1" applyBorder="1" applyAlignment="1">
      <alignment vertical="center"/>
    </xf>
    <xf numFmtId="37" fontId="6" fillId="0" borderId="111" xfId="4" applyNumberFormat="1" applyFont="1" applyBorder="1" applyAlignment="1">
      <alignment vertical="center"/>
    </xf>
    <xf numFmtId="37" fontId="6" fillId="0" borderId="0" xfId="4" applyNumberFormat="1" applyFont="1" applyBorder="1" applyAlignment="1">
      <alignment vertical="center"/>
    </xf>
    <xf numFmtId="0" fontId="6" fillId="0" borderId="0" xfId="4" applyNumberFormat="1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159" fillId="130" borderId="0" xfId="0" applyFont="1" applyFill="1" applyAlignment="1">
      <alignment horizontal="left" vertical="center"/>
    </xf>
    <xf numFmtId="0" fontId="159" fillId="131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132" borderId="0" xfId="0" applyFont="1" applyFill="1" applyAlignment="1">
      <alignment vertical="center"/>
    </xf>
    <xf numFmtId="168" fontId="6" fillId="0" borderId="0" xfId="4" applyNumberFormat="1" applyFont="1" applyAlignment="1">
      <alignment vertical="center"/>
    </xf>
    <xf numFmtId="0" fontId="5" fillId="0" borderId="0" xfId="4" applyFont="1" applyAlignment="1">
      <alignment horizontal="left"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0" fontId="5" fillId="0" borderId="106" xfId="4" applyNumberFormat="1" applyFont="1" applyFill="1" applyBorder="1" applyAlignment="1">
      <alignment horizontal="centerContinuous" vertical="center"/>
    </xf>
    <xf numFmtId="166" fontId="6" fillId="0" borderId="123" xfId="4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6" fillId="0" borderId="111" xfId="4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5" fillId="0" borderId="106" xfId="1" applyNumberFormat="1" applyFont="1" applyBorder="1" applyAlignment="1">
      <alignment vertical="center"/>
    </xf>
    <xf numFmtId="0" fontId="6" fillId="0" borderId="125" xfId="4" quotePrefix="1" applyFont="1" applyBorder="1" applyAlignment="1">
      <alignment horizontal="center" vertical="center"/>
    </xf>
    <xf numFmtId="0" fontId="5" fillId="0" borderId="111" xfId="4" applyFont="1" applyBorder="1" applyAlignment="1">
      <alignment horizontal="center" vertical="center"/>
    </xf>
    <xf numFmtId="168" fontId="6" fillId="0" borderId="0" xfId="4" applyNumberFormat="1" applyFont="1" applyFill="1" applyAlignment="1">
      <alignment vertical="center"/>
    </xf>
    <xf numFmtId="166" fontId="6" fillId="0" borderId="94" xfId="4" applyNumberFormat="1" applyFont="1" applyFill="1" applyBorder="1" applyAlignment="1">
      <alignment vertical="center"/>
    </xf>
    <xf numFmtId="168" fontId="6" fillId="0" borderId="125" xfId="4" applyNumberFormat="1" applyFont="1" applyFill="1" applyBorder="1" applyAlignment="1">
      <alignment vertical="center"/>
    </xf>
    <xf numFmtId="166" fontId="5" fillId="0" borderId="94" xfId="4" applyNumberFormat="1" applyFont="1" applyFill="1" applyBorder="1" applyAlignment="1">
      <alignment vertical="center"/>
    </xf>
    <xf numFmtId="166" fontId="5" fillId="0" borderId="106" xfId="4" applyNumberFormat="1" applyFont="1" applyFill="1" applyBorder="1" applyAlignment="1">
      <alignment vertical="center"/>
    </xf>
    <xf numFmtId="168" fontId="6" fillId="0" borderId="106" xfId="4" applyNumberFormat="1" applyFont="1" applyFill="1" applyBorder="1" applyAlignment="1">
      <alignment vertical="center"/>
    </xf>
    <xf numFmtId="168" fontId="6" fillId="0" borderId="94" xfId="4" applyNumberFormat="1" applyFont="1" applyFill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166" fontId="6" fillId="0" borderId="106" xfId="4" applyNumberFormat="1" applyFont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0" fontId="6" fillId="0" borderId="125" xfId="4" quotePrefix="1" applyNumberFormat="1" applyFont="1" applyFill="1" applyBorder="1" applyAlignment="1">
      <alignment horizontal="center" vertical="center"/>
    </xf>
    <xf numFmtId="0" fontId="6" fillId="0" borderId="94" xfId="4" applyNumberFormat="1" applyFont="1" applyFill="1" applyBorder="1" applyAlignment="1">
      <alignment horizontal="center" vertical="center"/>
    </xf>
    <xf numFmtId="0" fontId="5" fillId="0" borderId="106" xfId="4" applyNumberFormat="1" applyFont="1" applyFill="1" applyBorder="1" applyAlignment="1">
      <alignment vertical="center"/>
    </xf>
    <xf numFmtId="0" fontId="5" fillId="0" borderId="0" xfId="4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166" fontId="6" fillId="0" borderId="0" xfId="4" applyNumberFormat="1" applyFont="1" applyBorder="1" applyAlignment="1">
      <alignment vertical="center"/>
    </xf>
    <xf numFmtId="166" fontId="5" fillId="0" borderId="106" xfId="4" applyNumberFormat="1" applyFont="1" applyBorder="1" applyAlignment="1">
      <alignment vertical="center"/>
    </xf>
    <xf numFmtId="0" fontId="5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vertical="center"/>
    </xf>
    <xf numFmtId="0" fontId="6" fillId="0" borderId="94" xfId="4" applyFont="1" applyBorder="1" applyAlignment="1">
      <alignment horizontal="right" vertical="center"/>
    </xf>
    <xf numFmtId="0" fontId="6" fillId="0" borderId="123" xfId="4" applyFont="1" applyBorder="1" applyAlignment="1">
      <alignment horizontal="center" vertical="center"/>
    </xf>
    <xf numFmtId="3" fontId="5" fillId="0" borderId="94" xfId="4" applyNumberFormat="1" applyFont="1" applyFill="1" applyBorder="1" applyAlignment="1">
      <alignment horizontal="centerContinuous" vertical="center"/>
    </xf>
    <xf numFmtId="166" fontId="5" fillId="0" borderId="4" xfId="4" applyNumberFormat="1" applyFont="1" applyFill="1" applyBorder="1" applyAlignment="1">
      <alignment vertical="center"/>
    </xf>
    <xf numFmtId="17" fontId="6" fillId="0" borderId="106" xfId="4" applyNumberFormat="1" applyFont="1" applyBorder="1" applyAlignment="1">
      <alignment horizontal="left" vertical="center"/>
    </xf>
    <xf numFmtId="166" fontId="6" fillId="0" borderId="111" xfId="4" applyNumberFormat="1" applyFont="1" applyFill="1" applyBorder="1" applyAlignment="1">
      <alignment vertical="center"/>
    </xf>
    <xf numFmtId="3" fontId="6" fillId="0" borderId="106" xfId="4" applyNumberFormat="1" applyFont="1" applyBorder="1" applyAlignment="1">
      <alignment horizontal="centerContinuous" vertical="center"/>
    </xf>
    <xf numFmtId="0" fontId="5" fillId="0" borderId="94" xfId="4" applyFont="1" applyBorder="1" applyAlignment="1">
      <alignment horizontal="center" vertical="center"/>
    </xf>
    <xf numFmtId="166" fontId="6" fillId="0" borderId="106" xfId="2408" applyNumberFormat="1" applyFont="1" applyBorder="1" applyAlignment="1">
      <alignment vertical="center"/>
    </xf>
    <xf numFmtId="3" fontId="6" fillId="0" borderId="106" xfId="4" applyNumberFormat="1" applyFont="1" applyBorder="1" applyAlignment="1">
      <alignment vertical="center"/>
    </xf>
    <xf numFmtId="37" fontId="5" fillId="0" borderId="0" xfId="4" applyNumberFormat="1" applyFont="1" applyAlignment="1">
      <alignment vertical="center"/>
    </xf>
    <xf numFmtId="0" fontId="6" fillId="0" borderId="0" xfId="4" quotePrefix="1" applyFont="1" applyAlignment="1">
      <alignment horizontal="center" vertical="center"/>
    </xf>
    <xf numFmtId="3" fontId="158" fillId="0" borderId="94" xfId="4" applyNumberFormat="1" applyFont="1" applyFill="1" applyBorder="1" applyAlignment="1">
      <alignment horizontal="centerContinuous" vertical="center"/>
    </xf>
    <xf numFmtId="3" fontId="5" fillId="0" borderId="106" xfId="4" applyNumberFormat="1" applyFont="1" applyFill="1" applyBorder="1" applyAlignment="1">
      <alignment horizontal="centerContinuous" vertical="center"/>
    </xf>
    <xf numFmtId="0" fontId="5" fillId="0" borderId="125" xfId="4" applyFont="1" applyFill="1" applyBorder="1" applyAlignment="1">
      <alignment vertical="center"/>
    </xf>
    <xf numFmtId="3" fontId="5" fillId="0" borderId="94" xfId="4" applyNumberFormat="1" applyFont="1" applyFill="1" applyBorder="1" applyAlignment="1">
      <alignment vertical="center"/>
    </xf>
    <xf numFmtId="3" fontId="5" fillId="0" borderId="106" xfId="4" applyNumberFormat="1" applyFont="1" applyFill="1" applyBorder="1" applyAlignment="1">
      <alignment vertical="center"/>
    </xf>
    <xf numFmtId="3" fontId="5" fillId="0" borderId="106" xfId="4" applyNumberFormat="1" applyFont="1" applyBorder="1" applyAlignment="1">
      <alignment vertical="center"/>
    </xf>
    <xf numFmtId="37" fontId="6" fillId="0" borderId="106" xfId="4" applyNumberFormat="1" applyFont="1" applyBorder="1" applyAlignment="1">
      <alignment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106" xfId="2408" applyNumberFormat="1" applyFont="1" applyBorder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125" xfId="4" applyFont="1" applyBorder="1" applyAlignment="1">
      <alignment horizontal="center" vertical="center"/>
    </xf>
    <xf numFmtId="166" fontId="6" fillId="0" borderId="125" xfId="2408" quotePrefix="1" applyNumberFormat="1" applyFont="1" applyFill="1" applyBorder="1" applyAlignment="1">
      <alignment horizontal="center" vertical="center"/>
    </xf>
    <xf numFmtId="166" fontId="6" fillId="0" borderId="125" xfId="2408" quotePrefix="1" applyNumberFormat="1" applyFont="1" applyBorder="1" applyAlignment="1">
      <alignment horizontal="center" vertical="center"/>
    </xf>
    <xf numFmtId="0" fontId="6" fillId="0" borderId="94" xfId="4" quotePrefix="1" applyFont="1" applyBorder="1" applyAlignment="1">
      <alignment horizontal="center" vertical="center"/>
    </xf>
    <xf numFmtId="0" fontId="6" fillId="0" borderId="94" xfId="4" applyFont="1" applyBorder="1" applyAlignment="1">
      <alignment horizontal="centerContinuous" vertical="center"/>
    </xf>
    <xf numFmtId="166" fontId="6" fillId="0" borderId="94" xfId="2408" applyNumberFormat="1" applyFont="1" applyFill="1" applyBorder="1" applyAlignment="1">
      <alignment horizontal="center" vertical="center"/>
    </xf>
    <xf numFmtId="166" fontId="6" fillId="0" borderId="94" xfId="2408" applyNumberFormat="1" applyFont="1" applyBorder="1" applyAlignment="1">
      <alignment horizontal="center" vertical="center"/>
    </xf>
    <xf numFmtId="166" fontId="6" fillId="0" borderId="3" xfId="2408" applyNumberFormat="1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5" fillId="0" borderId="94" xfId="4" applyFont="1" applyBorder="1" applyAlignment="1">
      <alignment vertical="center"/>
    </xf>
    <xf numFmtId="0" fontId="6" fillId="0" borderId="3" xfId="4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166" fontId="6" fillId="0" borderId="106" xfId="2408" applyNumberFormat="1" applyFont="1" applyFill="1" applyBorder="1" applyAlignment="1">
      <alignment horizontal="center" vertical="center"/>
    </xf>
    <xf numFmtId="166" fontId="6" fillId="0" borderId="106" xfId="2408" applyNumberFormat="1" applyFont="1" applyBorder="1" applyAlignment="1">
      <alignment horizontal="center" vertical="center"/>
    </xf>
    <xf numFmtId="166" fontId="6" fillId="0" borderId="128" xfId="2408" applyNumberFormat="1" applyFont="1" applyBorder="1" applyAlignment="1">
      <alignment horizontal="center" vertical="center"/>
    </xf>
    <xf numFmtId="0" fontId="5" fillId="0" borderId="94" xfId="4" applyFont="1" applyFill="1" applyBorder="1" applyAlignment="1">
      <alignment vertical="center"/>
    </xf>
    <xf numFmtId="0" fontId="5" fillId="0" borderId="4" xfId="4" applyFont="1" applyBorder="1" applyAlignment="1">
      <alignment vertical="center"/>
    </xf>
    <xf numFmtId="169" fontId="5" fillId="0" borderId="94" xfId="4" applyNumberFormat="1" applyFont="1" applyBorder="1" applyAlignment="1">
      <alignment horizontal="center" vertical="center"/>
    </xf>
    <xf numFmtId="49" fontId="27" fillId="0" borderId="0" xfId="0" applyNumberFormat="1" applyFont="1" applyAlignment="1">
      <alignment vertical="center"/>
    </xf>
    <xf numFmtId="165" fontId="5" fillId="0" borderId="94" xfId="2" applyNumberFormat="1" applyFont="1" applyFill="1" applyBorder="1" applyAlignment="1">
      <alignment vertical="center"/>
    </xf>
    <xf numFmtId="165" fontId="5" fillId="0" borderId="94" xfId="2" applyNumberFormat="1" applyFont="1" applyBorder="1" applyAlignment="1">
      <alignment vertical="center"/>
    </xf>
    <xf numFmtId="166" fontId="5" fillId="0" borderId="94" xfId="1" applyNumberFormat="1" applyFont="1" applyFill="1" applyBorder="1" applyAlignment="1">
      <alignment vertical="center"/>
    </xf>
    <xf numFmtId="166" fontId="5" fillId="0" borderId="94" xfId="1" applyNumberFormat="1" applyFont="1" applyBorder="1" applyAlignment="1">
      <alignment vertical="center"/>
    </xf>
    <xf numFmtId="166" fontId="5" fillId="0" borderId="4" xfId="2408" applyNumberFormat="1" applyFont="1" applyBorder="1" applyAlignment="1">
      <alignment vertical="center"/>
    </xf>
    <xf numFmtId="0" fontId="6" fillId="0" borderId="122" xfId="4" applyFont="1" applyBorder="1" applyAlignment="1">
      <alignment horizontal="center" vertical="center"/>
    </xf>
    <xf numFmtId="0" fontId="6" fillId="0" borderId="122" xfId="4" applyFont="1" applyBorder="1" applyAlignment="1">
      <alignment vertical="center"/>
    </xf>
    <xf numFmtId="165" fontId="6" fillId="0" borderId="122" xfId="2" applyNumberFormat="1" applyFont="1" applyFill="1" applyBorder="1" applyAlignment="1">
      <alignment vertical="center"/>
    </xf>
    <xf numFmtId="165" fontId="6" fillId="0" borderId="130" xfId="2" applyNumberFormat="1" applyFont="1" applyFill="1" applyBorder="1" applyAlignment="1">
      <alignment vertical="center"/>
    </xf>
    <xf numFmtId="0" fontId="5" fillId="0" borderId="122" xfId="4" applyFont="1" applyBorder="1" applyAlignment="1">
      <alignment horizontal="center" vertical="center"/>
    </xf>
    <xf numFmtId="166" fontId="5" fillId="0" borderId="94" xfId="2408" applyNumberFormat="1" applyFont="1" applyFill="1" applyBorder="1" applyAlignment="1">
      <alignment vertical="center"/>
    </xf>
    <xf numFmtId="166" fontId="5" fillId="0" borderId="9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94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94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6" fontId="5" fillId="0" borderId="106" xfId="2408" applyNumberFormat="1" applyFont="1" applyBorder="1" applyAlignment="1">
      <alignment vertical="center"/>
    </xf>
    <xf numFmtId="166" fontId="5" fillId="0" borderId="111" xfId="2408" applyNumberFormat="1" applyFont="1" applyFill="1" applyBorder="1" applyAlignment="1">
      <alignment vertical="center"/>
    </xf>
    <xf numFmtId="169" fontId="6" fillId="0" borderId="122" xfId="4" applyNumberFormat="1" applyFont="1" applyBorder="1" applyAlignment="1">
      <alignment horizontal="center" vertical="center"/>
    </xf>
    <xf numFmtId="169" fontId="5" fillId="0" borderId="122" xfId="4" applyNumberFormat="1" applyFont="1" applyBorder="1" applyAlignment="1">
      <alignment horizontal="center" vertical="center"/>
    </xf>
    <xf numFmtId="0" fontId="5" fillId="0" borderId="0" xfId="4" applyFont="1" applyFill="1" applyAlignment="1">
      <alignment vertical="center"/>
    </xf>
    <xf numFmtId="0" fontId="5" fillId="0" borderId="130" xfId="4" applyFont="1" applyBorder="1" applyAlignment="1">
      <alignment horizontal="center" vertical="center"/>
    </xf>
    <xf numFmtId="0" fontId="6" fillId="0" borderId="124" xfId="4" applyFont="1" applyBorder="1" applyAlignment="1">
      <alignment horizontal="left" vertical="center"/>
    </xf>
    <xf numFmtId="0" fontId="6" fillId="0" borderId="126" xfId="4" applyFont="1" applyBorder="1" applyAlignment="1">
      <alignment horizontal="center" vertical="center"/>
    </xf>
    <xf numFmtId="165" fontId="6" fillId="0" borderId="122" xfId="21" applyNumberFormat="1" applyFont="1" applyFill="1" applyBorder="1" applyAlignment="1">
      <alignment horizontal="center" vertical="center"/>
    </xf>
    <xf numFmtId="165" fontId="6" fillId="0" borderId="122" xfId="2" applyNumberFormat="1" applyFont="1" applyFill="1" applyBorder="1" applyAlignment="1">
      <alignment horizontal="center" vertical="center"/>
    </xf>
    <xf numFmtId="169" fontId="5" fillId="0" borderId="94" xfId="4" applyNumberFormat="1" applyFont="1" applyBorder="1" applyAlignment="1">
      <alignment horizontal="center"/>
    </xf>
    <xf numFmtId="0" fontId="5" fillId="0" borderId="94" xfId="4" applyFont="1" applyBorder="1" applyAlignment="1">
      <alignment horizontal="center"/>
    </xf>
    <xf numFmtId="0" fontId="5" fillId="0" borderId="94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166" fontId="5" fillId="0" borderId="106" xfId="1" applyNumberFormat="1" applyFont="1" applyBorder="1" applyAlignment="1">
      <alignment horizontal="center" vertical="center"/>
    </xf>
    <xf numFmtId="0" fontId="6" fillId="0" borderId="127" xfId="4" applyFont="1" applyBorder="1" applyAlignment="1">
      <alignment vertical="center"/>
    </xf>
    <xf numFmtId="0" fontId="6" fillId="0" borderId="125" xfId="4" applyFont="1" applyBorder="1" applyAlignment="1">
      <alignment horizontal="centerContinuous" vertical="center"/>
    </xf>
    <xf numFmtId="0" fontId="6" fillId="0" borderId="123" xfId="4" quotePrefix="1" applyFont="1" applyBorder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0" fontId="6" fillId="0" borderId="107" xfId="4" applyFont="1" applyBorder="1" applyAlignment="1">
      <alignment horizontal="center" vertical="center"/>
    </xf>
    <xf numFmtId="0" fontId="6" fillId="0" borderId="3" xfId="4" applyFont="1" applyBorder="1" applyAlignment="1">
      <alignment horizontal="left" vertical="center"/>
    </xf>
    <xf numFmtId="3" fontId="6" fillId="0" borderId="94" xfId="4" applyNumberFormat="1" applyFont="1" applyFill="1" applyBorder="1" applyAlignment="1">
      <alignment horizontal="right" vertical="center"/>
    </xf>
    <xf numFmtId="3" fontId="6" fillId="0" borderId="4" xfId="4" applyNumberFormat="1" applyFont="1" applyFill="1" applyBorder="1" applyAlignment="1">
      <alignment vertical="center"/>
    </xf>
    <xf numFmtId="17" fontId="5" fillId="0" borderId="3" xfId="4" applyNumberFormat="1" applyFont="1" applyBorder="1" applyAlignment="1">
      <alignment horizontal="left" vertical="center"/>
    </xf>
    <xf numFmtId="165" fontId="5" fillId="0" borderId="94" xfId="21" applyNumberFormat="1" applyFont="1" applyFill="1" applyBorder="1" applyAlignment="1">
      <alignment vertical="center"/>
    </xf>
    <xf numFmtId="15" fontId="5" fillId="0" borderId="3" xfId="4" applyNumberFormat="1" applyFont="1" applyBorder="1" applyAlignment="1">
      <alignment vertical="center"/>
    </xf>
    <xf numFmtId="3" fontId="5" fillId="0" borderId="4" xfId="4" applyNumberFormat="1" applyFont="1" applyFill="1" applyBorder="1" applyAlignment="1">
      <alignment vertical="center"/>
    </xf>
    <xf numFmtId="0" fontId="6" fillId="0" borderId="3" xfId="4" applyFont="1" applyBorder="1" applyAlignment="1">
      <alignment vertical="center"/>
    </xf>
    <xf numFmtId="3" fontId="6" fillId="0" borderId="106" xfId="4" applyNumberFormat="1" applyFont="1" applyFill="1" applyBorder="1" applyAlignment="1">
      <alignment vertical="center"/>
    </xf>
    <xf numFmtId="3" fontId="6" fillId="0" borderId="111" xfId="4" applyNumberFormat="1" applyFont="1" applyFill="1" applyBorder="1" applyAlignment="1">
      <alignment vertical="center"/>
    </xf>
    <xf numFmtId="3" fontId="6" fillId="0" borderId="94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165" fontId="6" fillId="0" borderId="94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6" fillId="0" borderId="107" xfId="4" applyFont="1" applyBorder="1" applyAlignment="1">
      <alignment vertical="center"/>
    </xf>
    <xf numFmtId="165" fontId="6" fillId="0" borderId="106" xfId="21" applyNumberFormat="1" applyFont="1" applyBorder="1" applyAlignment="1">
      <alignment vertical="center"/>
    </xf>
    <xf numFmtId="0" fontId="5" fillId="0" borderId="0" xfId="4" applyFont="1" applyAlignment="1">
      <alignment horizontal="right" vertical="center"/>
    </xf>
    <xf numFmtId="0" fontId="6" fillId="0" borderId="125" xfId="4" quotePrefix="1" applyFont="1" applyBorder="1" applyAlignment="1">
      <alignment vertical="center"/>
    </xf>
    <xf numFmtId="0" fontId="6" fillId="0" borderId="106" xfId="4" applyFont="1" applyBorder="1" applyAlignment="1">
      <alignment horizontal="centerContinuous" vertical="center"/>
    </xf>
    <xf numFmtId="3" fontId="6" fillId="0" borderId="94" xfId="4" applyNumberFormat="1" applyFont="1" applyFill="1" applyBorder="1" applyAlignment="1">
      <alignment vertical="center"/>
    </xf>
    <xf numFmtId="3" fontId="6" fillId="0" borderId="94" xfId="4" applyNumberFormat="1" applyFont="1" applyBorder="1" applyAlignment="1">
      <alignment vertical="center"/>
    </xf>
    <xf numFmtId="165" fontId="6" fillId="0" borderId="94" xfId="21" applyNumberFormat="1" applyFont="1" applyFill="1" applyBorder="1" applyAlignment="1">
      <alignment vertical="center"/>
    </xf>
    <xf numFmtId="3" fontId="5" fillId="0" borderId="94" xfId="4" applyNumberFormat="1" applyFont="1" applyBorder="1" applyAlignment="1">
      <alignment horizontal="center" vertical="center"/>
    </xf>
    <xf numFmtId="165" fontId="6" fillId="0" borderId="106" xfId="21" applyNumberFormat="1" applyFont="1" applyFill="1" applyBorder="1" applyAlignment="1">
      <alignment vertical="center"/>
    </xf>
    <xf numFmtId="0" fontId="5" fillId="0" borderId="128" xfId="4" applyFont="1" applyBorder="1" applyAlignment="1">
      <alignment horizontal="center" vertical="center"/>
    </xf>
    <xf numFmtId="166" fontId="5" fillId="0" borderId="94" xfId="2408" applyNumberFormat="1" applyFont="1" applyBorder="1" applyAlignment="1">
      <alignment horizontal="center" vertical="center"/>
    </xf>
    <xf numFmtId="3" fontId="5" fillId="0" borderId="94" xfId="4" applyNumberFormat="1" applyFont="1" applyFill="1" applyBorder="1" applyAlignment="1">
      <alignment horizontal="center" vertical="center"/>
    </xf>
    <xf numFmtId="166" fontId="5" fillId="0" borderId="106" xfId="2408" applyNumberFormat="1" applyFont="1" applyFill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0" fontId="6" fillId="0" borderId="125" xfId="4" applyFont="1" applyFill="1" applyBorder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165" fontId="6" fillId="0" borderId="111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94" xfId="4" applyNumberFormat="1" applyFont="1" applyFill="1" applyBorder="1" applyAlignment="1">
      <alignment vertical="center"/>
    </xf>
    <xf numFmtId="37" fontId="5" fillId="0" borderId="94" xfId="4" applyNumberFormat="1" applyFont="1" applyBorder="1" applyAlignment="1">
      <alignment vertical="center"/>
    </xf>
    <xf numFmtId="166" fontId="6" fillId="0" borderId="123" xfId="2408" quotePrefix="1" applyNumberFormat="1" applyFont="1" applyBorder="1" applyAlignment="1">
      <alignment horizontal="center" vertical="center"/>
    </xf>
    <xf numFmtId="0" fontId="6" fillId="0" borderId="94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3" xfId="4" applyFont="1" applyBorder="1" applyAlignment="1">
      <alignment vertical="center"/>
    </xf>
    <xf numFmtId="166" fontId="6" fillId="0" borderId="111" xfId="2408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94" xfId="4" applyNumberFormat="1" applyFont="1" applyBorder="1" applyAlignment="1">
      <alignment vertical="center"/>
    </xf>
    <xf numFmtId="166" fontId="5" fillId="0" borderId="111" xfId="2408" applyNumberFormat="1" applyFont="1" applyBorder="1" applyAlignment="1">
      <alignment vertical="center"/>
    </xf>
    <xf numFmtId="0" fontId="6" fillId="0" borderId="124" xfId="4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0" fontId="6" fillId="0" borderId="125" xfId="4" quotePrefix="1" applyFont="1" applyBorder="1" applyAlignment="1">
      <alignment horizontal="centerContinuous" vertical="center"/>
    </xf>
    <xf numFmtId="3" fontId="6" fillId="0" borderId="106" xfId="4" applyNumberFormat="1" applyFont="1" applyBorder="1" applyAlignment="1">
      <alignment horizontal="right" vertical="center"/>
    </xf>
    <xf numFmtId="0" fontId="5" fillId="0" borderId="0" xfId="4" applyFont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centerContinuous" vertical="center"/>
    </xf>
    <xf numFmtId="165" fontId="5" fillId="0" borderId="94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Border="1" applyAlignment="1">
      <alignment horizontal="left" vertical="center"/>
    </xf>
    <xf numFmtId="3" fontId="6" fillId="0" borderId="0" xfId="4" applyNumberFormat="1" applyFont="1" applyFill="1" applyBorder="1" applyAlignment="1">
      <alignment horizontal="right" vertical="center"/>
    </xf>
    <xf numFmtId="3" fontId="6" fillId="0" borderId="0" xfId="4" applyNumberFormat="1" applyFont="1" applyFill="1" applyBorder="1" applyAlignment="1">
      <alignment vertical="center"/>
    </xf>
    <xf numFmtId="17" fontId="8" fillId="0" borderId="0" xfId="4" applyNumberFormat="1" applyFont="1" applyBorder="1" applyAlignment="1">
      <alignment horizontal="left" vertical="center"/>
    </xf>
    <xf numFmtId="17" fontId="6" fillId="0" borderId="0" xfId="4" applyNumberFormat="1" applyFont="1" applyBorder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Fill="1" applyBorder="1" applyAlignment="1">
      <alignment horizontal="centerContinuous" vertical="center"/>
    </xf>
    <xf numFmtId="15" fontId="6" fillId="0" borderId="0" xfId="4" applyNumberFormat="1" applyFont="1" applyBorder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3" fontId="6" fillId="0" borderId="0" xfId="4" applyNumberFormat="1" applyFont="1" applyBorder="1" applyAlignment="1">
      <alignment horizontal="right" vertical="center"/>
    </xf>
    <xf numFmtId="3" fontId="6" fillId="0" borderId="0" xfId="4" applyNumberFormat="1" applyFont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37" fontId="6" fillId="0" borderId="125" xfId="4" applyNumberFormat="1" applyFont="1" applyBorder="1" applyAlignment="1">
      <alignment horizontal="center" vertical="center"/>
    </xf>
    <xf numFmtId="165" fontId="6" fillId="0" borderId="94" xfId="2" applyNumberFormat="1" applyFont="1" applyBorder="1" applyAlignment="1">
      <alignment vertical="center"/>
    </xf>
    <xf numFmtId="166" fontId="6" fillId="0" borderId="106" xfId="1" applyNumberFormat="1" applyFont="1" applyBorder="1" applyAlignment="1">
      <alignment vertical="center"/>
    </xf>
    <xf numFmtId="165" fontId="6" fillId="0" borderId="125" xfId="21" applyNumberFormat="1" applyFont="1" applyBorder="1" applyAlignment="1">
      <alignment vertical="center"/>
    </xf>
    <xf numFmtId="165" fontId="5" fillId="0" borderId="125" xfId="21" applyNumberFormat="1" applyFont="1" applyBorder="1" applyAlignment="1">
      <alignment vertical="center"/>
    </xf>
    <xf numFmtId="0" fontId="5" fillId="0" borderId="0" xfId="4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Continuous" vertical="center"/>
    </xf>
    <xf numFmtId="0" fontId="5" fillId="0" borderId="0" xfId="0" quotePrefix="1" applyFont="1" applyBorder="1" applyAlignment="1">
      <alignment horizontal="centerContinuous" vertical="center"/>
    </xf>
    <xf numFmtId="49" fontId="5" fillId="0" borderId="0" xfId="0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horizontal="centerContinuous" vertical="center"/>
    </xf>
    <xf numFmtId="166" fontId="5" fillId="0" borderId="0" xfId="1" quotePrefix="1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49" fontId="6" fillId="0" borderId="131" xfId="0" applyNumberFormat="1" applyFont="1" applyBorder="1" applyAlignment="1">
      <alignment vertical="center"/>
    </xf>
    <xf numFmtId="0" fontId="6" fillId="0" borderId="132" xfId="0" applyFont="1" applyBorder="1" applyAlignment="1">
      <alignment vertical="center"/>
    </xf>
    <xf numFmtId="0" fontId="6" fillId="0" borderId="8" xfId="0" quotePrefix="1" applyFont="1" applyBorder="1" applyAlignment="1">
      <alignment horizontal="center" vertical="center"/>
    </xf>
    <xf numFmtId="166" fontId="6" fillId="0" borderId="8" xfId="1" quotePrefix="1" applyNumberFormat="1" applyFont="1" applyBorder="1" applyAlignment="1">
      <alignment horizontal="center" vertical="center"/>
    </xf>
    <xf numFmtId="0" fontId="6" fillId="0" borderId="133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49" fontId="6" fillId="0" borderId="134" xfId="0" applyNumberFormat="1" applyFont="1" applyBorder="1" applyAlignment="1">
      <alignment horizontal="center" vertical="center"/>
    </xf>
    <xf numFmtId="0" fontId="6" fillId="0" borderId="9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9" fontId="6" fillId="0" borderId="135" xfId="0" applyNumberFormat="1" applyFont="1" applyBorder="1" applyAlignment="1">
      <alignment horizontal="center" vertical="center"/>
    </xf>
    <xf numFmtId="0" fontId="6" fillId="0" borderId="106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49" fontId="5" fillId="0" borderId="134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38" fontId="6" fillId="0" borderId="94" xfId="1" applyNumberFormat="1" applyFont="1" applyBorder="1" applyAlignment="1">
      <alignment vertical="center"/>
    </xf>
    <xf numFmtId="38" fontId="6" fillId="0" borderId="10" xfId="1" applyNumberFormat="1" applyFont="1" applyBorder="1" applyAlignment="1">
      <alignment vertical="center"/>
    </xf>
    <xf numFmtId="0" fontId="5" fillId="0" borderId="134" xfId="0" applyFont="1" applyBorder="1" applyAlignment="1">
      <alignment horizontal="center" vertical="center"/>
    </xf>
    <xf numFmtId="38" fontId="5" fillId="0" borderId="10" xfId="1" applyNumberFormat="1" applyFont="1" applyBorder="1" applyAlignment="1">
      <alignment horizontal="center" vertical="center"/>
    </xf>
    <xf numFmtId="38" fontId="5" fillId="0" borderId="137" xfId="1" applyNumberFormat="1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6" fontId="5" fillId="0" borderId="106" xfId="1" applyNumberFormat="1" applyFont="1" applyFill="1" applyBorder="1" applyAlignment="1">
      <alignment vertical="center"/>
    </xf>
    <xf numFmtId="49" fontId="5" fillId="0" borderId="138" xfId="0" applyNumberFormat="1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165" fontId="5" fillId="0" borderId="53" xfId="2" applyNumberFormat="1" applyFont="1" applyFill="1" applyBorder="1" applyAlignment="1">
      <alignment vertical="center"/>
    </xf>
    <xf numFmtId="165" fontId="5" fillId="0" borderId="11" xfId="2" applyNumberFormat="1" applyFont="1" applyFill="1" applyBorder="1" applyAlignment="1">
      <alignment vertical="center"/>
    </xf>
    <xf numFmtId="38" fontId="5" fillId="0" borderId="129" xfId="1" applyNumberFormat="1" applyFont="1" applyBorder="1" applyAlignment="1">
      <alignment horizontal="center" vertical="center"/>
    </xf>
    <xf numFmtId="49" fontId="5" fillId="0" borderId="134" xfId="0" applyNumberFormat="1" applyFont="1" applyBorder="1" applyAlignment="1">
      <alignment horizontal="center" vertical="center"/>
    </xf>
    <xf numFmtId="172" fontId="5" fillId="0" borderId="94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6" fontId="5" fillId="0" borderId="125" xfId="1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165" fontId="6" fillId="0" borderId="125" xfId="2" applyNumberFormat="1" applyFont="1" applyFill="1" applyBorder="1" applyAlignment="1">
      <alignment vertical="center"/>
    </xf>
    <xf numFmtId="165" fontId="6" fillId="0" borderId="52" xfId="2" applyNumberFormat="1" applyFont="1" applyFill="1" applyBorder="1" applyAlignment="1">
      <alignment vertical="center"/>
    </xf>
    <xf numFmtId="49" fontId="5" fillId="0" borderId="138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172" fontId="5" fillId="0" borderId="53" xfId="0" applyNumberFormat="1" applyFont="1" applyFill="1" applyBorder="1" applyAlignment="1">
      <alignment vertical="center"/>
    </xf>
    <xf numFmtId="172" fontId="5" fillId="0" borderId="53" xfId="1" applyNumberFormat="1" applyFont="1" applyFill="1" applyBorder="1" applyAlignment="1">
      <alignment vertical="center"/>
    </xf>
    <xf numFmtId="0" fontId="5" fillId="0" borderId="129" xfId="0" applyFont="1" applyBorder="1" applyAlignment="1">
      <alignment vertical="center"/>
    </xf>
    <xf numFmtId="49" fontId="5" fillId="0" borderId="9" xfId="0" applyNumberFormat="1" applyFont="1" applyBorder="1" applyAlignment="1">
      <alignment horizontal="center" vertical="center"/>
    </xf>
    <xf numFmtId="172" fontId="5" fillId="0" borderId="0" xfId="0" applyNumberFormat="1" applyFont="1" applyFill="1" applyBorder="1" applyAlignment="1">
      <alignment vertical="center"/>
    </xf>
    <xf numFmtId="0" fontId="5" fillId="0" borderId="10" xfId="0" applyFont="1" applyBorder="1" applyAlignment="1">
      <alignment vertical="center"/>
    </xf>
    <xf numFmtId="166" fontId="5" fillId="0" borderId="128" xfId="1" applyNumberFormat="1" applyFont="1" applyFill="1" applyBorder="1" applyAlignment="1">
      <alignment vertical="center"/>
    </xf>
    <xf numFmtId="49" fontId="5" fillId="0" borderId="56" xfId="0" applyNumberFormat="1" applyFont="1" applyBorder="1" applyAlignment="1">
      <alignment horizontal="center" vertical="center"/>
    </xf>
    <xf numFmtId="166" fontId="5" fillId="0" borderId="11" xfId="1" applyNumberFormat="1" applyFont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5" fontId="6" fillId="0" borderId="94" xfId="2" applyNumberFormat="1" applyFont="1" applyFill="1" applyBorder="1" applyAlignment="1">
      <alignment vertical="center"/>
    </xf>
    <xf numFmtId="0" fontId="5" fillId="0" borderId="128" xfId="0" applyFont="1" applyBorder="1" applyAlignment="1">
      <alignment horizontal="center" vertical="center"/>
    </xf>
    <xf numFmtId="166" fontId="5" fillId="0" borderId="128" xfId="1" applyNumberFormat="1" applyFont="1" applyFill="1" applyBorder="1"/>
    <xf numFmtId="0" fontId="5" fillId="0" borderId="9" xfId="0" applyFont="1" applyBorder="1" applyAlignment="1">
      <alignment horizontal="center" vertical="center"/>
    </xf>
    <xf numFmtId="49" fontId="13" fillId="0" borderId="9" xfId="0" applyNumberFormat="1" applyFont="1" applyBorder="1" applyAlignment="1"/>
    <xf numFmtId="49" fontId="5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6" fillId="0" borderId="9" xfId="1604" applyFont="1" applyFill="1" applyBorder="1" applyAlignment="1">
      <alignment horizontal="left"/>
    </xf>
    <xf numFmtId="0" fontId="11" fillId="0" borderId="9" xfId="1604" applyFont="1" applyFill="1" applyBorder="1" applyAlignment="1">
      <alignment horizontal="center"/>
    </xf>
    <xf numFmtId="0" fontId="5" fillId="0" borderId="10" xfId="0" applyFont="1" applyBorder="1"/>
    <xf numFmtId="37" fontId="5" fillId="0" borderId="0" xfId="0" applyNumberFormat="1" applyFont="1" applyAlignment="1">
      <alignment vertical="center"/>
    </xf>
    <xf numFmtId="37" fontId="5" fillId="0" borderId="0" xfId="0" applyNumberFormat="1" applyFont="1" applyBorder="1" applyAlignment="1">
      <alignment vertical="center"/>
    </xf>
    <xf numFmtId="37" fontId="5" fillId="0" borderId="11" xfId="0" applyNumberFormat="1" applyFont="1" applyBorder="1" applyAlignment="1">
      <alignment vertical="center"/>
    </xf>
    <xf numFmtId="37" fontId="6" fillId="0" borderId="0" xfId="0" applyNumberFormat="1" applyFont="1" applyBorder="1" applyAlignment="1">
      <alignment horizontal="center" vertical="center"/>
    </xf>
    <xf numFmtId="37" fontId="6" fillId="0" borderId="131" xfId="0" applyNumberFormat="1" applyFont="1" applyBorder="1" applyAlignment="1">
      <alignment horizontal="center" vertical="center"/>
    </xf>
    <xf numFmtId="37" fontId="6" fillId="0" borderId="132" xfId="0" applyNumberFormat="1" applyFont="1" applyBorder="1" applyAlignment="1">
      <alignment vertical="center"/>
    </xf>
    <xf numFmtId="37" fontId="6" fillId="0" borderId="8" xfId="0" quotePrefix="1" applyNumberFormat="1" applyFont="1" applyBorder="1" applyAlignment="1">
      <alignment horizontal="center" vertical="center"/>
    </xf>
    <xf numFmtId="37" fontId="6" fillId="0" borderId="132" xfId="0" quotePrefix="1" applyNumberFormat="1" applyFont="1" applyBorder="1" applyAlignment="1">
      <alignment horizontal="center" vertical="center"/>
    </xf>
    <xf numFmtId="37" fontId="6" fillId="0" borderId="133" xfId="0" quotePrefix="1" applyNumberFormat="1" applyFont="1" applyBorder="1" applyAlignment="1">
      <alignment horizontal="center" vertical="center"/>
    </xf>
    <xf numFmtId="37" fontId="5" fillId="0" borderId="0" xfId="0" applyNumberFormat="1" applyFont="1" applyBorder="1" applyAlignment="1">
      <alignment horizontal="center" vertical="center"/>
    </xf>
    <xf numFmtId="37" fontId="6" fillId="0" borderId="134" xfId="0" applyNumberFormat="1" applyFont="1" applyBorder="1" applyAlignment="1">
      <alignment horizontal="center" vertical="center"/>
    </xf>
    <xf numFmtId="37" fontId="6" fillId="0" borderId="0" xfId="0" applyNumberFormat="1" applyFont="1" applyBorder="1" applyAlignment="1">
      <alignment vertical="center"/>
    </xf>
    <xf numFmtId="37" fontId="6" fillId="0" borderId="94" xfId="12" applyNumberFormat="1" applyFont="1" applyFill="1" applyBorder="1" applyAlignment="1">
      <alignment horizontal="center" vertical="center"/>
    </xf>
    <xf numFmtId="37" fontId="6" fillId="0" borderId="0" xfId="0" applyNumberFormat="1" applyFont="1" applyFill="1" applyBorder="1" applyAlignment="1">
      <alignment horizontal="center" vertical="center"/>
    </xf>
    <xf numFmtId="37" fontId="6" fillId="0" borderId="10" xfId="0" quotePrefix="1" applyNumberFormat="1" applyFont="1" applyBorder="1" applyAlignment="1">
      <alignment horizontal="center" vertical="center"/>
    </xf>
    <xf numFmtId="37" fontId="6" fillId="0" borderId="138" xfId="0" applyNumberFormat="1" applyFont="1" applyBorder="1" applyAlignment="1">
      <alignment horizontal="center" vertical="center"/>
    </xf>
    <xf numFmtId="37" fontId="6" fillId="0" borderId="11" xfId="0" applyNumberFormat="1" applyFont="1" applyBorder="1" applyAlignment="1">
      <alignment horizontal="center" vertical="center"/>
    </xf>
    <xf numFmtId="37" fontId="6" fillId="0" borderId="53" xfId="12" applyNumberFormat="1" applyFont="1" applyFill="1" applyBorder="1" applyAlignment="1">
      <alignment horizontal="center" vertical="center"/>
    </xf>
    <xf numFmtId="37" fontId="6" fillId="0" borderId="129" xfId="0" applyNumberFormat="1" applyFont="1" applyBorder="1" applyAlignment="1">
      <alignment horizontal="center" vertical="center"/>
    </xf>
    <xf numFmtId="37" fontId="5" fillId="0" borderId="134" xfId="0" applyNumberFormat="1" applyFont="1" applyBorder="1" applyAlignment="1">
      <alignment horizontal="center" vertical="center"/>
    </xf>
    <xf numFmtId="37" fontId="19" fillId="0" borderId="0" xfId="0" applyNumberFormat="1" applyFont="1" applyBorder="1" applyAlignment="1">
      <alignment vertical="center"/>
    </xf>
    <xf numFmtId="37" fontId="5" fillId="0" borderId="94" xfId="12" applyNumberFormat="1" applyFont="1" applyFill="1" applyBorder="1" applyAlignment="1">
      <alignment horizontal="center" vertical="center"/>
    </xf>
    <xf numFmtId="37" fontId="5" fillId="0" borderId="10" xfId="12" applyNumberFormat="1" applyFont="1" applyFill="1" applyBorder="1" applyAlignment="1">
      <alignment horizontal="center" vertical="center"/>
    </xf>
    <xf numFmtId="37" fontId="5" fillId="0" borderId="0" xfId="0" applyNumberFormat="1" applyFont="1" applyBorder="1" applyAlignment="1">
      <alignment horizontal="left" vertical="center"/>
    </xf>
    <xf numFmtId="0" fontId="5" fillId="0" borderId="10" xfId="0" applyNumberFormat="1" applyFont="1" applyFill="1" applyBorder="1" applyAlignment="1">
      <alignment horizontal="center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37" fontId="5" fillId="0" borderId="0" xfId="0" applyNumberFormat="1" applyFont="1" applyFill="1" applyAlignment="1">
      <alignment vertical="center"/>
    </xf>
    <xf numFmtId="173" fontId="5" fillId="0" borderId="134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0" fontId="5" fillId="0" borderId="137" xfId="0" applyNumberFormat="1" applyFont="1" applyFill="1" applyBorder="1" applyAlignment="1">
      <alignment horizontal="center" vertical="center"/>
    </xf>
    <xf numFmtId="37" fontId="5" fillId="0" borderId="94" xfId="0" applyNumberFormat="1" applyFont="1" applyBorder="1" applyAlignment="1">
      <alignment vertical="center"/>
    </xf>
    <xf numFmtId="37" fontId="5" fillId="0" borderId="0" xfId="0" applyNumberFormat="1" applyFont="1" applyFill="1" applyBorder="1" applyAlignment="1">
      <alignment vertical="center"/>
    </xf>
    <xf numFmtId="37" fontId="5" fillId="0" borderId="10" xfId="0" applyNumberFormat="1" applyFont="1" applyBorder="1" applyAlignment="1">
      <alignment vertical="center"/>
    </xf>
    <xf numFmtId="37" fontId="6" fillId="0" borderId="0" xfId="0" applyNumberFormat="1" applyFont="1" applyFill="1" applyBorder="1" applyAlignment="1">
      <alignment vertical="center"/>
    </xf>
    <xf numFmtId="165" fontId="6" fillId="0" borderId="52" xfId="2" applyNumberFormat="1" applyFont="1" applyBorder="1" applyAlignment="1">
      <alignment vertical="center"/>
    </xf>
    <xf numFmtId="165" fontId="6" fillId="0" borderId="114" xfId="2" applyNumberFormat="1" applyFont="1" applyFill="1" applyBorder="1" applyAlignment="1">
      <alignment vertical="center"/>
    </xf>
    <xf numFmtId="37" fontId="5" fillId="0" borderId="10" xfId="0" applyNumberFormat="1" applyFont="1" applyFill="1" applyBorder="1" applyAlignment="1">
      <alignment horizontal="center" vertical="center"/>
    </xf>
    <xf numFmtId="37" fontId="5" fillId="0" borderId="138" xfId="0" applyNumberFormat="1" applyFont="1" applyBorder="1" applyAlignment="1">
      <alignment vertical="center"/>
    </xf>
    <xf numFmtId="37" fontId="5" fillId="0" borderId="53" xfId="1" applyNumberFormat="1" applyFont="1" applyBorder="1" applyAlignment="1">
      <alignment vertical="center"/>
    </xf>
    <xf numFmtId="0" fontId="6" fillId="0" borderId="109" xfId="0" applyFont="1" applyBorder="1" applyAlignment="1">
      <alignment horizontal="center" vertical="center"/>
    </xf>
    <xf numFmtId="37" fontId="5" fillId="0" borderId="129" xfId="0" applyNumberFormat="1" applyFont="1" applyBorder="1" applyAlignment="1">
      <alignment vertical="center"/>
    </xf>
    <xf numFmtId="37" fontId="5" fillId="0" borderId="9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9" xfId="0" applyNumberFormat="1" applyFont="1" applyFill="1" applyBorder="1" applyAlignment="1">
      <alignment horizontal="left" vertical="center"/>
    </xf>
    <xf numFmtId="37" fontId="6" fillId="0" borderId="0" xfId="0" applyNumberFormat="1" applyFont="1" applyFill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0" xfId="0" applyNumberFormat="1" applyFont="1" applyFill="1" applyBorder="1" applyAlignment="1">
      <alignment horizontal="left" vertical="center"/>
    </xf>
    <xf numFmtId="37" fontId="5" fillId="0" borderId="56" xfId="0" applyNumberFormat="1" applyFont="1" applyBorder="1" applyAlignment="1">
      <alignment vertical="center"/>
    </xf>
    <xf numFmtId="37" fontId="5" fillId="0" borderId="11" xfId="0" applyNumberFormat="1" applyFont="1" applyFill="1" applyBorder="1" applyAlignment="1">
      <alignment horizontal="left" vertical="center"/>
    </xf>
    <xf numFmtId="173" fontId="5" fillId="0" borderId="0" xfId="0" applyNumberFormat="1" applyFont="1" applyBorder="1" applyAlignment="1">
      <alignment vertical="center"/>
    </xf>
    <xf numFmtId="37" fontId="11" fillId="0" borderId="0" xfId="0" applyNumberFormat="1" applyFont="1" applyBorder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9" xfId="0" applyNumberFormat="1" applyFont="1" applyBorder="1" applyAlignment="1">
      <alignment horizontal="center" vertical="center"/>
    </xf>
    <xf numFmtId="165" fontId="6" fillId="0" borderId="1" xfId="2" applyNumberFormat="1" applyFont="1" applyBorder="1"/>
    <xf numFmtId="165" fontId="6" fillId="0" borderId="1" xfId="2" applyNumberFormat="1" applyFont="1" applyFill="1" applyBorder="1"/>
    <xf numFmtId="0" fontId="5" fillId="0" borderId="121" xfId="0" applyFont="1" applyBorder="1"/>
    <xf numFmtId="15" fontId="5" fillId="0" borderId="94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0" fontId="5" fillId="0" borderId="128" xfId="4" applyFont="1" applyBorder="1" applyAlignment="1">
      <alignment vertical="center"/>
    </xf>
    <xf numFmtId="166" fontId="6" fillId="0" borderId="128" xfId="2408" applyNumberFormat="1" applyFont="1" applyBorder="1" applyAlignment="1">
      <alignment vertical="center"/>
    </xf>
    <xf numFmtId="210" fontId="5" fillId="0" borderId="0" xfId="4" applyNumberFormat="1" applyFont="1" applyAlignment="1">
      <alignment horizontal="center" vertical="center"/>
    </xf>
    <xf numFmtId="165" fontId="27" fillId="0" borderId="125" xfId="21" applyNumberFormat="1" applyFont="1" applyBorder="1" applyAlignment="1">
      <alignment vertical="center"/>
    </xf>
    <xf numFmtId="1" fontId="5" fillId="0" borderId="0" xfId="4" applyNumberFormat="1" applyFont="1" applyAlignment="1">
      <alignment vertical="center"/>
    </xf>
    <xf numFmtId="166" fontId="5" fillId="0" borderId="106" xfId="4" applyNumberFormat="1" applyFont="1" applyBorder="1" applyAlignment="1">
      <alignment horizontal="center" vertical="center"/>
    </xf>
    <xf numFmtId="17" fontId="6" fillId="0" borderId="125" xfId="4" applyNumberFormat="1" applyFont="1" applyBorder="1" applyAlignment="1">
      <alignment horizontal="left" vertical="center"/>
    </xf>
    <xf numFmtId="166" fontId="161" fillId="0" borderId="125" xfId="2408" applyNumberFormat="1" applyFont="1" applyBorder="1" applyAlignment="1">
      <alignment vertical="center"/>
    </xf>
    <xf numFmtId="166" fontId="6" fillId="0" borderId="125" xfId="4" applyNumberFormat="1" applyFont="1" applyBorder="1" applyAlignment="1">
      <alignment horizontal="center" vertical="center"/>
    </xf>
    <xf numFmtId="166" fontId="5" fillId="0" borderId="94" xfId="4" applyNumberFormat="1" applyFont="1" applyBorder="1" applyAlignment="1">
      <alignment horizontal="center" vertical="center"/>
    </xf>
    <xf numFmtId="166" fontId="6" fillId="0" borderId="125" xfId="2408" applyNumberFormat="1" applyFont="1" applyBorder="1" applyAlignment="1">
      <alignment vertical="center"/>
    </xf>
    <xf numFmtId="166" fontId="5" fillId="0" borderId="125" xfId="4" applyNumberFormat="1" applyFont="1" applyBorder="1" applyAlignment="1">
      <alignment horizontal="center" vertical="center"/>
    </xf>
    <xf numFmtId="165" fontId="5" fillId="0" borderId="106" xfId="21" applyNumberFormat="1" applyFont="1" applyBorder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0" fontId="6" fillId="0" borderId="128" xfId="4" applyFont="1" applyBorder="1" applyAlignment="1">
      <alignment horizontal="centerContinuous" vertical="center"/>
    </xf>
    <xf numFmtId="166" fontId="6" fillId="0" borderId="0" xfId="2408" applyNumberFormat="1" applyFont="1" applyBorder="1" applyAlignment="1">
      <alignment vertical="center"/>
    </xf>
    <xf numFmtId="0" fontId="6" fillId="0" borderId="125" xfId="4" applyFont="1" applyBorder="1" applyAlignment="1">
      <alignment horizontal="left" vertical="center"/>
    </xf>
    <xf numFmtId="174" fontId="5" fillId="0" borderId="0" xfId="4" applyNumberFormat="1" applyFont="1" applyAlignment="1">
      <alignment vertical="center"/>
    </xf>
    <xf numFmtId="166" fontId="27" fillId="0" borderId="94" xfId="1" applyNumberFormat="1" applyFont="1" applyBorder="1" applyAlignment="1">
      <alignment vertical="center"/>
    </xf>
    <xf numFmtId="166" fontId="6" fillId="0" borderId="125" xfId="1" applyNumberFormat="1" applyFont="1" applyBorder="1" applyAlignment="1">
      <alignment vertical="center"/>
    </xf>
    <xf numFmtId="166" fontId="6" fillId="0" borderId="106" xfId="4" applyNumberFormat="1" applyFont="1" applyBorder="1" applyAlignment="1">
      <alignment horizontal="center" vertical="center"/>
    </xf>
    <xf numFmtId="166" fontId="5" fillId="0" borderId="0" xfId="2408" applyNumberFormat="1" applyFont="1" applyAlignment="1">
      <alignment horizontal="center" vertical="center"/>
    </xf>
    <xf numFmtId="0" fontId="5" fillId="0" borderId="0" xfId="4" quotePrefix="1" applyFont="1" applyAlignment="1">
      <alignment horizontal="center" vertical="center"/>
    </xf>
    <xf numFmtId="166" fontId="27" fillId="0" borderId="106" xfId="1" applyNumberFormat="1" applyFont="1" applyBorder="1" applyAlignment="1">
      <alignment vertical="center"/>
    </xf>
    <xf numFmtId="0" fontId="5" fillId="0" borderId="0" xfId="4" applyFont="1" applyAlignment="1" applyProtection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6" fillId="0" borderId="0" xfId="4" applyFont="1" applyAlignment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0" xfId="4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160" fillId="0" borderId="0" xfId="4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6" fontId="5" fillId="3" borderId="128" xfId="1" applyNumberFormat="1" applyFont="1" applyFill="1" applyBorder="1" applyAlignment="1" applyProtection="1">
      <alignment vertical="center"/>
      <protection locked="0"/>
    </xf>
    <xf numFmtId="0" fontId="5" fillId="0" borderId="0" xfId="4" applyFont="1" applyFill="1" applyAlignment="1">
      <alignment horizontal="left" vertical="center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11" fillId="0" borderId="0" xfId="4" applyFont="1" applyAlignment="1" applyProtection="1">
      <alignment horizontal="center" vertical="center"/>
    </xf>
    <xf numFmtId="166" fontId="5" fillId="3" borderId="128" xfId="1" applyNumberFormat="1" applyFont="1" applyFill="1" applyBorder="1" applyAlignment="1">
      <alignment vertical="center"/>
    </xf>
    <xf numFmtId="0" fontId="9" fillId="0" borderId="0" xfId="4" applyFont="1" applyAlignment="1">
      <alignment horizontal="center" vertical="center"/>
    </xf>
    <xf numFmtId="0" fontId="9" fillId="0" borderId="0" xfId="4" applyFont="1" applyAlignment="1" applyProtection="1">
      <alignment horizontal="center" vertical="center"/>
    </xf>
    <xf numFmtId="0" fontId="6" fillId="0" borderId="0" xfId="4" applyFont="1" applyAlignment="1" applyProtection="1">
      <alignment horizontal="center" vertical="center"/>
    </xf>
    <xf numFmtId="15" fontId="5" fillId="0" borderId="128" xfId="4" applyNumberFormat="1" applyFont="1" applyBorder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Border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Border="1" applyAlignment="1" applyProtection="1">
      <alignment vertical="center"/>
      <protection locked="0"/>
    </xf>
    <xf numFmtId="10" fontId="5" fillId="0" borderId="0" xfId="4" applyNumberFormat="1" applyFont="1" applyBorder="1" applyAlignment="1" applyProtection="1">
      <alignment horizontal="center" vertical="center"/>
      <protection locked="0"/>
    </xf>
    <xf numFmtId="10" fontId="5" fillId="2" borderId="128" xfId="4" applyNumberFormat="1" applyFont="1" applyFill="1" applyBorder="1" applyAlignment="1" applyProtection="1">
      <alignment horizontal="right" vertical="center"/>
      <protection locked="0"/>
    </xf>
    <xf numFmtId="5" fontId="5" fillId="0" borderId="0" xfId="4" applyNumberFormat="1" applyFont="1" applyFill="1" applyAlignment="1">
      <alignment horizontal="center" vertical="center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5" fontId="5" fillId="3" borderId="128" xfId="21" applyNumberFormat="1" applyFont="1" applyFill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Border="1" applyAlignment="1">
      <alignment vertical="center"/>
    </xf>
    <xf numFmtId="0" fontId="5" fillId="0" borderId="0" xfId="4" applyFont="1" applyFill="1" applyAlignment="1" applyProtection="1">
      <alignment horizontal="center" vertical="center"/>
    </xf>
    <xf numFmtId="0" fontId="9" fillId="0" borderId="0" xfId="4" applyFont="1" applyFill="1" applyAlignment="1">
      <alignment horizontal="center"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Fill="1" applyAlignment="1" applyProtection="1">
      <alignment horizontal="center"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6" fontId="5" fillId="2" borderId="128" xfId="1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Fill="1" applyBorder="1" applyAlignment="1" applyProtection="1">
      <alignment horizontal="center"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3" borderId="128" xfId="3853" applyNumberFormat="1" applyFont="1" applyFill="1" applyBorder="1" applyAlignment="1">
      <alignment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Fill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8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166" fontId="5" fillId="0" borderId="121" xfId="2408" applyNumberFormat="1" applyFont="1" applyFill="1" applyBorder="1" applyAlignment="1" applyProtection="1">
      <alignment vertical="center"/>
      <protection locked="0"/>
    </xf>
    <xf numFmtId="211" fontId="5" fillId="0" borderId="0" xfId="4" applyNumberFormat="1" applyFont="1" applyAlignment="1">
      <alignment vertical="center"/>
    </xf>
    <xf numFmtId="10" fontId="5" fillId="2" borderId="128" xfId="4" applyNumberFormat="1" applyFont="1" applyFill="1" applyBorder="1" applyAlignment="1">
      <alignment horizontal="right" vertical="center"/>
    </xf>
    <xf numFmtId="0" fontId="8" fillId="0" borderId="0" xfId="4" applyFont="1" applyAlignment="1" applyProtection="1">
      <alignment horizontal="center" vertical="center"/>
    </xf>
    <xf numFmtId="165" fontId="5" fillId="0" borderId="1" xfId="21" applyNumberFormat="1" applyFont="1" applyBorder="1" applyAlignment="1">
      <alignment horizontal="right" vertical="center"/>
    </xf>
    <xf numFmtId="0" fontId="5" fillId="0" borderId="11" xfId="4" applyFont="1" applyBorder="1" applyAlignment="1">
      <alignment vertical="center"/>
    </xf>
    <xf numFmtId="0" fontId="5" fillId="0" borderId="11" xfId="4" applyFont="1" applyBorder="1" applyAlignment="1">
      <alignment horizontal="right" vertical="center"/>
    </xf>
    <xf numFmtId="0" fontId="5" fillId="0" borderId="0" xfId="4" applyFont="1" applyBorder="1" applyAlignment="1">
      <alignment horizontal="right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0" fontId="5" fillId="0" borderId="11" xfId="6107" applyFont="1" applyBorder="1"/>
    <xf numFmtId="0" fontId="6" fillId="0" borderId="11" xfId="4" applyFont="1" applyBorder="1" applyAlignment="1" applyProtection="1">
      <alignment horizontal="center" vertical="center"/>
    </xf>
    <xf numFmtId="0" fontId="5" fillId="0" borderId="11" xfId="4" applyFont="1" applyBorder="1" applyAlignment="1">
      <alignment horizontal="center" vertical="center"/>
    </xf>
    <xf numFmtId="166" fontId="5" fillId="3" borderId="128" xfId="1" applyNumberFormat="1" applyFont="1" applyFill="1" applyBorder="1" applyProtection="1">
      <protection locked="0"/>
    </xf>
    <xf numFmtId="0" fontId="5" fillId="0" borderId="0" xfId="4" applyFont="1" applyAlignment="1" applyProtection="1">
      <alignment vertical="center"/>
    </xf>
    <xf numFmtId="5" fontId="5" fillId="0" borderId="0" xfId="4" applyNumberFormat="1" applyFont="1" applyBorder="1" applyAlignment="1" applyProtection="1">
      <alignment horizontal="center" vertical="center"/>
      <protection locked="0"/>
    </xf>
    <xf numFmtId="0" fontId="5" fillId="0" borderId="0" xfId="4" quotePrefix="1" applyFont="1" applyAlignment="1" applyProtection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15" fontId="5" fillId="0" borderId="128" xfId="0" applyNumberFormat="1" applyFont="1" applyBorder="1" applyAlignment="1">
      <alignment horizontal="center" vertical="center"/>
    </xf>
    <xf numFmtId="0" fontId="5" fillId="0" borderId="121" xfId="0" applyFont="1" applyBorder="1" applyAlignment="1">
      <alignment horizontal="center" vertical="center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6" fillId="0" borderId="0" xfId="4" quotePrefix="1" applyFont="1" applyAlignment="1" applyProtection="1">
      <alignment horizontal="center" vertical="center"/>
    </xf>
    <xf numFmtId="0" fontId="11" fillId="0" borderId="0" xfId="0" applyFont="1" applyAlignment="1">
      <alignment horizontal="center"/>
    </xf>
    <xf numFmtId="0" fontId="6" fillId="0" borderId="0" xfId="4" applyFont="1" applyAlignment="1" applyProtection="1">
      <alignment vertical="center"/>
    </xf>
    <xf numFmtId="0" fontId="29" fillId="0" borderId="139" xfId="1962" applyFont="1" applyBorder="1" applyAlignment="1">
      <alignment horizontal="center"/>
    </xf>
    <xf numFmtId="0" fontId="5" fillId="0" borderId="9" xfId="37887" quotePrefix="1" applyNumberFormat="1" applyFont="1" applyFill="1" applyBorder="1" applyAlignment="1">
      <alignment vertical="center"/>
    </xf>
    <xf numFmtId="0" fontId="27" fillId="0" borderId="9" xfId="1962" applyFont="1" applyBorder="1"/>
    <xf numFmtId="0" fontId="29" fillId="0" borderId="9" xfId="1962" applyFont="1" applyFill="1" applyBorder="1"/>
    <xf numFmtId="0" fontId="29" fillId="0" borderId="56" xfId="1962" applyFont="1" applyFill="1" applyBorder="1"/>
    <xf numFmtId="0" fontId="29" fillId="0" borderId="4" xfId="1962" applyFont="1" applyFill="1" applyBorder="1"/>
    <xf numFmtId="0" fontId="29" fillId="0" borderId="143" xfId="1962" applyFont="1" applyFill="1" applyBorder="1"/>
    <xf numFmtId="0" fontId="5" fillId="0" borderId="0" xfId="0" quotePrefix="1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15" fontId="5" fillId="2" borderId="128" xfId="4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41" fontId="5" fillId="0" borderId="128" xfId="0" applyNumberFormat="1" applyFont="1" applyBorder="1" applyAlignment="1">
      <alignment vertical="center"/>
    </xf>
    <xf numFmtId="0" fontId="5" fillId="0" borderId="0" xfId="0" applyFont="1" applyFill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94" xfId="37039" applyNumberFormat="1" applyFont="1" applyBorder="1" applyAlignment="1">
      <alignment horizontal="center"/>
    </xf>
    <xf numFmtId="41" fontId="5" fillId="0" borderId="94" xfId="3857" applyFont="1" applyBorder="1" applyAlignment="1">
      <alignment horizontal="center"/>
    </xf>
    <xf numFmtId="165" fontId="5" fillId="0" borderId="94" xfId="37039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left" vertic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5" fontId="5" fillId="0" borderId="0" xfId="4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166" fontId="5" fillId="0" borderId="128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164" fontId="5" fillId="3" borderId="128" xfId="4" applyNumberFormat="1" applyFont="1" applyFill="1" applyBorder="1" applyAlignment="1">
      <alignment horizontal="center" vertical="center"/>
    </xf>
    <xf numFmtId="15" fontId="5" fillId="3" borderId="128" xfId="4" applyNumberFormat="1" applyFont="1" applyFill="1" applyBorder="1" applyAlignment="1">
      <alignment horizontal="center" vertical="center"/>
    </xf>
    <xf numFmtId="0" fontId="5" fillId="0" borderId="128" xfId="4" applyNumberFormat="1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NumberFormat="1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4" applyFont="1" applyFill="1" applyBorder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6" fontId="5" fillId="0" borderId="128" xfId="2408" applyNumberFormat="1" applyFont="1" applyBorder="1" applyAlignment="1" applyProtection="1">
      <alignment vertical="center"/>
      <protection locked="0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horizontal="right" vertical="center"/>
    </xf>
    <xf numFmtId="5" fontId="5" fillId="0" borderId="0" xfId="4" applyNumberFormat="1" applyFont="1" applyBorder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128" xfId="2408" applyNumberFormat="1" applyFont="1" applyBorder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5" fontId="5" fillId="0" borderId="0" xfId="4" applyNumberFormat="1" applyFont="1" applyAlignment="1" applyProtection="1">
      <alignment horizontal="center"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 applyProtection="1">
      <alignment horizontal="center" vertical="center"/>
    </xf>
    <xf numFmtId="15" fontId="5" fillId="0" borderId="0" xfId="0" applyNumberFormat="1" applyFont="1" applyAlignment="1" applyProtection="1">
      <alignment horizontal="center" vertical="center"/>
    </xf>
    <xf numFmtId="0" fontId="5" fillId="0" borderId="128" xfId="0" applyNumberFormat="1" applyFont="1" applyBorder="1" applyAlignment="1">
      <alignment horizontal="center" vertical="center"/>
    </xf>
    <xf numFmtId="15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</xf>
    <xf numFmtId="165" fontId="5" fillId="0" borderId="121" xfId="2" applyNumberFormat="1" applyFont="1" applyBorder="1" applyAlignment="1">
      <alignment vertical="center"/>
    </xf>
    <xf numFmtId="0" fontId="5" fillId="0" borderId="0" xfId="2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0" fontId="5" fillId="0" borderId="0" xfId="0" applyFont="1" applyFill="1" applyAlignment="1" applyProtection="1">
      <alignment horizontal="left"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10" fontId="5" fillId="2" borderId="128" xfId="0" applyNumberFormat="1" applyFont="1" applyFill="1" applyBorder="1" applyAlignment="1" applyProtection="1">
      <alignment horizontal="right" vertical="center"/>
    </xf>
    <xf numFmtId="165" fontId="5" fillId="0" borderId="121" xfId="2" applyNumberFormat="1" applyFont="1" applyBorder="1" applyAlignment="1">
      <alignment horizontal="right" vertical="center"/>
    </xf>
    <xf numFmtId="166" fontId="5" fillId="0" borderId="128" xfId="1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0" fontId="5" fillId="0" borderId="0" xfId="0" applyNumberFormat="1" applyFont="1" applyFill="1" applyAlignment="1">
      <alignment horizontal="center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6" fontId="5" fillId="2" borderId="128" xfId="1" applyNumberFormat="1" applyFont="1" applyFill="1" applyBorder="1" applyAlignment="1" applyProtection="1">
      <alignment horizontal="right" vertical="center"/>
    </xf>
    <xf numFmtId="165" fontId="5" fillId="0" borderId="46" xfId="2" applyNumberFormat="1" applyFont="1" applyBorder="1" applyAlignment="1">
      <alignment horizontal="right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66" fontId="5" fillId="2" borderId="128" xfId="1" applyNumberFormat="1" applyFont="1" applyFill="1" applyBorder="1" applyAlignment="1">
      <alignment vertical="center"/>
    </xf>
    <xf numFmtId="165" fontId="5" fillId="0" borderId="46" xfId="2" applyNumberFormat="1" applyFont="1" applyBorder="1" applyAlignment="1">
      <alignment vertical="center"/>
    </xf>
    <xf numFmtId="5" fontId="5" fillId="0" borderId="0" xfId="0" applyNumberFormat="1" applyFont="1" applyBorder="1" applyAlignment="1" applyProtection="1">
      <alignment vertical="center"/>
      <protection locked="0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Border="1" applyAlignment="1" applyProtection="1">
      <alignment horizontal="right" vertical="center"/>
      <protection locked="0"/>
    </xf>
    <xf numFmtId="0" fontId="11" fillId="0" borderId="0" xfId="0" applyFont="1" applyAlignment="1" applyProtection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 applyProtection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58" fillId="0" borderId="0" xfId="0" applyFont="1" applyAlignment="1">
      <alignment horizontal="center" vertical="center" wrapText="1"/>
    </xf>
    <xf numFmtId="165" fontId="5" fillId="0" borderId="126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>
      <alignment horizontal="right" vertical="center"/>
    </xf>
    <xf numFmtId="10" fontId="5" fillId="0" borderId="0" xfId="3" applyNumberFormat="1" applyFont="1" applyBorder="1" applyAlignment="1">
      <alignment horizontal="right" vertical="center"/>
    </xf>
    <xf numFmtId="165" fontId="5" fillId="3" borderId="128" xfId="2" applyNumberFormat="1" applyFont="1" applyFill="1" applyBorder="1" applyAlignment="1" applyProtection="1">
      <alignment vertical="center"/>
      <protection locked="0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46" xfId="2" applyNumberFormat="1" applyFont="1" applyBorder="1" applyAlignment="1" applyProtection="1">
      <alignment vertical="center"/>
    </xf>
    <xf numFmtId="165" fontId="5" fillId="0" borderId="0" xfId="2" applyNumberFormat="1" applyFont="1" applyBorder="1" applyAlignment="1" applyProtection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 applyProtection="1">
      <alignment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Border="1" applyAlignment="1" applyProtection="1">
      <alignment vertical="center"/>
    </xf>
    <xf numFmtId="10" fontId="5" fillId="3" borderId="1" xfId="3" applyNumberFormat="1" applyFont="1" applyFill="1" applyBorder="1" applyAlignment="1">
      <alignment vertical="center"/>
    </xf>
    <xf numFmtId="0" fontId="5" fillId="0" borderId="0" xfId="0" quotePrefix="1" applyFont="1" applyAlignment="1">
      <alignment horizontal="center"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Fill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128" xfId="3" applyNumberFormat="1" applyFont="1" applyFill="1" applyBorder="1" applyAlignment="1">
      <alignment horizontal="right" vertical="center"/>
    </xf>
    <xf numFmtId="10" fontId="5" fillId="0" borderId="0" xfId="0" applyNumberFormat="1" applyFont="1" applyFill="1" applyBorder="1" applyAlignment="1">
      <alignment vertical="center"/>
    </xf>
    <xf numFmtId="10" fontId="5" fillId="0" borderId="128" xfId="3" applyNumberFormat="1" applyFont="1" applyBorder="1" applyAlignment="1">
      <alignment horizontal="right" vertical="center"/>
    </xf>
    <xf numFmtId="165" fontId="5" fillId="0" borderId="46" xfId="0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0" fontId="5" fillId="0" borderId="0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10" fontId="5" fillId="0" borderId="0" xfId="3" applyNumberFormat="1" applyFont="1" applyAlignment="1">
      <alignment vertical="center"/>
    </xf>
    <xf numFmtId="0" fontId="5" fillId="3" borderId="128" xfId="3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 applyProtection="1">
      <alignment horizontal="center" vertical="center" wrapText="1"/>
    </xf>
    <xf numFmtId="175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128" xfId="3" applyNumberFormat="1" applyFont="1" applyBorder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5" fillId="2" borderId="128" xfId="3" applyNumberFormat="1" applyFont="1" applyFill="1" applyBorder="1" applyAlignment="1">
      <alignment horizontal="right" vertical="center"/>
    </xf>
    <xf numFmtId="167" fontId="5" fillId="0" borderId="1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0" fontId="27" fillId="0" borderId="0" xfId="0" applyFont="1" applyBorder="1" applyAlignment="1">
      <alignment horizontal="center" vertical="center"/>
    </xf>
    <xf numFmtId="5" fontId="5" fillId="0" borderId="81" xfId="4" applyNumberFormat="1" applyFont="1" applyFill="1" applyBorder="1" applyAlignment="1" applyProtection="1">
      <alignment horizontal="center"/>
    </xf>
    <xf numFmtId="10" fontId="5" fillId="0" borderId="0" xfId="3" quotePrefix="1" applyNumberFormat="1" applyFont="1" applyBorder="1" applyAlignment="1">
      <alignment horizontal="right"/>
    </xf>
    <xf numFmtId="0" fontId="6" fillId="0" borderId="139" xfId="1567" applyFont="1" applyFill="1" applyBorder="1" applyAlignment="1">
      <alignment horizontal="center" wrapText="1"/>
    </xf>
    <xf numFmtId="168" fontId="5" fillId="0" borderId="94" xfId="4" applyNumberFormat="1" applyFont="1" applyFill="1" applyBorder="1" applyAlignment="1">
      <alignment horizontal="center" vertical="center"/>
    </xf>
    <xf numFmtId="166" fontId="5" fillId="0" borderId="94" xfId="4" applyNumberFormat="1" applyFont="1" applyFill="1" applyBorder="1" applyAlignment="1">
      <alignment horizontal="center" vertical="center"/>
    </xf>
    <xf numFmtId="0" fontId="5" fillId="0" borderId="94" xfId="4" applyNumberFormat="1" applyFont="1" applyFill="1" applyBorder="1" applyAlignment="1">
      <alignment horizontal="center" vertical="center"/>
    </xf>
    <xf numFmtId="0" fontId="5" fillId="0" borderId="94" xfId="4" applyNumberFormat="1" applyFont="1" applyBorder="1" applyAlignment="1">
      <alignment horizontal="center" vertical="center"/>
    </xf>
    <xf numFmtId="166" fontId="5" fillId="0" borderId="94" xfId="1" applyNumberFormat="1" applyFont="1" applyBorder="1" applyAlignment="1">
      <alignment horizontal="center" vertical="center"/>
    </xf>
    <xf numFmtId="165" fontId="6" fillId="0" borderId="130" xfId="21" applyNumberFormat="1" applyFont="1" applyFill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47" xfId="4" applyFont="1" applyFill="1" applyBorder="1" applyAlignment="1">
      <alignment horizontal="left" vertical="center"/>
    </xf>
    <xf numFmtId="0" fontId="6" fillId="0" borderId="147" xfId="4" applyFont="1" applyFill="1" applyBorder="1" applyAlignment="1">
      <alignment horizontal="center" vertical="center"/>
    </xf>
    <xf numFmtId="0" fontId="6" fillId="0" borderId="50" xfId="4" applyFont="1" applyFill="1" applyBorder="1" applyAlignment="1">
      <alignment horizontal="centerContinuous" vertical="center"/>
    </xf>
    <xf numFmtId="0" fontId="6" fillId="0" borderId="91" xfId="4" applyFont="1" applyFill="1" applyBorder="1" applyAlignment="1">
      <alignment horizontal="center" vertical="center"/>
    </xf>
    <xf numFmtId="0" fontId="5" fillId="0" borderId="93" xfId="4" applyFont="1" applyFill="1" applyBorder="1" applyAlignment="1">
      <alignment horizontal="right" vertical="center"/>
    </xf>
    <xf numFmtId="0" fontId="5" fillId="0" borderId="50" xfId="4" applyFont="1" applyFill="1" applyBorder="1" applyAlignment="1">
      <alignment horizontal="center" vertical="center"/>
    </xf>
    <xf numFmtId="2" fontId="27" fillId="0" borderId="0" xfId="0" applyNumberFormat="1" applyFont="1" applyAlignment="1">
      <alignment vertical="center"/>
    </xf>
    <xf numFmtId="17" fontId="5" fillId="0" borderId="93" xfId="4" applyNumberFormat="1" applyFont="1" applyFill="1" applyBorder="1" applyAlignment="1">
      <alignment horizontal="left" vertical="center"/>
    </xf>
    <xf numFmtId="165" fontId="5" fillId="0" borderId="94" xfId="21" applyNumberFormat="1" applyFont="1" applyBorder="1" applyAlignment="1">
      <alignment horizontal="center" vertical="center"/>
    </xf>
    <xf numFmtId="165" fontId="5" fillId="0" borderId="94" xfId="2" applyNumberFormat="1" applyFont="1" applyFill="1" applyBorder="1" applyAlignment="1">
      <alignment horizontal="center" vertical="center"/>
    </xf>
    <xf numFmtId="165" fontId="5" fillId="0" borderId="94" xfId="21" applyNumberFormat="1" applyFont="1" applyBorder="1" applyAlignment="1">
      <alignment horizontal="right" vertical="center"/>
    </xf>
    <xf numFmtId="10" fontId="5" fillId="0" borderId="90" xfId="3" applyNumberFormat="1" applyFont="1" applyFill="1" applyBorder="1" applyAlignment="1">
      <alignment horizontal="right" vertical="center"/>
    </xf>
    <xf numFmtId="17" fontId="5" fillId="0" borderId="91" xfId="4" applyNumberFormat="1" applyFont="1" applyFill="1" applyBorder="1" applyAlignment="1">
      <alignment horizontal="left" vertical="center"/>
    </xf>
    <xf numFmtId="166" fontId="5" fillId="0" borderId="90" xfId="2408" applyNumberFormat="1" applyFont="1" applyFill="1" applyBorder="1" applyAlignment="1">
      <alignment horizontal="center" vertical="center"/>
    </xf>
    <xf numFmtId="3" fontId="5" fillId="0" borderId="90" xfId="4" applyNumberFormat="1" applyFont="1" applyFill="1" applyBorder="1" applyAlignment="1">
      <alignment horizontal="centerContinuous" vertical="center"/>
    </xf>
    <xf numFmtId="0" fontId="6" fillId="0" borderId="147" xfId="4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166" fontId="6" fillId="0" borderId="94" xfId="4" applyNumberFormat="1" applyFont="1" applyBorder="1" applyAlignment="1">
      <alignment vertical="center"/>
    </xf>
    <xf numFmtId="0" fontId="6" fillId="0" borderId="94" xfId="4" applyFont="1" applyFill="1" applyBorder="1" applyAlignment="1">
      <alignment vertical="center"/>
    </xf>
    <xf numFmtId="0" fontId="6" fillId="0" borderId="93" xfId="4" applyFont="1" applyFill="1" applyBorder="1" applyAlignment="1">
      <alignment vertical="center"/>
    </xf>
    <xf numFmtId="0" fontId="5" fillId="0" borderId="94" xfId="4" applyFont="1" applyFill="1" applyBorder="1" applyAlignment="1">
      <alignment horizontal="center" vertical="center"/>
    </xf>
    <xf numFmtId="0" fontId="6" fillId="0" borderId="91" xfId="4" applyFont="1" applyFill="1" applyBorder="1" applyAlignment="1">
      <alignment vertical="center"/>
    </xf>
    <xf numFmtId="0" fontId="6" fillId="0" borderId="128" xfId="4" applyFont="1" applyFill="1" applyBorder="1" applyAlignment="1">
      <alignment vertical="center"/>
    </xf>
    <xf numFmtId="165" fontId="6" fillId="0" borderId="90" xfId="21" applyNumberFormat="1" applyFont="1" applyBorder="1" applyAlignment="1">
      <alignment vertical="center"/>
    </xf>
    <xf numFmtId="3" fontId="6" fillId="0" borderId="90" xfId="4" applyNumberFormat="1" applyFont="1" applyFill="1" applyBorder="1" applyAlignment="1">
      <alignment vertical="center"/>
    </xf>
    <xf numFmtId="10" fontId="5" fillId="0" borderId="90" xfId="3" quotePrefix="1" applyNumberFormat="1" applyFont="1" applyBorder="1" applyAlignment="1">
      <alignment horizontal="right" vertical="center"/>
    </xf>
    <xf numFmtId="165" fontId="5" fillId="0" borderId="93" xfId="2" applyNumberFormat="1" applyFont="1" applyFill="1" applyBorder="1" applyAlignment="1">
      <alignment horizontal="left" vertical="center"/>
    </xf>
    <xf numFmtId="165" fontId="5" fillId="0" borderId="94" xfId="21" applyNumberFormat="1" applyFont="1" applyFill="1" applyBorder="1" applyAlignment="1">
      <alignment horizontal="center" vertical="center"/>
    </xf>
    <xf numFmtId="165" fontId="5" fillId="0" borderId="90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27" fillId="0" borderId="94" xfId="2" quotePrefix="1" applyNumberFormat="1" applyFont="1" applyFill="1" applyBorder="1" applyAlignment="1">
      <alignment horizontal="left" vertical="center"/>
    </xf>
    <xf numFmtId="165" fontId="6" fillId="0" borderId="94" xfId="21" applyNumberFormat="1" applyFont="1" applyFill="1" applyBorder="1" applyAlignment="1">
      <alignment horizontal="center" vertical="center"/>
    </xf>
    <xf numFmtId="2" fontId="27" fillId="0" borderId="0" xfId="0" applyNumberFormat="1" applyFont="1" applyFill="1" applyAlignment="1">
      <alignment vertical="center"/>
    </xf>
    <xf numFmtId="165" fontId="5" fillId="3" borderId="1" xfId="2" applyNumberFormat="1" applyFont="1" applyFill="1" applyBorder="1" applyAlignment="1">
      <alignment vertical="center"/>
    </xf>
    <xf numFmtId="0" fontId="5" fillId="0" borderId="0" xfId="4" applyFont="1" applyAlignment="1">
      <alignment horizontal="center" vertical="center"/>
    </xf>
    <xf numFmtId="37" fontId="6" fillId="0" borderId="0" xfId="1604" applyNumberFormat="1" applyFont="1" applyAlignment="1"/>
    <xf numFmtId="0" fontId="6" fillId="0" borderId="90" xfId="4" applyFont="1" applyFill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166" fontId="5" fillId="0" borderId="137" xfId="1" applyNumberFormat="1" applyFont="1" applyFill="1" applyBorder="1" applyAlignment="1">
      <alignment vertical="center"/>
    </xf>
    <xf numFmtId="0" fontId="6" fillId="0" borderId="131" xfId="4" applyFont="1" applyBorder="1" applyAlignment="1">
      <alignment horizontal="center"/>
    </xf>
    <xf numFmtId="0" fontId="6" fillId="0" borderId="146" xfId="4" applyFont="1" applyBorder="1" applyAlignment="1">
      <alignment horizontal="center"/>
    </xf>
    <xf numFmtId="0" fontId="6" fillId="0" borderId="139" xfId="4" applyFont="1" applyBorder="1" applyAlignment="1">
      <alignment horizontal="center"/>
    </xf>
    <xf numFmtId="0" fontId="6" fillId="0" borderId="106" xfId="4" applyNumberFormat="1" applyFont="1" applyFill="1" applyBorder="1" applyAlignment="1">
      <alignment horizontal="center" vertical="center"/>
    </xf>
    <xf numFmtId="3" fontId="5" fillId="0" borderId="4" xfId="4" applyNumberFormat="1" applyFont="1" applyFill="1" applyBorder="1" applyAlignment="1">
      <alignment horizontal="centerContinuous" vertical="center"/>
    </xf>
    <xf numFmtId="10" fontId="5" fillId="0" borderId="94" xfId="3" applyNumberFormat="1" applyFont="1" applyFill="1" applyBorder="1" applyAlignment="1">
      <alignment horizontal="center" vertical="center"/>
    </xf>
    <xf numFmtId="5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 applyProtection="1">
      <alignment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1965" applyFont="1" applyFill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166" fontId="6" fillId="0" borderId="0" xfId="2408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>
      <alignment vertical="center"/>
    </xf>
    <xf numFmtId="0" fontId="29" fillId="0" borderId="0" xfId="4" applyFont="1" applyAlignment="1">
      <alignment horizontal="center" vertical="center"/>
    </xf>
    <xf numFmtId="0" fontId="6" fillId="0" borderId="0" xfId="4" applyFont="1" applyAlignment="1"/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66" fontId="5" fillId="0" borderId="111" xfId="1" applyNumberFormat="1" applyFont="1" applyFill="1" applyBorder="1" applyAlignment="1">
      <alignment vertical="center"/>
    </xf>
    <xf numFmtId="166" fontId="5" fillId="3" borderId="7" xfId="2030" applyNumberFormat="1" applyFont="1" applyFill="1" applyBorder="1"/>
    <xf numFmtId="10" fontId="5" fillId="0" borderId="0" xfId="2012" applyNumberFormat="1" applyFont="1" applyFill="1" applyAlignment="1">
      <alignment horizontal="right"/>
    </xf>
    <xf numFmtId="183" fontId="5" fillId="0" borderId="0" xfId="2012" applyNumberFormat="1" applyFont="1" applyFill="1"/>
    <xf numFmtId="10" fontId="5" fillId="0" borderId="0" xfId="2012" applyNumberFormat="1" applyFont="1" applyFill="1" applyBorder="1" applyAlignment="1">
      <alignment horizontal="right"/>
    </xf>
    <xf numFmtId="166" fontId="5" fillId="0" borderId="0" xfId="2408" applyNumberFormat="1" applyFont="1" applyFill="1" applyBorder="1" applyAlignment="1" applyProtection="1">
      <alignment horizontal="right"/>
      <protection locked="0"/>
    </xf>
    <xf numFmtId="10" fontId="5" fillId="0" borderId="0" xfId="2012" applyNumberFormat="1" applyFont="1" applyBorder="1" applyAlignment="1">
      <alignment horizontal="right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Border="1" applyAlignment="1">
      <alignment horizontal="right"/>
    </xf>
    <xf numFmtId="10" fontId="13" fillId="0" borderId="0" xfId="2012" applyNumberFormat="1" applyFont="1" applyBorder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Border="1" applyAlignment="1">
      <alignment horizontal="right"/>
    </xf>
    <xf numFmtId="0" fontId="5" fillId="0" borderId="44" xfId="1965" applyFont="1" applyBorder="1" applyAlignment="1">
      <alignment horizontal="center"/>
    </xf>
    <xf numFmtId="0" fontId="5" fillId="0" borderId="47" xfId="2012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5" fillId="0" borderId="115" xfId="37887" quotePrefix="1" applyNumberFormat="1" applyFont="1" applyFill="1" applyBorder="1" applyAlignment="1">
      <alignment vertical="center"/>
    </xf>
    <xf numFmtId="0" fontId="5" fillId="0" borderId="90" xfId="37887" quotePrefix="1" applyNumberFormat="1" applyFont="1" applyFill="1" applyBorder="1" applyAlignment="1">
      <alignment vertical="center"/>
    </xf>
    <xf numFmtId="0" fontId="6" fillId="0" borderId="115" xfId="37811" quotePrefix="1" applyNumberFormat="1" applyFont="1" applyFill="1" applyBorder="1" applyAlignment="1">
      <alignment horizontal="center" vertical="center"/>
    </xf>
    <xf numFmtId="0" fontId="6" fillId="0" borderId="90" xfId="37811" quotePrefix="1" applyNumberFormat="1" applyFont="1" applyFill="1" applyBorder="1" applyAlignment="1">
      <alignment horizontal="center" vertical="center"/>
    </xf>
    <xf numFmtId="0" fontId="6" fillId="0" borderId="131" xfId="0" applyFont="1" applyBorder="1" applyAlignment="1">
      <alignment horizontal="center" wrapText="1"/>
    </xf>
    <xf numFmtId="0" fontId="6" fillId="0" borderId="72" xfId="0" applyFont="1" applyBorder="1" applyAlignment="1">
      <alignment horizontal="center" wrapText="1"/>
    </xf>
    <xf numFmtId="0" fontId="6" fillId="0" borderId="140" xfId="0" applyFont="1" applyBorder="1" applyAlignment="1">
      <alignment horizontal="center" wrapText="1"/>
    </xf>
    <xf numFmtId="5" fontId="6" fillId="0" borderId="144" xfId="0" applyNumberFormat="1" applyFont="1" applyBorder="1" applyAlignment="1">
      <alignment horizontal="center" vertical="justify"/>
    </xf>
    <xf numFmtId="5" fontId="5" fillId="0" borderId="9" xfId="0" applyNumberFormat="1" applyFont="1" applyBorder="1" applyAlignment="1"/>
    <xf numFmtId="5" fontId="6" fillId="0" borderId="139" xfId="0" applyNumberFormat="1" applyFont="1" applyBorder="1" applyAlignment="1">
      <alignment horizontal="center" vertical="justify"/>
    </xf>
    <xf numFmtId="5" fontId="6" fillId="0" borderId="137" xfId="0" applyNumberFormat="1" applyFont="1" applyBorder="1" applyAlignment="1">
      <alignment horizontal="center"/>
    </xf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0" fontId="10" fillId="0" borderId="0" xfId="4" applyFont="1" applyFill="1" applyAlignment="1" applyProtection="1">
      <alignment horizontal="left"/>
    </xf>
    <xf numFmtId="0" fontId="10" fillId="0" borderId="0" xfId="4" applyFont="1" applyFill="1"/>
    <xf numFmtId="6" fontId="5" fillId="0" borderId="0" xfId="4" applyNumberFormat="1" applyFont="1" applyFill="1" applyProtection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10" xfId="4" applyFont="1" applyBorder="1" applyAlignment="1">
      <alignment horizontal="center" vertical="center"/>
    </xf>
    <xf numFmtId="0" fontId="5" fillId="0" borderId="9" xfId="4" applyFont="1" applyBorder="1" applyAlignment="1">
      <alignment horizontal="center" vertical="center"/>
    </xf>
    <xf numFmtId="0" fontId="5" fillId="0" borderId="0" xfId="1965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Border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Border="1" applyAlignment="1">
      <alignment horizontal="center" vertical="center"/>
    </xf>
    <xf numFmtId="0" fontId="6" fillId="0" borderId="0" xfId="2012" applyFont="1" applyBorder="1" applyAlignment="1">
      <alignment horizontal="left" vertical="center"/>
    </xf>
    <xf numFmtId="0" fontId="6" fillId="0" borderId="0" xfId="2012" applyFont="1" applyAlignment="1">
      <alignment vertical="center"/>
    </xf>
    <xf numFmtId="0" fontId="6" fillId="0" borderId="0" xfId="2012" applyFont="1" applyAlignment="1" applyProtection="1">
      <alignment horizontal="center"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0" fontId="6" fillId="0" borderId="0" xfId="2012" applyFont="1" applyAlignment="1" applyProtection="1">
      <alignment vertical="center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Border="1" applyAlignment="1">
      <alignment vertical="center"/>
    </xf>
    <xf numFmtId="0" fontId="6" fillId="0" borderId="0" xfId="4" applyFont="1" applyFill="1" applyBorder="1" applyAlignment="1">
      <alignment horizontal="center" vertical="center"/>
    </xf>
    <xf numFmtId="37" fontId="6" fillId="0" borderId="0" xfId="1604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0" fontId="27" fillId="0" borderId="0" xfId="1962" applyFont="1" applyBorder="1" applyAlignment="1">
      <alignment horizontal="center" vertical="center"/>
    </xf>
    <xf numFmtId="0" fontId="27" fillId="0" borderId="9" xfId="1962" applyFont="1" applyBorder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0" fontId="29" fillId="0" borderId="144" xfId="1962" applyFont="1" applyFill="1" applyBorder="1" applyAlignment="1">
      <alignment horizontal="center"/>
    </xf>
    <xf numFmtId="0" fontId="117" fillId="0" borderId="8" xfId="1962" applyFont="1" applyFill="1" applyBorder="1" applyAlignment="1">
      <alignment horizontal="center"/>
    </xf>
    <xf numFmtId="0" fontId="117" fillId="0" borderId="132" xfId="1962" applyFont="1" applyFill="1" applyBorder="1" applyAlignment="1">
      <alignment horizontal="center"/>
    </xf>
    <xf numFmtId="0" fontId="29" fillId="0" borderId="136" xfId="1962" applyFont="1" applyBorder="1" applyAlignment="1">
      <alignment horizontal="center"/>
    </xf>
    <xf numFmtId="0" fontId="29" fillId="0" borderId="106" xfId="1962" applyFont="1" applyBorder="1" applyAlignment="1">
      <alignment horizontal="center"/>
    </xf>
    <xf numFmtId="166" fontId="5" fillId="3" borderId="149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Border="1" applyAlignment="1">
      <alignment vertical="center"/>
    </xf>
    <xf numFmtId="0" fontId="6" fillId="0" borderId="0" xfId="1604" applyFont="1" applyFill="1" applyBorder="1"/>
    <xf numFmtId="166" fontId="5" fillId="0" borderId="149" xfId="1" applyNumberFormat="1" applyFont="1" applyFill="1" applyBorder="1" applyAlignment="1">
      <alignment vertical="center"/>
    </xf>
    <xf numFmtId="166" fontId="5" fillId="0" borderId="149" xfId="1" applyNumberFormat="1" applyFont="1" applyFill="1" applyBorder="1" applyAlignment="1"/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5" fillId="0" borderId="0" xfId="2012" applyFont="1" applyBorder="1" applyAlignment="1">
      <alignment horizontal="left"/>
    </xf>
    <xf numFmtId="0" fontId="10" fillId="0" borderId="0" xfId="2012" applyFont="1" applyProtection="1"/>
    <xf numFmtId="165" fontId="5" fillId="0" borderId="52" xfId="48" applyNumberFormat="1" applyFont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165" fontId="5" fillId="0" borderId="49" xfId="4" applyNumberFormat="1" applyFont="1" applyBorder="1" applyAlignment="1">
      <alignment vertical="center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81" fontId="6" fillId="0" borderId="49" xfId="4" applyNumberFormat="1" applyFont="1" applyBorder="1" applyAlignment="1">
      <alignment vertical="center"/>
    </xf>
    <xf numFmtId="165" fontId="6" fillId="0" borderId="52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0" fontId="5" fillId="3" borderId="44" xfId="1043" applyNumberFormat="1" applyFont="1" applyFill="1" applyBorder="1" applyAlignment="1">
      <alignment vertical="center"/>
    </xf>
    <xf numFmtId="167" fontId="5" fillId="2" borderId="128" xfId="1043" applyNumberFormat="1" applyFont="1" applyFill="1" applyBorder="1" applyAlignment="1">
      <alignment horizontal="right" vertical="center"/>
    </xf>
    <xf numFmtId="165" fontId="5" fillId="0" borderId="44" xfId="1963" applyNumberFormat="1" applyFont="1" applyBorder="1" applyAlignment="1">
      <alignment horizontal="right"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5" fontId="5" fillId="0" borderId="41" xfId="1963" applyNumberFormat="1" applyFont="1" applyBorder="1" applyAlignment="1">
      <alignment horizontal="right"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 applyProtection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Fill="1" applyAlignment="1">
      <alignment horizontal="right" vertical="center"/>
    </xf>
    <xf numFmtId="183" fontId="5" fillId="0" borderId="0" xfId="2012" applyNumberFormat="1" applyFont="1" applyFill="1" applyAlignment="1">
      <alignment vertical="center"/>
    </xf>
    <xf numFmtId="183" fontId="5" fillId="0" borderId="45" xfId="2012" applyNumberFormat="1" applyFont="1" applyFill="1" applyBorder="1" applyAlignment="1" applyProtection="1">
      <alignment horizontal="right" vertical="center"/>
      <protection locked="0"/>
    </xf>
    <xf numFmtId="10" fontId="5" fillId="0" borderId="0" xfId="2012" applyNumberFormat="1" applyFont="1" applyBorder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Border="1" applyAlignment="1">
      <alignment horizontal="right" vertical="center"/>
    </xf>
    <xf numFmtId="10" fontId="5" fillId="0" borderId="128" xfId="3" quotePrefix="1" applyNumberFormat="1" applyFont="1" applyBorder="1" applyAlignment="1">
      <alignment horizontal="right" vertical="center"/>
    </xf>
    <xf numFmtId="183" fontId="6" fillId="0" borderId="45" xfId="2012" quotePrefix="1" applyNumberFormat="1" applyFont="1" applyBorder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 applyProtection="1">
      <alignment vertical="center"/>
    </xf>
    <xf numFmtId="0" fontId="5" fillId="0" borderId="0" xfId="2012" applyFont="1" applyAlignment="1">
      <alignment vertical="center"/>
    </xf>
    <xf numFmtId="10" fontId="5" fillId="0" borderId="0" xfId="2012" applyNumberFormat="1" applyFont="1" applyFill="1" applyBorder="1" applyAlignment="1">
      <alignment horizontal="right" vertical="center"/>
    </xf>
    <xf numFmtId="10" fontId="13" fillId="0" borderId="45" xfId="2012" applyNumberFormat="1" applyFont="1" applyBorder="1" applyAlignment="1">
      <alignment horizontal="right" vertical="center"/>
    </xf>
    <xf numFmtId="165" fontId="5" fillId="0" borderId="1" xfId="2" applyNumberFormat="1" applyFont="1" applyBorder="1" applyAlignment="1">
      <alignment horizontal="right" vertical="center"/>
    </xf>
    <xf numFmtId="0" fontId="6" fillId="0" borderId="0" xfId="2012" applyFont="1" applyFill="1" applyBorder="1" applyAlignment="1">
      <alignment horizontal="center" vertical="center"/>
    </xf>
    <xf numFmtId="0" fontId="13" fillId="0" borderId="0" xfId="2012" applyFont="1" applyFill="1" applyBorder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65" fontId="5" fillId="2" borderId="128" xfId="2012" applyNumberFormat="1" applyFont="1" applyFill="1" applyBorder="1" applyAlignment="1" applyProtection="1">
      <alignment horizontal="right" vertical="center"/>
      <protection locked="0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Border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8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Border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7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6" fontId="6" fillId="0" borderId="0" xfId="1" applyNumberFormat="1" applyFont="1" applyFill="1" applyAlignment="1">
      <alignment vertical="center"/>
    </xf>
    <xf numFmtId="165" fontId="5" fillId="0" borderId="0" xfId="1965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6" fontId="5" fillId="0" borderId="44" xfId="1" applyNumberFormat="1" applyFont="1" applyFill="1" applyBorder="1" applyAlignment="1">
      <alignment vertical="center"/>
    </xf>
    <xf numFmtId="165" fontId="6" fillId="0" borderId="0" xfId="1965" applyNumberFormat="1" applyFont="1" applyFill="1" applyAlignment="1">
      <alignment vertical="center"/>
    </xf>
    <xf numFmtId="165" fontId="6" fillId="0" borderId="0" xfId="1965" applyNumberFormat="1" applyFont="1" applyAlignment="1">
      <alignment vertical="center"/>
    </xf>
    <xf numFmtId="166" fontId="5" fillId="0" borderId="128" xfId="1" applyNumberFormat="1" applyFont="1" applyBorder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94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52" xfId="37039" applyNumberFormat="1" applyFont="1" applyBorder="1" applyAlignment="1">
      <alignment vertical="center"/>
    </xf>
    <xf numFmtId="166" fontId="5" fillId="0" borderId="94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5" fontId="5" fillId="0" borderId="0" xfId="38092" applyNumberFormat="1" applyFont="1" applyFill="1" applyBorder="1" applyAlignment="1">
      <alignment vertical="center"/>
    </xf>
    <xf numFmtId="0" fontId="5" fillId="0" borderId="137" xfId="1962" applyFont="1" applyFill="1" applyBorder="1" applyAlignment="1">
      <alignment vertical="center"/>
    </xf>
    <xf numFmtId="166" fontId="5" fillId="0" borderId="94" xfId="1962" applyNumberFormat="1" applyFont="1" applyFill="1" applyBorder="1" applyAlignment="1">
      <alignment vertical="center"/>
    </xf>
    <xf numFmtId="43" fontId="5" fillId="0" borderId="137" xfId="1962" applyNumberFormat="1" applyFont="1" applyFill="1" applyBorder="1" applyAlignment="1">
      <alignment vertical="center"/>
    </xf>
    <xf numFmtId="165" fontId="5" fillId="0" borderId="137" xfId="38092" applyNumberFormat="1" applyFont="1" applyFill="1" applyBorder="1" applyAlignment="1">
      <alignment vertical="center"/>
    </xf>
    <xf numFmtId="166" fontId="5" fillId="0" borderId="137" xfId="1962" applyNumberFormat="1" applyFont="1" applyFill="1" applyBorder="1" applyAlignment="1">
      <alignment vertical="center"/>
    </xf>
    <xf numFmtId="166" fontId="5" fillId="0" borderId="90" xfId="1962" applyNumberFormat="1" applyFont="1" applyFill="1" applyBorder="1" applyAlignment="1">
      <alignment vertical="center"/>
    </xf>
    <xf numFmtId="0" fontId="5" fillId="0" borderId="141" xfId="1962" applyFont="1" applyFill="1" applyBorder="1" applyAlignment="1">
      <alignment vertical="center"/>
    </xf>
    <xf numFmtId="0" fontId="29" fillId="0" borderId="0" xfId="1962" applyFont="1" applyFill="1" applyBorder="1" applyAlignment="1">
      <alignment vertical="center"/>
    </xf>
    <xf numFmtId="0" fontId="29" fillId="0" borderId="137" xfId="1962" applyFont="1" applyBorder="1" applyAlignment="1">
      <alignment vertical="center"/>
    </xf>
    <xf numFmtId="165" fontId="29" fillId="0" borderId="1" xfId="1962" applyNumberFormat="1" applyFont="1" applyFill="1" applyBorder="1" applyAlignment="1">
      <alignment vertical="center"/>
    </xf>
    <xf numFmtId="165" fontId="29" fillId="0" borderId="142" xfId="38093" applyNumberFormat="1" applyFont="1" applyBorder="1" applyAlignment="1">
      <alignment vertical="center"/>
    </xf>
    <xf numFmtId="43" fontId="29" fillId="0" borderId="0" xfId="1962" applyNumberFormat="1" applyFont="1" applyFill="1" applyBorder="1" applyAlignment="1">
      <alignment vertical="center"/>
    </xf>
    <xf numFmtId="42" fontId="29" fillId="0" borderId="142" xfId="1045" applyFont="1" applyBorder="1" applyAlignment="1">
      <alignment vertical="center"/>
    </xf>
    <xf numFmtId="0" fontId="29" fillId="0" borderId="72" xfId="1962" applyFont="1" applyFill="1" applyBorder="1" applyAlignment="1">
      <alignment vertical="center"/>
    </xf>
    <xf numFmtId="0" fontId="29" fillId="0" borderId="140" xfId="1962" applyFont="1" applyBorder="1" applyAlignment="1">
      <alignment vertical="center"/>
    </xf>
    <xf numFmtId="166" fontId="5" fillId="2" borderId="81" xfId="2408" applyNumberFormat="1" applyFont="1" applyFill="1" applyBorder="1" applyAlignment="1" applyProtection="1">
      <alignment horizontal="right" vertical="center"/>
      <protection locked="0"/>
    </xf>
    <xf numFmtId="165" fontId="5" fillId="0" borderId="103" xfId="21" applyNumberFormat="1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5" fillId="0" borderId="103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5" fillId="0" borderId="41" xfId="21" applyNumberFormat="1" applyFont="1" applyFill="1" applyBorder="1" applyAlignment="1" applyProtection="1">
      <alignment horizontal="right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6" fontId="5" fillId="2" borderId="81" xfId="2408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Fill="1" applyAlignment="1" applyProtection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166" fontId="5" fillId="0" borderId="81" xfId="2408" applyNumberFormat="1" applyFont="1" applyFill="1" applyBorder="1" applyAlignment="1" applyProtection="1">
      <alignment horizontal="right" vertical="center"/>
    </xf>
    <xf numFmtId="165" fontId="5" fillId="0" borderId="46" xfId="21" applyNumberFormat="1" applyFont="1" applyFill="1" applyBorder="1" applyAlignment="1" applyProtection="1">
      <alignment horizontal="right" vertical="center"/>
    </xf>
    <xf numFmtId="9" fontId="5" fillId="3" borderId="128" xfId="3" applyNumberFormat="1" applyFont="1" applyFill="1" applyBorder="1" applyAlignment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Fill="1" applyAlignment="1">
      <alignment vertical="center"/>
    </xf>
    <xf numFmtId="165" fontId="5" fillId="0" borderId="128" xfId="2" applyNumberFormat="1" applyFont="1" applyFill="1" applyBorder="1" applyAlignment="1">
      <alignment vertical="center"/>
    </xf>
    <xf numFmtId="166" fontId="5" fillId="2" borderId="94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5" fontId="5" fillId="0" borderId="137" xfId="2" applyNumberFormat="1" applyFont="1" applyFill="1" applyBorder="1" applyAlignment="1">
      <alignment vertical="center"/>
    </xf>
    <xf numFmtId="166" fontId="5" fillId="0" borderId="140" xfId="1" applyNumberFormat="1" applyFont="1" applyFill="1" applyBorder="1" applyAlignment="1">
      <alignment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72" xfId="1965" applyFont="1" applyBorder="1"/>
    <xf numFmtId="44" fontId="6" fillId="0" borderId="72" xfId="4" applyNumberFormat="1" applyFont="1" applyBorder="1"/>
    <xf numFmtId="165" fontId="27" fillId="0" borderId="0" xfId="2" applyNumberFormat="1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27" fillId="0" borderId="0" xfId="0" applyFont="1" applyBorder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0" quotePrefix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5" fillId="0" borderId="0" xfId="4" applyFont="1" applyBorder="1" applyAlignment="1">
      <alignment horizontal="left" vertical="center"/>
    </xf>
    <xf numFmtId="1" fontId="5" fillId="0" borderId="0" xfId="4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0" fontId="5" fillId="0" borderId="0" xfId="4" applyNumberFormat="1" applyFont="1" applyFill="1" applyBorder="1" applyAlignment="1">
      <alignment horizontal="lef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0" fontId="5" fillId="0" borderId="149" xfId="4" applyNumberFormat="1" applyFont="1" applyFill="1" applyBorder="1" applyAlignment="1">
      <alignment horizontal="left" vertical="center"/>
    </xf>
    <xf numFmtId="1" fontId="5" fillId="0" borderId="149" xfId="4" applyNumberFormat="1" applyFont="1" applyFill="1" applyBorder="1" applyAlignment="1">
      <alignment horizontal="center" vertical="center"/>
    </xf>
    <xf numFmtId="166" fontId="27" fillId="0" borderId="149" xfId="1" applyNumberFormat="1" applyFont="1" applyFill="1" applyBorder="1" applyAlignment="1">
      <alignment horizontal="right" vertical="center"/>
    </xf>
    <xf numFmtId="166" fontId="27" fillId="0" borderId="149" xfId="1" applyNumberFormat="1" applyFont="1" applyFill="1" applyBorder="1" applyAlignment="1">
      <alignment vertical="center"/>
    </xf>
    <xf numFmtId="166" fontId="5" fillId="0" borderId="149" xfId="1" applyNumberFormat="1" applyFont="1" applyFill="1" applyBorder="1" applyAlignment="1">
      <alignment horizontal="right" vertical="center"/>
    </xf>
    <xf numFmtId="165" fontId="27" fillId="0" borderId="148" xfId="2" applyNumberFormat="1" applyFont="1" applyFill="1" applyBorder="1" applyAlignment="1">
      <alignment vertical="center"/>
    </xf>
    <xf numFmtId="214" fontId="27" fillId="0" borderId="0" xfId="0" applyNumberFormat="1" applyFont="1" applyFill="1" applyAlignment="1">
      <alignment vertical="center"/>
    </xf>
    <xf numFmtId="0" fontId="11" fillId="0" borderId="0" xfId="3840" quotePrefix="1" applyFont="1" applyFill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184" fontId="5" fillId="0" borderId="0" xfId="0" applyNumberFormat="1" applyFont="1" applyFill="1" applyAlignment="1">
      <alignment horizontal="right" vertical="center"/>
    </xf>
    <xf numFmtId="184" fontId="5" fillId="0" borderId="149" xfId="0" applyNumberFormat="1" applyFont="1" applyFill="1" applyBorder="1" applyAlignment="1">
      <alignment horizontal="right" vertical="center"/>
    </xf>
    <xf numFmtId="0" fontId="5" fillId="0" borderId="0" xfId="4" applyFont="1" applyFill="1" applyBorder="1" applyAlignment="1">
      <alignment horizontal="left" vertical="center"/>
    </xf>
    <xf numFmtId="10" fontId="27" fillId="0" borderId="0" xfId="0" applyNumberFormat="1" applyFont="1" applyFill="1" applyAlignment="1">
      <alignment vertical="center"/>
    </xf>
    <xf numFmtId="184" fontId="27" fillId="0" borderId="0" xfId="0" quotePrefix="1" applyNumberFormat="1" applyFont="1" applyFill="1" applyAlignment="1">
      <alignment horizontal="center" vertical="center"/>
    </xf>
    <xf numFmtId="184" fontId="27" fillId="0" borderId="0" xfId="0" applyNumberFormat="1" applyFont="1" applyFill="1" applyAlignment="1">
      <alignment vertical="center"/>
    </xf>
    <xf numFmtId="184" fontId="27" fillId="0" borderId="0" xfId="0" applyNumberFormat="1" applyFont="1" applyBorder="1" applyAlignment="1">
      <alignment horizontal="right" vertical="center"/>
    </xf>
    <xf numFmtId="0" fontId="6" fillId="0" borderId="0" xfId="4" applyNumberFormat="1" applyFont="1" applyFill="1" applyBorder="1" applyAlignment="1">
      <alignment horizontal="left" vertical="center"/>
    </xf>
    <xf numFmtId="1" fontId="6" fillId="0" borderId="0" xfId="4" applyNumberFormat="1" applyFont="1" applyFill="1" applyBorder="1" applyAlignment="1">
      <alignment horizontal="center" vertical="center"/>
    </xf>
    <xf numFmtId="184" fontId="29" fillId="0" borderId="0" xfId="0" quotePrefix="1" applyNumberFormat="1" applyFont="1" applyFill="1" applyAlignment="1">
      <alignment horizontal="center" vertical="center"/>
    </xf>
    <xf numFmtId="184" fontId="6" fillId="0" borderId="0" xfId="0" applyNumberFormat="1" applyFont="1" applyFill="1" applyAlignment="1">
      <alignment horizontal="right" vertical="center"/>
    </xf>
    <xf numFmtId="184" fontId="29" fillId="0" borderId="0" xfId="0" applyNumberFormat="1" applyFont="1" applyFill="1" applyAlignment="1">
      <alignment vertical="center"/>
    </xf>
    <xf numFmtId="10" fontId="29" fillId="0" borderId="0" xfId="0" applyNumberFormat="1" applyFont="1" applyFill="1" applyAlignment="1">
      <alignment vertical="center"/>
    </xf>
    <xf numFmtId="184" fontId="29" fillId="0" borderId="0" xfId="0" applyNumberFormat="1" applyFont="1" applyBorder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Fill="1" applyBorder="1" applyAlignment="1">
      <alignment horizontal="center" vertical="center"/>
    </xf>
    <xf numFmtId="10" fontId="27" fillId="2" borderId="0" xfId="0" applyNumberFormat="1" applyFont="1" applyFill="1" applyBorder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0" fontId="27" fillId="0" borderId="0" xfId="0" applyNumberFormat="1" applyFont="1" applyFill="1" applyBorder="1" applyAlignment="1">
      <alignment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0" fontId="5" fillId="0" borderId="149" xfId="4" applyFont="1" applyBorder="1" applyAlignment="1">
      <alignment horizontal="left" vertical="center"/>
    </xf>
    <xf numFmtId="1" fontId="5" fillId="0" borderId="149" xfId="55" applyNumberFormat="1" applyFont="1" applyFill="1" applyBorder="1" applyAlignment="1">
      <alignment horizontal="center" vertical="center"/>
    </xf>
    <xf numFmtId="10" fontId="27" fillId="0" borderId="149" xfId="0" applyNumberFormat="1" applyFont="1" applyFill="1" applyBorder="1" applyAlignment="1">
      <alignment vertical="center"/>
    </xf>
    <xf numFmtId="166" fontId="5" fillId="0" borderId="149" xfId="1" quotePrefix="1" applyNumberFormat="1" applyFont="1" applyBorder="1" applyAlignment="1">
      <alignment horizontal="center" vertical="center"/>
    </xf>
    <xf numFmtId="214" fontId="27" fillId="0" borderId="0" xfId="0" quotePrefix="1" applyNumberFormat="1" applyFont="1" applyFill="1" applyAlignment="1">
      <alignment horizontal="center" vertical="center"/>
    </xf>
    <xf numFmtId="214" fontId="27" fillId="0" borderId="0" xfId="0" applyNumberFormat="1" applyFont="1" applyFill="1" applyBorder="1" applyAlignment="1">
      <alignment vertical="center"/>
    </xf>
    <xf numFmtId="215" fontId="5" fillId="3" borderId="0" xfId="2038" applyNumberFormat="1" applyFont="1" applyFill="1" applyAlignment="1">
      <alignment vertical="center"/>
    </xf>
    <xf numFmtId="0" fontId="6" fillId="0" borderId="0" xfId="4" applyFont="1" applyAlignment="1">
      <alignment horizontal="center"/>
    </xf>
    <xf numFmtId="0" fontId="6" fillId="0" borderId="0" xfId="1965" applyFont="1" applyAlignment="1">
      <alignment horizontal="center"/>
    </xf>
    <xf numFmtId="0" fontId="6" fillId="0" borderId="0" xfId="2012" applyFont="1" applyAlignment="1" applyProtection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4" applyFont="1" applyFill="1" applyBorder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applyFont="1" applyAlignment="1"/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NumberFormat="1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Border="1" applyAlignment="1" applyProtection="1">
      <alignment horizontal="right" vertical="center"/>
      <protection locked="0"/>
    </xf>
    <xf numFmtId="5" fontId="5" fillId="0" borderId="0" xfId="2012" applyNumberFormat="1" applyFont="1" applyBorder="1" applyAlignment="1" applyProtection="1">
      <alignment horizontal="right"/>
      <protection locked="0"/>
    </xf>
    <xf numFmtId="5" fontId="6" fillId="0" borderId="0" xfId="2012" applyNumberFormat="1" applyFont="1" applyBorder="1" applyAlignment="1" applyProtection="1">
      <alignment horizontal="right" vertical="center"/>
      <protection locked="0"/>
    </xf>
    <xf numFmtId="5" fontId="6" fillId="0" borderId="0" xfId="2012" applyNumberFormat="1" applyFont="1" applyBorder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10" fontId="5" fillId="3" borderId="149" xfId="3" applyNumberFormat="1" applyFont="1" applyFill="1" applyBorder="1" applyAlignment="1">
      <alignment horizontal="center" vertical="center"/>
    </xf>
    <xf numFmtId="166" fontId="5" fillId="0" borderId="149" xfId="1" applyNumberFormat="1" applyFont="1" applyBorder="1" applyAlignment="1">
      <alignment horizontal="center" vertical="center"/>
    </xf>
    <xf numFmtId="166" fontId="5" fillId="0" borderId="149" xfId="1" applyNumberFormat="1" applyFont="1" applyBorder="1" applyAlignment="1">
      <alignment horizontal="right" vertical="center"/>
    </xf>
    <xf numFmtId="165" fontId="5" fillId="0" borderId="148" xfId="2" applyNumberFormat="1" applyFont="1" applyFill="1" applyBorder="1" applyAlignment="1">
      <alignment vertical="center"/>
    </xf>
    <xf numFmtId="213" fontId="5" fillId="0" borderId="148" xfId="2" applyNumberFormat="1" applyFont="1" applyBorder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vertical="center"/>
    </xf>
    <xf numFmtId="0" fontId="162" fillId="0" borderId="0" xfId="0" applyFont="1" applyAlignment="1">
      <alignment vertical="center"/>
    </xf>
    <xf numFmtId="8" fontId="5" fillId="0" borderId="0" xfId="0" applyNumberFormat="1" applyFont="1" applyFill="1" applyAlignment="1">
      <alignment vertical="center"/>
    </xf>
    <xf numFmtId="165" fontId="5" fillId="0" borderId="10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10" fontId="5" fillId="2" borderId="149" xfId="0" applyNumberFormat="1" applyFont="1" applyFill="1" applyBorder="1" applyAlignment="1">
      <alignment vertical="center"/>
    </xf>
    <xf numFmtId="10" fontId="5" fillId="0" borderId="0" xfId="0" applyNumberFormat="1" applyFont="1" applyFill="1" applyAlignment="1">
      <alignment vertical="center"/>
    </xf>
    <xf numFmtId="214" fontId="5" fillId="0" borderId="0" xfId="0" applyNumberFormat="1" applyFont="1" applyFill="1" applyAlignment="1">
      <alignment horizontal="right" vertical="center"/>
    </xf>
    <xf numFmtId="165" fontId="5" fillId="0" borderId="148" xfId="2" applyNumberFormat="1" applyFont="1" applyFill="1" applyBorder="1" applyAlignment="1">
      <alignment horizontal="right" vertical="center"/>
    </xf>
    <xf numFmtId="214" fontId="5" fillId="0" borderId="0" xfId="0" applyNumberFormat="1" applyFont="1" applyFill="1" applyBorder="1" applyAlignment="1">
      <alignment horizontal="right" vertical="center"/>
    </xf>
    <xf numFmtId="184" fontId="5" fillId="0" borderId="0" xfId="0" quotePrefix="1" applyNumberFormat="1" applyFont="1" applyFill="1" applyAlignment="1">
      <alignment horizontal="center" vertical="center"/>
    </xf>
    <xf numFmtId="184" fontId="5" fillId="0" borderId="0" xfId="0" applyNumberFormat="1" applyFont="1" applyFill="1" applyAlignment="1">
      <alignment vertical="center"/>
    </xf>
    <xf numFmtId="184" fontId="5" fillId="0" borderId="0" xfId="0" applyNumberFormat="1" applyFont="1" applyBorder="1" applyAlignment="1">
      <alignment horizontal="right" vertical="center"/>
    </xf>
    <xf numFmtId="184" fontId="5" fillId="0" borderId="0" xfId="0" applyNumberFormat="1" applyFont="1" applyBorder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123" xfId="3856" applyFont="1" applyBorder="1"/>
    <xf numFmtId="14" fontId="6" fillId="0" borderId="86" xfId="3856" applyNumberFormat="1" applyFont="1" applyBorder="1" applyAlignment="1">
      <alignment horizontal="center"/>
    </xf>
    <xf numFmtId="0" fontId="6" fillId="0" borderId="125" xfId="3856" applyFont="1" applyBorder="1" applyAlignment="1">
      <alignment horizontal="center"/>
    </xf>
    <xf numFmtId="0" fontId="5" fillId="0" borderId="3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102" xfId="3856" applyFont="1" applyBorder="1"/>
    <xf numFmtId="0" fontId="6" fillId="0" borderId="102" xfId="3856" applyFont="1" applyBorder="1" applyAlignment="1">
      <alignment horizontal="center"/>
    </xf>
    <xf numFmtId="0" fontId="6" fillId="0" borderId="0" xfId="3856" applyFont="1" applyBorder="1" applyAlignment="1">
      <alignment horizontal="center"/>
    </xf>
    <xf numFmtId="0" fontId="6" fillId="0" borderId="94" xfId="3856" applyFont="1" applyBorder="1" applyAlignment="1">
      <alignment horizontal="center"/>
    </xf>
    <xf numFmtId="0" fontId="6" fillId="0" borderId="111" xfId="3856" applyFont="1" applyBorder="1" applyAlignment="1">
      <alignment horizontal="center"/>
    </xf>
    <xf numFmtId="0" fontId="6" fillId="0" borderId="90" xfId="3856" applyFont="1" applyBorder="1" applyAlignment="1">
      <alignment horizontal="center"/>
    </xf>
    <xf numFmtId="0" fontId="6" fillId="0" borderId="128" xfId="3856" applyFont="1" applyBorder="1" applyAlignment="1">
      <alignment horizontal="center"/>
    </xf>
    <xf numFmtId="0" fontId="6" fillId="0" borderId="106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128" xfId="3856" applyFont="1" applyBorder="1"/>
    <xf numFmtId="0" fontId="5" fillId="0" borderId="90" xfId="3856" applyFont="1" applyBorder="1"/>
    <xf numFmtId="0" fontId="5" fillId="0" borderId="106" xfId="3856" applyFont="1" applyBorder="1" applyAlignment="1">
      <alignment horizontal="center"/>
    </xf>
    <xf numFmtId="0" fontId="5" fillId="0" borderId="0" xfId="3856" applyFont="1" applyBorder="1" applyAlignment="1">
      <alignment horizontal="center" vertical="center"/>
    </xf>
    <xf numFmtId="0" fontId="11" fillId="0" borderId="0" xfId="3856" applyFont="1" applyBorder="1" applyAlignment="1">
      <alignment horizontal="center" vertical="center"/>
    </xf>
    <xf numFmtId="0" fontId="5" fillId="0" borderId="0" xfId="3856" applyFont="1" applyFill="1"/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Border="1" applyAlignment="1">
      <alignment horizontal="center" vertical="center"/>
    </xf>
    <xf numFmtId="0" fontId="6" fillId="0" borderId="144" xfId="1042" applyFont="1" applyBorder="1" applyAlignment="1">
      <alignment horizontal="center"/>
    </xf>
    <xf numFmtId="0" fontId="6" fillId="0" borderId="8" xfId="1042" applyFont="1" applyBorder="1"/>
    <xf numFmtId="0" fontId="6" fillId="0" borderId="139" xfId="1042" applyFont="1" applyBorder="1" applyAlignment="1">
      <alignment horizontal="center"/>
    </xf>
    <xf numFmtId="0" fontId="6" fillId="0" borderId="135" xfId="1042" applyFont="1" applyBorder="1" applyAlignment="1">
      <alignment horizontal="center"/>
    </xf>
    <xf numFmtId="0" fontId="6" fillId="0" borderId="149" xfId="1042" applyFont="1" applyBorder="1" applyAlignment="1">
      <alignment horizontal="center"/>
    </xf>
    <xf numFmtId="0" fontId="6" fillId="0" borderId="141" xfId="1042" applyFont="1" applyBorder="1" applyAlignment="1">
      <alignment horizontal="center"/>
    </xf>
    <xf numFmtId="0" fontId="5" fillId="0" borderId="9" xfId="1042" applyFont="1" applyBorder="1" applyAlignment="1">
      <alignment horizontal="left"/>
    </xf>
    <xf numFmtId="0" fontId="5" fillId="0" borderId="94" xfId="1042" applyFont="1" applyBorder="1"/>
    <xf numFmtId="0" fontId="5" fillId="0" borderId="115" xfId="1042" applyFont="1" applyBorder="1" applyAlignment="1">
      <alignment horizontal="left"/>
    </xf>
    <xf numFmtId="0" fontId="5" fillId="0" borderId="90" xfId="1042" applyFont="1" applyBorder="1"/>
    <xf numFmtId="0" fontId="5" fillId="0" borderId="9" xfId="1042" applyFont="1" applyBorder="1"/>
    <xf numFmtId="0" fontId="5" fillId="0" borderId="4" xfId="1042" applyFont="1" applyBorder="1"/>
    <xf numFmtId="166" fontId="5" fillId="0" borderId="137" xfId="2406" applyNumberFormat="1" applyFont="1" applyFill="1" applyBorder="1" applyAlignment="1">
      <alignment vertical="center"/>
    </xf>
    <xf numFmtId="0" fontId="6" fillId="0" borderId="9" xfId="1042" applyFont="1" applyBorder="1"/>
    <xf numFmtId="0" fontId="6" fillId="0" borderId="94" xfId="1042" applyFont="1" applyBorder="1"/>
    <xf numFmtId="165" fontId="6" fillId="0" borderId="142" xfId="38092" applyNumberFormat="1" applyFont="1" applyBorder="1" applyAlignment="1">
      <alignment vertical="center"/>
    </xf>
    <xf numFmtId="0" fontId="6" fillId="0" borderId="56" xfId="1042" applyFont="1" applyBorder="1" applyAlignment="1">
      <alignment horizontal="right"/>
    </xf>
    <xf numFmtId="0" fontId="6" fillId="0" borderId="143" xfId="1042" applyFont="1" applyBorder="1" applyAlignment="1">
      <alignment horizontal="right"/>
    </xf>
    <xf numFmtId="43" fontId="5" fillId="0" borderId="140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Fill="1" applyAlignment="1">
      <alignment horizontal="center" vertical="center"/>
    </xf>
    <xf numFmtId="0" fontId="5" fillId="0" borderId="0" xfId="1042" applyFont="1" applyFill="1"/>
    <xf numFmtId="0" fontId="6" fillId="0" borderId="0" xfId="1042" applyFont="1" applyFill="1"/>
    <xf numFmtId="0" fontId="11" fillId="0" borderId="0" xfId="1042" applyFont="1" applyAlignment="1">
      <alignment horizontal="center" vertical="center"/>
    </xf>
    <xf numFmtId="172" fontId="6" fillId="0" borderId="0" xfId="0" applyNumberFormat="1" applyFont="1" applyFill="1" applyBorder="1"/>
    <xf numFmtId="0" fontId="5" fillId="0" borderId="0" xfId="1604" applyFont="1" applyFill="1" applyBorder="1" applyAlignment="1">
      <alignment wrapText="1"/>
    </xf>
    <xf numFmtId="37" fontId="6" fillId="0" borderId="94" xfId="12" applyNumberFormat="1" applyFont="1" applyFill="1" applyBorder="1" applyAlignment="1">
      <alignment horizontal="left" vertical="center"/>
    </xf>
    <xf numFmtId="37" fontId="6" fillId="0" borderId="0" xfId="0" applyNumberFormat="1" applyFont="1" applyBorder="1" applyAlignment="1">
      <alignment horizontal="right" vertical="center"/>
    </xf>
    <xf numFmtId="37" fontId="6" fillId="0" borderId="10" xfId="0" applyNumberFormat="1" applyFont="1" applyBorder="1" applyAlignment="1">
      <alignment vertical="center"/>
    </xf>
    <xf numFmtId="43" fontId="6" fillId="0" borderId="0" xfId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/>
    </xf>
    <xf numFmtId="37" fontId="6" fillId="0" borderId="0" xfId="0" applyNumberFormat="1" applyFont="1" applyBorder="1" applyAlignment="1">
      <alignment horizontal="right"/>
    </xf>
    <xf numFmtId="0" fontId="5" fillId="0" borderId="53" xfId="0" applyFont="1" applyBorder="1" applyAlignment="1">
      <alignment vertical="center"/>
    </xf>
    <xf numFmtId="0" fontId="5" fillId="0" borderId="0" xfId="1962" applyFont="1" applyBorder="1" applyAlignment="1">
      <alignment horizontal="center" vertical="center"/>
    </xf>
    <xf numFmtId="0" fontId="6" fillId="0" borderId="0" xfId="1962" applyFont="1" applyBorder="1"/>
    <xf numFmtId="0" fontId="6" fillId="0" borderId="0" xfId="1962" applyFont="1" applyFill="1" applyBorder="1"/>
    <xf numFmtId="0" fontId="11" fillId="0" borderId="0" xfId="1962" applyFont="1" applyBorder="1" applyAlignment="1">
      <alignment horizontal="center" vertical="center"/>
    </xf>
    <xf numFmtId="0" fontId="5" fillId="0" borderId="0" xfId="1962" applyFont="1" applyFill="1" applyBorder="1"/>
    <xf numFmtId="0" fontId="17" fillId="0" borderId="0" xfId="0" applyFont="1" applyBorder="1" applyAlignment="1">
      <alignment horizontal="center" vertical="center"/>
    </xf>
    <xf numFmtId="0" fontId="158" fillId="0" borderId="0" xfId="4" applyFont="1" applyFill="1" applyAlignment="1">
      <alignment horizontal="center" vertical="center" wrapText="1"/>
    </xf>
    <xf numFmtId="0" fontId="5" fillId="0" borderId="0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3" fontId="5" fillId="0" borderId="137" xfId="1442" applyNumberFormat="1" applyFont="1" applyFill="1" applyBorder="1"/>
    <xf numFmtId="166" fontId="5" fillId="0" borderId="137" xfId="1442" applyNumberFormat="1" applyFont="1" applyFill="1" applyBorder="1"/>
    <xf numFmtId="0" fontId="5" fillId="0" borderId="72" xfId="0" applyFont="1" applyBorder="1" applyAlignment="1">
      <alignment horizontal="left"/>
    </xf>
    <xf numFmtId="0" fontId="5" fillId="0" borderId="55" xfId="0" applyFont="1" applyBorder="1" applyAlignment="1">
      <alignment horizontal="left"/>
    </xf>
    <xf numFmtId="166" fontId="5" fillId="0" borderId="141" xfId="1442" applyNumberFormat="1" applyFont="1" applyBorder="1"/>
    <xf numFmtId="166" fontId="5" fillId="0" borderId="137" xfId="1" applyNumberFormat="1" applyFont="1" applyBorder="1"/>
    <xf numFmtId="165" fontId="6" fillId="0" borderId="137" xfId="2" applyNumberFormat="1" applyFont="1" applyBorder="1"/>
    <xf numFmtId="0" fontId="5" fillId="0" borderId="0" xfId="0" applyFont="1" applyBorder="1" applyAlignment="1">
      <alignment horizontal="left" wrapText="1"/>
    </xf>
    <xf numFmtId="165" fontId="6" fillId="0" borderId="142" xfId="2" applyNumberFormat="1" applyFont="1" applyBorder="1"/>
    <xf numFmtId="0" fontId="5" fillId="0" borderId="72" xfId="0" applyFont="1" applyBorder="1"/>
    <xf numFmtId="0" fontId="5" fillId="0" borderId="140" xfId="0" applyFont="1" applyBorder="1"/>
    <xf numFmtId="0" fontId="5" fillId="0" borderId="0" xfId="0" applyFont="1" applyAlignment="1">
      <alignment horizontal="left"/>
    </xf>
    <xf numFmtId="0" fontId="5" fillId="0" borderId="144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56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37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10" fontId="5" fillId="0" borderId="106" xfId="0" applyNumberFormat="1" applyFont="1" applyFill="1" applyBorder="1" applyAlignment="1">
      <alignment vertical="center"/>
    </xf>
    <xf numFmtId="10" fontId="5" fillId="0" borderId="94" xfId="0" applyNumberFormat="1" applyFont="1" applyFill="1" applyBorder="1" applyAlignment="1">
      <alignment vertical="center"/>
    </xf>
    <xf numFmtId="6" fontId="5" fillId="0" borderId="94" xfId="0" applyNumberFormat="1" applyFont="1" applyBorder="1" applyAlignment="1">
      <alignment vertical="center"/>
    </xf>
    <xf numFmtId="10" fontId="5" fillId="0" borderId="106" xfId="3" applyNumberFormat="1" applyFont="1" applyBorder="1" applyAlignment="1">
      <alignment vertical="center"/>
    </xf>
    <xf numFmtId="10" fontId="5" fillId="0" borderId="94" xfId="3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5" fillId="0" borderId="145" xfId="0" applyFont="1" applyBorder="1" applyAlignment="1">
      <alignment vertical="center"/>
    </xf>
    <xf numFmtId="0" fontId="5" fillId="0" borderId="94" xfId="0" applyFont="1" applyBorder="1" applyAlignment="1">
      <alignment vertical="center"/>
    </xf>
    <xf numFmtId="43" fontId="5" fillId="0" borderId="106" xfId="1" applyFont="1" applyBorder="1" applyAlignment="1">
      <alignment vertical="center"/>
    </xf>
    <xf numFmtId="0" fontId="5" fillId="0" borderId="56" xfId="0" applyFont="1" applyBorder="1" applyAlignment="1">
      <alignment vertical="center"/>
    </xf>
    <xf numFmtId="0" fontId="6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1965" quotePrefix="1" applyFont="1" applyAlignment="1">
      <alignment horizontal="center"/>
    </xf>
    <xf numFmtId="2" fontId="27" fillId="2" borderId="0" xfId="0" applyNumberFormat="1" applyFont="1" applyFill="1"/>
    <xf numFmtId="166" fontId="27" fillId="2" borderId="0" xfId="1" applyNumberFormat="1" applyFont="1" applyFill="1"/>
    <xf numFmtId="166" fontId="5" fillId="2" borderId="106" xfId="1" applyNumberFormat="1" applyFont="1" applyFill="1" applyBorder="1" applyAlignment="1">
      <alignment horizontal="right" vertical="center"/>
    </xf>
    <xf numFmtId="0" fontId="8" fillId="0" borderId="0" xfId="4" applyFont="1" applyBorder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5" fontId="5" fillId="0" borderId="4" xfId="48" applyNumberFormat="1" applyFont="1" applyFill="1" applyBorder="1" applyAlignment="1">
      <alignment horizontal="right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49" xfId="1" applyNumberFormat="1" applyFont="1" applyBorder="1"/>
    <xf numFmtId="166" fontId="5" fillId="0" borderId="106" xfId="1" applyNumberFormat="1" applyFont="1" applyFill="1" applyBorder="1" applyAlignment="1">
      <alignment horizontal="right"/>
    </xf>
    <xf numFmtId="166" fontId="5" fillId="0" borderId="94" xfId="1" applyNumberFormat="1" applyFont="1" applyBorder="1"/>
    <xf numFmtId="0" fontId="9" fillId="0" borderId="0" xfId="2012" applyFont="1" applyBorder="1" applyAlignment="1">
      <alignment horizontal="center"/>
    </xf>
    <xf numFmtId="0" fontId="9" fillId="0" borderId="0" xfId="1965" applyFont="1"/>
    <xf numFmtId="0" fontId="9" fillId="0" borderId="0" xfId="2012" applyFont="1" applyProtection="1"/>
    <xf numFmtId="0" fontId="8" fillId="0" borderId="0" xfId="2012" applyFont="1" applyProtection="1"/>
    <xf numFmtId="5" fontId="160" fillId="0" borderId="0" xfId="0" applyNumberFormat="1" applyFont="1" applyFill="1" applyAlignment="1">
      <alignment horizontal="center"/>
    </xf>
    <xf numFmtId="0" fontId="9" fillId="0" borderId="0" xfId="4" applyFont="1" applyAlignment="1" applyProtection="1">
      <alignment horizontal="left"/>
    </xf>
    <xf numFmtId="0" fontId="6" fillId="0" borderId="150" xfId="3856" applyFont="1" applyBorder="1" applyAlignment="1"/>
    <xf numFmtId="0" fontId="6" fillId="0" borderId="2" xfId="4" applyFont="1" applyBorder="1" applyAlignment="1">
      <alignment horizontal="center" vertical="center"/>
    </xf>
    <xf numFmtId="0" fontId="6" fillId="0" borderId="147" xfId="4" applyFont="1" applyBorder="1" applyAlignment="1">
      <alignment horizontal="center" vertical="center"/>
    </xf>
    <xf numFmtId="0" fontId="6" fillId="0" borderId="94" xfId="4" applyFont="1" applyFill="1" applyBorder="1" applyAlignment="1">
      <alignment horizontal="center" vertical="center"/>
    </xf>
    <xf numFmtId="17" fontId="5" fillId="0" borderId="125" xfId="4" applyNumberFormat="1" applyFont="1" applyBorder="1" applyAlignment="1">
      <alignment horizontal="left" vertical="center"/>
    </xf>
    <xf numFmtId="165" fontId="5" fillId="0" borderId="125" xfId="2" applyNumberFormat="1" applyFont="1" applyFill="1" applyBorder="1" applyAlignment="1">
      <alignment vertical="center"/>
    </xf>
    <xf numFmtId="165" fontId="5" fillId="0" borderId="125" xfId="2" applyNumberFormat="1" applyFont="1" applyBorder="1" applyAlignment="1">
      <alignment vertical="center"/>
    </xf>
    <xf numFmtId="165" fontId="5" fillId="0" borderId="125" xfId="21" applyNumberFormat="1" applyFont="1" applyFill="1" applyBorder="1" applyAlignment="1">
      <alignment horizontal="center" vertical="center"/>
    </xf>
    <xf numFmtId="0" fontId="5" fillId="0" borderId="106" xfId="4" applyFont="1" applyBorder="1" applyAlignment="1">
      <alignment vertical="center"/>
    </xf>
    <xf numFmtId="0" fontId="165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164" fillId="0" borderId="9" xfId="1604" applyFont="1" applyFill="1" applyBorder="1" applyAlignment="1">
      <alignment horizontal="center"/>
    </xf>
    <xf numFmtId="0" fontId="9" fillId="0" borderId="0" xfId="0" applyFont="1"/>
    <xf numFmtId="0" fontId="166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0" fontId="9" fillId="0" borderId="0" xfId="2012" applyFont="1" applyFill="1"/>
    <xf numFmtId="165" fontId="8" fillId="0" borderId="0" xfId="48" applyNumberFormat="1" applyFont="1"/>
    <xf numFmtId="0" fontId="9" fillId="0" borderId="0" xfId="2012" applyFont="1" applyFill="1" applyBorder="1" applyAlignment="1">
      <alignment horizontal="center"/>
    </xf>
    <xf numFmtId="0" fontId="8" fillId="0" borderId="0" xfId="2012" applyFont="1" applyBorder="1"/>
    <xf numFmtId="166" fontId="167" fillId="0" borderId="0" xfId="22" applyNumberFormat="1" applyFont="1" applyBorder="1" applyAlignment="1">
      <alignment vertical="center"/>
    </xf>
    <xf numFmtId="166" fontId="167" fillId="0" borderId="0" xfId="22" applyNumberFormat="1" applyFont="1" applyBorder="1"/>
    <xf numFmtId="165" fontId="9" fillId="0" borderId="0" xfId="48" applyNumberFormat="1" applyFont="1" applyAlignment="1">
      <alignment vertical="center"/>
    </xf>
    <xf numFmtId="10" fontId="163" fillId="0" borderId="0" xfId="61" applyNumberFormat="1" applyFont="1" applyBorder="1" applyAlignment="1" applyProtection="1">
      <alignment vertical="center"/>
    </xf>
    <xf numFmtId="10" fontId="163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10" fontId="5" fillId="2" borderId="0" xfId="2012" applyNumberFormat="1" applyFont="1" applyFill="1" applyAlignment="1">
      <alignment vertical="center"/>
    </xf>
    <xf numFmtId="0" fontId="5" fillId="0" borderId="0" xfId="6107" applyFont="1" applyAlignment="1">
      <alignment vertical="top"/>
    </xf>
    <xf numFmtId="167" fontId="5" fillId="0" borderId="0" xfId="2012" applyNumberFormat="1" applyFont="1" applyFill="1" applyBorder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Fill="1" applyAlignment="1">
      <alignment horizontal="center" vertical="top" wrapText="1"/>
    </xf>
    <xf numFmtId="165" fontId="5" fillId="0" borderId="94" xfId="4" applyNumberFormat="1" applyFont="1" applyBorder="1" applyAlignment="1">
      <alignment horizontal="right" vertical="center"/>
    </xf>
    <xf numFmtId="165" fontId="5" fillId="0" borderId="94" xfId="4" applyNumberFormat="1" applyFont="1" applyBorder="1" applyAlignment="1">
      <alignment vertical="center"/>
    </xf>
    <xf numFmtId="0" fontId="6" fillId="0" borderId="111" xfId="4" applyFont="1" applyBorder="1" applyAlignment="1">
      <alignment horizontal="center"/>
    </xf>
    <xf numFmtId="0" fontId="6" fillId="0" borderId="5" xfId="4" applyFont="1" applyBorder="1" applyAlignment="1">
      <alignment horizontal="center"/>
    </xf>
    <xf numFmtId="0" fontId="5" fillId="0" borderId="0" xfId="4" applyFont="1" applyBorder="1" applyAlignment="1">
      <alignment horizontal="left"/>
    </xf>
    <xf numFmtId="0" fontId="6" fillId="0" borderId="4" xfId="4" applyFont="1" applyBorder="1" applyAlignment="1">
      <alignment horizontal="left" indent="2"/>
    </xf>
    <xf numFmtId="166" fontId="5" fillId="3" borderId="94" xfId="1" applyNumberFormat="1" applyFont="1" applyFill="1" applyBorder="1" applyAlignment="1">
      <alignment vertical="center"/>
    </xf>
    <xf numFmtId="166" fontId="5" fillId="2" borderId="90" xfId="1" applyNumberFormat="1" applyFont="1" applyFill="1" applyBorder="1" applyAlignment="1">
      <alignment horizontal="right" vertical="center"/>
    </xf>
    <xf numFmtId="166" fontId="5" fillId="0" borderId="90" xfId="1" applyNumberFormat="1" applyFont="1" applyFill="1" applyBorder="1" applyAlignment="1">
      <alignment horizontal="right"/>
    </xf>
    <xf numFmtId="166" fontId="5" fillId="0" borderId="94" xfId="1" applyNumberFormat="1" applyFont="1" applyFill="1" applyBorder="1" applyAlignment="1">
      <alignment horizontal="right" vertical="center"/>
    </xf>
    <xf numFmtId="167" fontId="5" fillId="2" borderId="149" xfId="1043" applyNumberFormat="1" applyFont="1" applyFill="1" applyBorder="1" applyAlignment="1">
      <alignment horizontal="right" vertical="center"/>
    </xf>
    <xf numFmtId="165" fontId="5" fillId="0" borderId="1" xfId="1965" applyNumberFormat="1" applyFont="1" applyFill="1" applyBorder="1" applyAlignment="1">
      <alignment horizontal="right" vertical="center"/>
    </xf>
    <xf numFmtId="0" fontId="5" fillId="0" borderId="0" xfId="2012" applyFont="1" applyAlignment="1" applyProtection="1"/>
    <xf numFmtId="0" fontId="8" fillId="0" borderId="0" xfId="2012" applyFont="1" applyBorder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0" fontId="6" fillId="0" borderId="0" xfId="0" applyFont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quotePrefix="1" applyFont="1" applyFill="1" applyAlignment="1" applyProtection="1">
      <alignment horizontal="center" vertical="center"/>
    </xf>
    <xf numFmtId="0" fontId="5" fillId="0" borderId="149" xfId="0" applyFont="1" applyBorder="1" applyAlignment="1">
      <alignment horizontal="center" vertical="center"/>
    </xf>
    <xf numFmtId="0" fontId="6" fillId="0" borderId="149" xfId="0" applyFont="1" applyBorder="1" applyAlignment="1">
      <alignment horizontal="center" vertical="center"/>
    </xf>
    <xf numFmtId="164" fontId="6" fillId="0" borderId="149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6" fillId="0" borderId="148" xfId="2" applyNumberFormat="1" applyFont="1" applyBorder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 applyProtection="1">
      <alignment horizontal="centerContinuous" vertical="center"/>
    </xf>
    <xf numFmtId="0" fontId="5" fillId="0" borderId="149" xfId="0" applyFont="1" applyBorder="1" applyAlignment="1" applyProtection="1">
      <alignment horizontal="center" vertical="center"/>
    </xf>
    <xf numFmtId="165" fontId="5" fillId="3" borderId="1" xfId="21" applyNumberFormat="1" applyFont="1" applyFill="1" applyBorder="1" applyAlignment="1">
      <alignment vertical="center"/>
    </xf>
    <xf numFmtId="43" fontId="5" fillId="2" borderId="0" xfId="2408" applyFont="1" applyFill="1" applyBorder="1" applyAlignment="1" applyProtection="1">
      <alignment horizontal="center" vertical="center"/>
    </xf>
    <xf numFmtId="166" fontId="6" fillId="2" borderId="81" xfId="2408" applyNumberFormat="1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65" fontId="5" fillId="2" borderId="0" xfId="2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170" fontId="5" fillId="0" borderId="90" xfId="1" applyNumberFormat="1" applyFont="1" applyFill="1" applyBorder="1" applyAlignment="1">
      <alignment horizontal="right"/>
    </xf>
    <xf numFmtId="170" fontId="5" fillId="0" borderId="106" xfId="1" applyNumberFormat="1" applyFont="1" applyFill="1" applyBorder="1" applyAlignment="1">
      <alignment horizontal="right"/>
    </xf>
    <xf numFmtId="0" fontId="5" fillId="0" borderId="0" xfId="4" applyFont="1" applyAlignment="1">
      <alignment horizontal="center" vertical="center"/>
    </xf>
    <xf numFmtId="0" fontId="5" fillId="0" borderId="4" xfId="4" applyFont="1" applyBorder="1" applyAlignment="1">
      <alignment horizontal="left"/>
    </xf>
    <xf numFmtId="0" fontId="5" fillId="0" borderId="4" xfId="4" applyFont="1" applyFill="1" applyBorder="1" applyAlignment="1">
      <alignment horizontal="left"/>
    </xf>
    <xf numFmtId="41" fontId="5" fillId="0" borderId="93" xfId="21" applyNumberFormat="1" applyFont="1" applyBorder="1" applyAlignment="1">
      <alignment horizontal="center"/>
    </xf>
    <xf numFmtId="181" fontId="6" fillId="0" borderId="52" xfId="2" applyNumberFormat="1" applyFont="1" applyFill="1" applyBorder="1"/>
    <xf numFmtId="165" fontId="5" fillId="2" borderId="128" xfId="21" applyNumberFormat="1" applyFont="1" applyFill="1" applyBorder="1" applyAlignment="1" applyProtection="1">
      <alignment vertical="center"/>
      <protection locked="0"/>
    </xf>
    <xf numFmtId="167" fontId="5" fillId="0" borderId="149" xfId="3" applyNumberFormat="1" applyFont="1" applyFill="1" applyBorder="1" applyAlignment="1">
      <alignment vertical="center"/>
    </xf>
    <xf numFmtId="166" fontId="5" fillId="2" borderId="57" xfId="1" applyNumberFormat="1" applyFont="1" applyFill="1" applyBorder="1" applyAlignment="1">
      <alignment horizontal="center" vertical="center"/>
    </xf>
    <xf numFmtId="165" fontId="5" fillId="0" borderId="0" xfId="48" applyNumberFormat="1" applyFont="1" applyAlignment="1">
      <alignment vertical="center"/>
    </xf>
    <xf numFmtId="0" fontId="5" fillId="0" borderId="0" xfId="2012" applyFont="1" applyFill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6" fontId="5" fillId="3" borderId="0" xfId="1" applyNumberFormat="1" applyFont="1" applyFill="1" applyAlignment="1">
      <alignment vertical="center"/>
    </xf>
    <xf numFmtId="166" fontId="5" fillId="3" borderId="44" xfId="1" applyNumberFormat="1" applyFont="1" applyFill="1" applyBorder="1" applyAlignment="1">
      <alignment vertical="center"/>
    </xf>
    <xf numFmtId="166" fontId="5" fillId="0" borderId="141" xfId="1" applyNumberFormat="1" applyFont="1" applyFill="1" applyBorder="1" applyAlignment="1">
      <alignment vertical="center"/>
    </xf>
    <xf numFmtId="10" fontId="5" fillId="2" borderId="149" xfId="4" applyNumberFormat="1" applyFont="1" applyFill="1" applyBorder="1" applyAlignment="1">
      <alignment vertical="center"/>
    </xf>
    <xf numFmtId="165" fontId="5" fillId="0" borderId="1" xfId="2069" applyNumberFormat="1" applyFont="1" applyBorder="1" applyProtection="1">
      <protection locked="0"/>
    </xf>
    <xf numFmtId="166" fontId="6" fillId="0" borderId="141" xfId="1" applyNumberFormat="1" applyFont="1" applyBorder="1"/>
    <xf numFmtId="166" fontId="5" fillId="3" borderId="90" xfId="1" applyNumberFormat="1" applyFont="1" applyFill="1" applyBorder="1" applyAlignment="1">
      <alignment vertical="center"/>
    </xf>
    <xf numFmtId="165" fontId="5" fillId="2" borderId="94" xfId="48" applyNumberFormat="1" applyFont="1" applyFill="1" applyBorder="1" applyAlignment="1">
      <alignment horizontal="right" vertical="center"/>
    </xf>
    <xf numFmtId="43" fontId="5" fillId="2" borderId="90" xfId="1" applyFont="1" applyFill="1" applyBorder="1" applyAlignment="1">
      <alignment horizontal="right" vertical="center"/>
    </xf>
    <xf numFmtId="0" fontId="6" fillId="0" borderId="0" xfId="4" applyFont="1" applyAlignment="1">
      <alignment horizont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6" fillId="0" borderId="0" xfId="4" applyFont="1" applyAlignment="1"/>
    <xf numFmtId="0" fontId="6" fillId="0" borderId="0" xfId="4" quotePrefix="1" applyFont="1" applyFill="1" applyAlignment="1">
      <alignment horizontal="center"/>
    </xf>
    <xf numFmtId="0" fontId="5" fillId="0" borderId="0" xfId="0" applyFont="1" applyAlignment="1">
      <alignment vertical="center"/>
    </xf>
    <xf numFmtId="165" fontId="5" fillId="3" borderId="0" xfId="2" applyNumberFormat="1" applyFont="1" applyFill="1" applyBorder="1" applyAlignment="1">
      <alignment horizontal="right" vertical="center"/>
    </xf>
    <xf numFmtId="0" fontId="5" fillId="0" borderId="0" xfId="4" applyFont="1" applyFill="1" applyBorder="1" applyAlignment="1">
      <alignment horizontal="left"/>
    </xf>
    <xf numFmtId="0" fontId="6" fillId="0" borderId="151" xfId="4" applyFont="1" applyBorder="1" applyAlignment="1">
      <alignment vertical="center"/>
    </xf>
    <xf numFmtId="0" fontId="6" fillId="0" borderId="152" xfId="4" quotePrefix="1" applyFont="1" applyBorder="1" applyAlignment="1">
      <alignment horizontal="center" vertical="center"/>
    </xf>
    <xf numFmtId="0" fontId="6" fillId="0" borderId="151" xfId="4" quotePrefix="1" applyFont="1" applyBorder="1" applyAlignment="1">
      <alignment horizontal="center" vertical="center"/>
    </xf>
    <xf numFmtId="0" fontId="6" fillId="0" borderId="90" xfId="4" applyFont="1" applyBorder="1" applyAlignment="1">
      <alignment horizontal="center" vertical="center"/>
    </xf>
    <xf numFmtId="0" fontId="6" fillId="0" borderId="149" xfId="4" applyFont="1" applyBorder="1" applyAlignment="1">
      <alignment horizontal="center" vertical="center"/>
    </xf>
    <xf numFmtId="0" fontId="6" fillId="0" borderId="90" xfId="4" applyNumberFormat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7" fontId="5" fillId="0" borderId="90" xfId="4" applyNumberFormat="1" applyFont="1" applyBorder="1" applyAlignment="1">
      <alignment horizontal="left" vertical="center"/>
    </xf>
    <xf numFmtId="166" fontId="5" fillId="0" borderId="90" xfId="1" applyNumberFormat="1" applyFont="1" applyBorder="1" applyAlignment="1">
      <alignment vertical="center"/>
    </xf>
    <xf numFmtId="0" fontId="5" fillId="0" borderId="90" xfId="4" applyNumberFormat="1" applyFont="1" applyFill="1" applyBorder="1" applyAlignment="1">
      <alignment horizontal="centerContinuous" vertical="center"/>
    </xf>
    <xf numFmtId="166" fontId="5" fillId="0" borderId="90" xfId="1" applyNumberFormat="1" applyFont="1" applyBorder="1" applyAlignment="1">
      <alignment horizontal="center" vertical="center"/>
    </xf>
    <xf numFmtId="166" fontId="6" fillId="0" borderId="152" xfId="4" applyNumberFormat="1" applyFont="1" applyBorder="1" applyAlignment="1">
      <alignment vertical="center"/>
    </xf>
    <xf numFmtId="168" fontId="6" fillId="0" borderId="151" xfId="4" applyNumberFormat="1" applyFont="1" applyFill="1" applyBorder="1" applyAlignment="1">
      <alignment vertical="center"/>
    </xf>
    <xf numFmtId="0" fontId="6" fillId="0" borderId="90" xfId="4" applyFont="1" applyBorder="1" applyAlignment="1">
      <alignment vertical="center"/>
    </xf>
    <xf numFmtId="166" fontId="5" fillId="0" borderId="90" xfId="4" applyNumberFormat="1" applyFont="1" applyFill="1" applyBorder="1" applyAlignment="1">
      <alignment vertical="center"/>
    </xf>
    <xf numFmtId="168" fontId="5" fillId="0" borderId="90" xfId="4" applyNumberFormat="1" applyFont="1" applyFill="1" applyBorder="1" applyAlignment="1">
      <alignment vertical="center"/>
    </xf>
    <xf numFmtId="168" fontId="5" fillId="0" borderId="94" xfId="4" applyNumberFormat="1" applyFont="1" applyFill="1" applyBorder="1" applyAlignment="1">
      <alignment vertical="center"/>
    </xf>
    <xf numFmtId="166" fontId="5" fillId="0" borderId="90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94" xfId="37039" applyNumberFormat="1" applyFont="1" applyFill="1" applyBorder="1" applyAlignment="1">
      <alignment vertical="center"/>
    </xf>
    <xf numFmtId="166" fontId="5" fillId="0" borderId="94" xfId="1442" applyNumberFormat="1" applyFont="1" applyFill="1" applyBorder="1" applyAlignment="1">
      <alignment vertical="center"/>
    </xf>
    <xf numFmtId="41" fontId="5" fillId="0" borderId="94" xfId="3857" applyFont="1" applyFill="1" applyBorder="1" applyAlignment="1">
      <alignment vertical="center"/>
    </xf>
    <xf numFmtId="166" fontId="5" fillId="0" borderId="90" xfId="37038" applyNumberFormat="1" applyFont="1" applyFill="1" applyBorder="1" applyAlignment="1">
      <alignment vertical="center"/>
    </xf>
    <xf numFmtId="14" fontId="6" fillId="0" borderId="86" xfId="3856" applyNumberFormat="1" applyFont="1" applyFill="1" applyBorder="1" applyAlignment="1">
      <alignment horizontal="center"/>
    </xf>
    <xf numFmtId="0" fontId="6" fillId="0" borderId="11" xfId="0" applyFont="1" applyBorder="1" applyAlignment="1">
      <alignment horizontal="left" vertical="center"/>
    </xf>
    <xf numFmtId="165" fontId="6" fillId="0" borderId="11" xfId="2" applyNumberFormat="1" applyFont="1" applyBorder="1" applyAlignment="1">
      <alignment vertical="center"/>
    </xf>
    <xf numFmtId="165" fontId="5" fillId="0" borderId="11" xfId="2" applyNumberFormat="1" applyFont="1" applyBorder="1" applyAlignment="1">
      <alignment horizontal="center" vertical="center"/>
    </xf>
    <xf numFmtId="0" fontId="10" fillId="0" borderId="0" xfId="4" applyFont="1" applyFill="1" applyBorder="1" applyAlignment="1">
      <alignment horizontal="left"/>
    </xf>
    <xf numFmtId="0" fontId="10" fillId="0" borderId="0" xfId="4" applyFont="1" applyFill="1" applyAlignment="1">
      <alignment horizontal="left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6" fillId="0" borderId="153" xfId="21" applyNumberFormat="1" applyFont="1" applyFill="1" applyBorder="1" applyAlignment="1" applyProtection="1">
      <alignment horizontal="right" vertical="center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0" fontId="10" fillId="0" borderId="11" xfId="0" applyFont="1" applyBorder="1" applyAlignment="1" applyProtection="1">
      <alignment vertical="center"/>
    </xf>
    <xf numFmtId="176" fontId="5" fillId="0" borderId="11" xfId="3" applyNumberFormat="1" applyFont="1" applyBorder="1" applyAlignment="1">
      <alignment horizontal="right" vertical="center"/>
    </xf>
    <xf numFmtId="0" fontId="5" fillId="0" borderId="149" xfId="0" applyFont="1" applyFill="1" applyBorder="1" applyAlignment="1">
      <alignment horizontal="center" vertical="center"/>
    </xf>
    <xf numFmtId="165" fontId="5" fillId="0" borderId="148" xfId="0" applyNumberFormat="1" applyFont="1" applyBorder="1" applyAlignment="1">
      <alignment vertical="center"/>
    </xf>
    <xf numFmtId="10" fontId="5" fillId="0" borderId="149" xfId="3" applyNumberFormat="1" applyFont="1" applyBorder="1" applyAlignment="1">
      <alignment horizontal="right" vertical="center"/>
    </xf>
    <xf numFmtId="0" fontId="5" fillId="0" borderId="0" xfId="0" applyFont="1" applyFill="1" applyProtection="1"/>
    <xf numFmtId="0" fontId="5" fillId="0" borderId="149" xfId="0" applyFont="1" applyBorder="1" applyAlignment="1">
      <alignment horizontal="center" vertical="center" wrapText="1"/>
    </xf>
    <xf numFmtId="165" fontId="5" fillId="111" borderId="0" xfId="2" applyNumberFormat="1" applyFont="1" applyFill="1" applyAlignment="1">
      <alignment horizontal="right" vertical="center"/>
    </xf>
    <xf numFmtId="9" fontId="5" fillId="2" borderId="149" xfId="3" applyFont="1" applyFill="1" applyBorder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0" fontId="5" fillId="2" borderId="149" xfId="3" applyNumberFormat="1" applyFont="1" applyFill="1" applyBorder="1" applyAlignment="1">
      <alignment horizontal="right" vertical="center"/>
    </xf>
    <xf numFmtId="167" fontId="5" fillId="0" borderId="149" xfId="3" applyNumberFormat="1" applyFont="1" applyBorder="1" applyAlignment="1">
      <alignment horizontal="right" vertical="center"/>
    </xf>
    <xf numFmtId="167" fontId="5" fillId="2" borderId="149" xfId="0" applyNumberFormat="1" applyFont="1" applyFill="1" applyBorder="1" applyAlignment="1">
      <alignment horizontal="right" vertical="center"/>
    </xf>
    <xf numFmtId="167" fontId="5" fillId="0" borderId="1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5" fillId="0" borderId="0" xfId="0" applyFont="1" applyAlignment="1">
      <alignment vertical="center"/>
    </xf>
    <xf numFmtId="165" fontId="5" fillId="2" borderId="149" xfId="2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vertical="center"/>
      <protection locked="0"/>
    </xf>
    <xf numFmtId="10" fontId="5" fillId="2" borderId="149" xfId="4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Border="1" applyAlignment="1" applyProtection="1">
      <alignment horizontal="right" vertical="center"/>
      <protection locked="0"/>
    </xf>
    <xf numFmtId="166" fontId="5" fillId="0" borderId="149" xfId="2408" applyNumberFormat="1" applyFont="1" applyFill="1" applyBorder="1" applyAlignment="1" applyProtection="1">
      <alignment vertical="center"/>
      <protection locked="0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0" fontId="5" fillId="111" borderId="1" xfId="3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149" xfId="3" applyNumberFormat="1" applyFont="1" applyFill="1" applyBorder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5" fillId="111" borderId="149" xfId="2408" applyNumberFormat="1" applyFont="1" applyFill="1" applyBorder="1" applyAlignment="1" applyProtection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horizontal="center" vertical="center"/>
    </xf>
    <xf numFmtId="0" fontId="11" fillId="0" borderId="0" xfId="1965" quotePrefix="1" applyFont="1" applyBorder="1" applyAlignment="1">
      <alignment horizontal="center" vertical="center"/>
    </xf>
    <xf numFmtId="0" fontId="5" fillId="0" borderId="0" xfId="1965" applyFont="1" applyBorder="1"/>
    <xf numFmtId="166" fontId="5" fillId="3" borderId="149" xfId="1" applyNumberFormat="1" applyFont="1" applyFill="1" applyBorder="1" applyAlignment="1">
      <alignment vertical="center"/>
    </xf>
    <xf numFmtId="0" fontId="6" fillId="0" borderId="0" xfId="4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" fillId="0" borderId="0" xfId="0" applyFont="1" applyAlignment="1">
      <alignment vertical="center"/>
    </xf>
    <xf numFmtId="165" fontId="5" fillId="0" borderId="94" xfId="2" applyNumberFormat="1" applyFont="1" applyFill="1" applyBorder="1" applyAlignment="1">
      <alignment horizontal="right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3" fontId="6" fillId="0" borderId="0" xfId="4" applyNumberFormat="1" applyFont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 applyBorder="1"/>
    <xf numFmtId="37" fontId="5" fillId="0" borderId="0" xfId="0" applyNumberFormat="1" applyFont="1" applyBorder="1" applyAlignment="1">
      <alignment horizontal="center"/>
    </xf>
    <xf numFmtId="166" fontId="5" fillId="0" borderId="149" xfId="1" applyNumberFormat="1" applyFont="1" applyFill="1" applyBorder="1"/>
    <xf numFmtId="37" fontId="168" fillId="0" borderId="0" xfId="0" applyNumberFormat="1" applyFont="1" applyFill="1"/>
    <xf numFmtId="43" fontId="168" fillId="0" borderId="0" xfId="1" applyFont="1" applyFill="1"/>
    <xf numFmtId="166" fontId="168" fillId="0" borderId="0" xfId="1" applyNumberFormat="1" applyFont="1" applyFill="1"/>
    <xf numFmtId="166" fontId="5" fillId="0" borderId="0" xfId="1" applyNumberFormat="1" applyFont="1" applyFill="1" applyAlignment="1"/>
    <xf numFmtId="37" fontId="168" fillId="0" borderId="0" xfId="0" applyNumberFormat="1" applyFont="1" applyFill="1" applyBorder="1"/>
    <xf numFmtId="166" fontId="168" fillId="0" borderId="0" xfId="1" applyNumberFormat="1" applyFont="1" applyFill="1" applyBorder="1" applyAlignment="1">
      <alignment vertical="top"/>
    </xf>
    <xf numFmtId="166" fontId="5" fillId="0" borderId="149" xfId="1" applyNumberFormat="1" applyFont="1" applyFill="1" applyBorder="1" applyAlignment="1">
      <alignment vertical="top"/>
    </xf>
    <xf numFmtId="43" fontId="169" fillId="0" borderId="0" xfId="1" applyFont="1" applyFill="1" applyBorder="1" applyAlignment="1">
      <alignment horizontal="right"/>
    </xf>
    <xf numFmtId="166" fontId="5" fillId="0" borderId="154" xfId="1" applyNumberFormat="1" applyFont="1" applyFill="1" applyBorder="1" applyAlignment="1">
      <alignment vertical="center"/>
    </xf>
    <xf numFmtId="0" fontId="27" fillId="0" borderId="0" xfId="0" applyFont="1" applyBorder="1" applyAlignment="1">
      <alignment horizontal="left"/>
    </xf>
    <xf numFmtId="166" fontId="5" fillId="0" borderId="3" xfId="4" applyNumberFormat="1" applyFont="1" applyBorder="1"/>
    <xf numFmtId="0" fontId="5" fillId="0" borderId="56" xfId="0" applyFont="1" applyBorder="1" applyAlignment="1">
      <alignment horizontal="left"/>
    </xf>
    <xf numFmtId="37" fontId="5" fillId="0" borderId="9" xfId="4" applyNumberFormat="1" applyFont="1" applyFill="1" applyBorder="1" applyAlignment="1">
      <alignment horizontal="center"/>
    </xf>
    <xf numFmtId="37" fontId="5" fillId="0" borderId="0" xfId="0" applyNumberFormat="1" applyFont="1" applyFill="1" applyBorder="1"/>
    <xf numFmtId="37" fontId="5" fillId="0" borderId="0" xfId="0" applyNumberFormat="1" applyFont="1" applyFill="1" applyBorder="1" applyAlignment="1">
      <alignment vertical="top"/>
    </xf>
    <xf numFmtId="37" fontId="5" fillId="0" borderId="0" xfId="0" applyNumberFormat="1" applyFont="1" applyFill="1" applyBorder="1" applyAlignment="1"/>
    <xf numFmtId="37" fontId="5" fillId="0" borderId="9" xfId="4" applyNumberFormat="1" applyFont="1" applyFill="1" applyBorder="1" applyAlignment="1">
      <alignment horizontal="center" vertical="top"/>
    </xf>
    <xf numFmtId="173" fontId="5" fillId="0" borderId="9" xfId="4" applyNumberFormat="1" applyFont="1" applyFill="1" applyBorder="1" applyAlignment="1">
      <alignment horizontal="center" wrapText="1"/>
    </xf>
    <xf numFmtId="37" fontId="5" fillId="0" borderId="0" xfId="0" applyNumberFormat="1" applyFont="1" applyFill="1" applyBorder="1" applyAlignment="1">
      <alignment wrapText="1"/>
    </xf>
    <xf numFmtId="165" fontId="5" fillId="0" borderId="0" xfId="0" applyNumberFormat="1" applyFont="1" applyAlignment="1">
      <alignment vertical="center"/>
    </xf>
    <xf numFmtId="0" fontId="5" fillId="0" borderId="0" xfId="0" applyNumberFormat="1" applyFont="1" applyFill="1" applyAlignment="1">
      <alignment horizontal="center" vertical="center" wrapText="1"/>
    </xf>
    <xf numFmtId="49" fontId="29" fillId="127" borderId="110" xfId="0" applyNumberFormat="1" applyFont="1" applyFill="1" applyBorder="1" applyAlignment="1">
      <alignment horizontal="center"/>
    </xf>
    <xf numFmtId="0" fontId="29" fillId="127" borderId="82" xfId="0" applyFont="1" applyFill="1" applyBorder="1" applyAlignment="1">
      <alignment horizontal="center"/>
    </xf>
    <xf numFmtId="0" fontId="29" fillId="127" borderId="104" xfId="0" applyFont="1" applyFill="1" applyBorder="1" applyAlignment="1">
      <alignment horizontal="center"/>
    </xf>
    <xf numFmtId="49" fontId="29" fillId="127" borderId="107" xfId="0" applyNumberFormat="1" applyFont="1" applyFill="1" applyBorder="1" applyAlignment="1">
      <alignment horizontal="center"/>
    </xf>
    <xf numFmtId="0" fontId="29" fillId="127" borderId="60" xfId="0" applyFont="1" applyFill="1" applyBorder="1" applyAlignment="1">
      <alignment horizontal="center"/>
    </xf>
    <xf numFmtId="0" fontId="29" fillId="127" borderId="111" xfId="0" applyFont="1" applyFill="1" applyBorder="1" applyAlignment="1">
      <alignment horizontal="center"/>
    </xf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 applyProtection="1">
      <alignment horizontal="center"/>
    </xf>
    <xf numFmtId="2" fontId="6" fillId="2" borderId="0" xfId="2012" applyNumberFormat="1" applyFont="1" applyFill="1" applyAlignment="1" applyProtection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Fill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0" borderId="0" xfId="0" quotePrefix="1" applyFont="1" applyFill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 applyProtection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 applyProtection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3856" applyFont="1" applyFill="1" applyAlignment="1">
      <alignment horizont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 applyProtection="1">
      <alignment horizontal="center" vertical="justify"/>
    </xf>
    <xf numFmtId="0" fontId="6" fillId="0" borderId="0" xfId="4" applyFont="1" applyFill="1" applyAlignment="1">
      <alignment horizontal="center" vertical="center"/>
    </xf>
    <xf numFmtId="0" fontId="6" fillId="0" borderId="0" xfId="4" quotePrefix="1" applyFont="1" applyFill="1" applyAlignment="1">
      <alignment horizontal="center" vertical="center"/>
    </xf>
    <xf numFmtId="37" fontId="6" fillId="0" borderId="0" xfId="1604" applyNumberFormat="1" applyFont="1" applyBorder="1" applyAlignment="1">
      <alignment horizontal="center"/>
    </xf>
    <xf numFmtId="0" fontId="6" fillId="0" borderId="0" xfId="4" applyFont="1" applyFill="1" applyBorder="1" applyAlignment="1">
      <alignment horizontal="center"/>
    </xf>
    <xf numFmtId="0" fontId="6" fillId="0" borderId="0" xfId="4" quotePrefix="1" applyFont="1" applyFill="1" applyBorder="1" applyAlignment="1">
      <alignment horizontal="center"/>
    </xf>
    <xf numFmtId="0" fontId="6" fillId="0" borderId="0" xfId="0" quotePrefix="1" applyFont="1" applyBorder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0" fontId="6" fillId="0" borderId="0" xfId="4" applyFont="1" applyAlignment="1" applyProtection="1">
      <alignment horizontal="center"/>
    </xf>
    <xf numFmtId="0" fontId="6" fillId="0" borderId="0" xfId="4" applyFont="1" applyFill="1" applyAlignment="1" applyProtection="1">
      <alignment horizontal="center"/>
    </xf>
    <xf numFmtId="5" fontId="6" fillId="0" borderId="0" xfId="4" quotePrefix="1" applyNumberFormat="1" applyFont="1" applyAlignment="1" applyProtection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quotePrefix="1" applyFont="1" applyFill="1" applyAlignment="1">
      <alignment horizontal="center"/>
    </xf>
    <xf numFmtId="0" fontId="6" fillId="0" borderId="0" xfId="4" applyFont="1" applyAlignment="1"/>
    <xf numFmtId="0" fontId="6" fillId="0" borderId="0" xfId="4" applyFont="1" applyFill="1" applyAlignment="1">
      <alignment horizontal="center"/>
    </xf>
    <xf numFmtId="0" fontId="6" fillId="2" borderId="0" xfId="4" applyFont="1" applyFill="1" applyAlignment="1">
      <alignment horizontal="center"/>
    </xf>
    <xf numFmtId="0" fontId="6" fillId="2" borderId="0" xfId="4" applyFont="1" applyFill="1" applyAlignment="1"/>
    <xf numFmtId="0" fontId="5" fillId="0" borderId="0" xfId="0" applyFont="1" applyAlignment="1">
      <alignment vertical="center"/>
    </xf>
  </cellXfs>
  <cellStyles count="38103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3" xfId="13749" xr:uid="{00000000-0005-0000-0000-000090000000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2" xfId="4880" xr:uid="{00000000-0005-0000-0000-00000A050000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2" xfId="1436" xr:uid="{00000000-0005-0000-0000-000025050000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2" xfId="2399" xr:uid="{00000000-0005-0000-0000-00004C050000}"/>
    <cellStyle name="Calculation 3 2 2" xfId="7604" xr:uid="{00000000-0005-0000-0000-00004D050000}"/>
    <cellStyle name="Calculation 3 2 2 2" xfId="23746" xr:uid="{00000000-0005-0000-0000-00004E050000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heck Cell 2" xfId="451" xr:uid="{00000000-0005-0000-0000-000079050000}"/>
    <cellStyle name="Check Cell 2 2" xfId="1438" xr:uid="{00000000-0005-0000-0000-00007A050000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5" xfId="43" xr:uid="{00000000-0005-0000-0000-000049060000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2" xfId="2462" xr:uid="{00000000-0005-0000-0000-00007B070000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3" xfId="6130" xr:uid="{00000000-0005-0000-0000-0000CF070000}"/>
    <cellStyle name="Heading 3 3 3" xfId="4091" xr:uid="{00000000-0005-0000-0000-0000D0070000}"/>
    <cellStyle name="Heading 3 3 3 2" xfId="17388" xr:uid="{00000000-0005-0000-0000-0000D1070000}"/>
    <cellStyle name="Heading 3 3 4" xfId="13758" xr:uid="{00000000-0005-0000-0000-0000D2070000}"/>
    <cellStyle name="Heading 3 3 5" xfId="14180" xr:uid="{00000000-0005-0000-0000-0000D3070000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2" xfId="1558" xr:uid="{00000000-0005-0000-0000-000005080000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2" xfId="2531" xr:uid="{00000000-0005-0000-0000-00002C080000}"/>
    <cellStyle name="Input 3 2 2" xfId="7734" xr:uid="{00000000-0005-0000-0000-00002D080000}"/>
    <cellStyle name="Input 3 2 2 2" xfId="23806" xr:uid="{00000000-0005-0000-0000-00002E080000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7" xfId="3841" xr:uid="{00000000-0005-0000-0000-0000BC080000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8" xfId="1958" xr:uid="{00000000-0005-0000-0000-000087090000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4" xfId="59" xr:uid="{00000000-0005-0000-0000-0000100A0000}"/>
    <cellStyle name="Normal 6 4 2" xfId="5222" xr:uid="{00000000-0005-0000-0000-0000110A0000}"/>
    <cellStyle name="Normal 6 5" xfId="5186" xr:uid="{00000000-0005-0000-0000-0000120A0000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3" xfId="519" xr:uid="{00000000-0005-0000-0000-00002A0A0000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2" xfId="527" xr:uid="{00000000-0005-0000-0000-0000AD0A0000}"/>
    <cellStyle name="Note 3 2 2" xfId="5699" xr:uid="{00000000-0005-0000-0000-0000AE0A0000}"/>
    <cellStyle name="Note 3 2 2 2" xfId="37233" xr:uid="{00000000-0005-0000-0000-0000AF0A0000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3" xfId="2611" xr:uid="{00000000-0005-0000-0000-0000B60A0000}"/>
    <cellStyle name="Note 3 3 2" xfId="7804" xr:uid="{00000000-0005-0000-0000-0000B70A0000}"/>
    <cellStyle name="Note 3 3 2 2" xfId="23841" xr:uid="{00000000-0005-0000-0000-0000B80A0000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2" xfId="529" xr:uid="{00000000-0005-0000-0000-0000DA0A0000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2" xfId="1735" xr:uid="{00000000-0005-0000-0000-0000160B0000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2" xfId="2613" xr:uid="{00000000-0005-0000-0000-00003E0B0000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3" xfId="4209" xr:uid="{00000000-0005-0000-0000-00004C0B0000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1" xfId="5174" xr:uid="{00000000-0005-0000-0000-0000720B0000}"/>
    <cellStyle name="Percent 12" xfId="6058" xr:uid="{00000000-0005-0000-0000-0000730B0000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5" xfId="5688" xr:uid="{00000000-0005-0000-0000-00001A0C0000}"/>
    <cellStyle name="PSHeading 5 2" xfId="37167" xr:uid="{00000000-0005-0000-0000-00001B0C0000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2" xfId="2654" xr:uid="{00000000-0005-0000-0000-00002B0C000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2" xfId="2655" xr:uid="{00000000-0005-0000-0000-0000540C0000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2" xfId="2656" xr:uid="{00000000-0005-0000-0000-0000780C0000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2" xfId="4861" xr:uid="{00000000-0005-0000-0000-00009B0C0000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4" xfId="2658" xr:uid="{00000000-0005-0000-0000-0000B20C0000}"/>
    <cellStyle name="SAPBEXaggData 14 2" xfId="4860" xr:uid="{00000000-0005-0000-0000-0000B30C0000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5" xfId="2659" xr:uid="{00000000-0005-0000-0000-0000CA0C0000}"/>
    <cellStyle name="SAPBEXaggData 15 2" xfId="4859" xr:uid="{00000000-0005-0000-0000-0000CB0C0000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6" xfId="2660" xr:uid="{00000000-0005-0000-0000-0000E20C0000}"/>
    <cellStyle name="SAPBEXaggData 16 2" xfId="4858" xr:uid="{00000000-0005-0000-0000-0000E30C0000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7" xfId="2661" xr:uid="{00000000-0005-0000-0000-0000FA0C0000}"/>
    <cellStyle name="SAPBEXaggData 17 2" xfId="4857" xr:uid="{00000000-0005-0000-0000-0000FB0C000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8" xfId="4914" xr:uid="{00000000-0005-0000-0000-0000120D0000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9" xfId="6017" xr:uid="{00000000-0005-0000-0000-00001F0D0000}"/>
    <cellStyle name="SAPBEXaggData 19 2" xfId="22982" xr:uid="{00000000-0005-0000-0000-0000200D0000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2" xfId="2663" xr:uid="{00000000-0005-0000-0000-00002A0D0000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3" xfId="4855" xr:uid="{00000000-0005-0000-0000-0000380D0000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2" xfId="551" xr:uid="{00000000-0005-0000-0000-0000910D0000}"/>
    <cellStyle name="SAPBEXaggData 3 2 2 2" xfId="5223" xr:uid="{00000000-0005-0000-0000-0000920D0000}"/>
    <cellStyle name="SAPBEXaggData 3 2 2 2 2" xfId="37816" xr:uid="{00000000-0005-0000-0000-0000930D0000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3" xfId="2665" xr:uid="{00000000-0005-0000-0000-00009A0D0000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2" xfId="5682" xr:uid="{00000000-0005-0000-0000-0000BC0D0000}"/>
    <cellStyle name="SAPBEXaggData 3 3 2 2" xfId="37815" xr:uid="{00000000-0005-0000-0000-0000BD0D000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4" xfId="2664" xr:uid="{00000000-0005-0000-0000-0000C40D0000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2" xfId="2666" xr:uid="{00000000-0005-0000-0000-0000E50D0000}"/>
    <cellStyle name="SAPBEXaggData 4 2 2" xfId="4851" xr:uid="{00000000-0005-0000-0000-0000E60D0000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3" xfId="4852" xr:uid="{00000000-0005-0000-0000-0000FD0D0000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2" xfId="555" xr:uid="{00000000-0005-0000-0000-0000170E0000}"/>
    <cellStyle name="SAPBEXaggData 5 2 10" xfId="22285" xr:uid="{00000000-0005-0000-0000-0000180E0000}"/>
    <cellStyle name="SAPBEXaggData 5 2 2" xfId="2668" xr:uid="{00000000-0005-0000-0000-0000190E0000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2" xfId="7843" xr:uid="{00000000-0005-0000-0000-00003C0E0000}"/>
    <cellStyle name="SAPBEXaggData 5 3 2 2" xfId="23874" xr:uid="{00000000-0005-0000-0000-00003D0E0000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4" xfId="4850" xr:uid="{00000000-0005-0000-0000-0000490E0000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2" xfId="2670" xr:uid="{00000000-0005-0000-0000-0000610E0000}"/>
    <cellStyle name="SAPBEXaggData 6 2 2" xfId="4847" xr:uid="{00000000-0005-0000-0000-0000620E0000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3" xfId="2669" xr:uid="{00000000-0005-0000-0000-0000790E0000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4" xfId="4848" xr:uid="{00000000-0005-0000-0000-0000870E0000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2" xfId="558" xr:uid="{00000000-0005-0000-0000-0000A10E0000}"/>
    <cellStyle name="SAPBEXaggData 7 2 10" xfId="22287" xr:uid="{00000000-0005-0000-0000-0000A20E0000}"/>
    <cellStyle name="SAPBEXaggData 7 2 2" xfId="2672" xr:uid="{00000000-0005-0000-0000-0000A30E0000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2" xfId="7847" xr:uid="{00000000-0005-0000-0000-0000C60E0000}"/>
    <cellStyle name="SAPBEXaggData 7 3 2 2" xfId="23878" xr:uid="{00000000-0005-0000-0000-0000C70E0000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4" xfId="4846" xr:uid="{00000000-0005-0000-0000-0000D30E0000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2" xfId="560" xr:uid="{00000000-0005-0000-0000-0000E90E0000}"/>
    <cellStyle name="SAPBEXaggData 8 2 2" xfId="5676" xr:uid="{00000000-0005-0000-0000-0000EA0E0000}"/>
    <cellStyle name="SAPBEXaggData 8 2 2 2" xfId="37224" xr:uid="{00000000-0005-0000-0000-0000EB0E0000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3" xfId="2673" xr:uid="{00000000-0005-0000-0000-0000F20E0000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2" xfId="562" xr:uid="{00000000-0005-0000-0000-0000160F0000}"/>
    <cellStyle name="SAPBEXaggData 9 2 2" xfId="5674" xr:uid="{00000000-0005-0000-0000-0000170F0000}"/>
    <cellStyle name="SAPBEXaggData 9 2 2 2" xfId="37222" xr:uid="{00000000-0005-0000-0000-0000180F0000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3" xfId="2674" xr:uid="{00000000-0005-0000-0000-00001F0F000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2" xfId="4842" xr:uid="{00000000-0005-0000-0000-0000430F0000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1" xfId="2677" xr:uid="{00000000-0005-0000-0000-00005A0F0000}"/>
    <cellStyle name="SAPBEXaggDataEmph 11 2" xfId="4841" xr:uid="{00000000-0005-0000-0000-00005B0F0000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2" xfId="2678" xr:uid="{00000000-0005-0000-0000-0000720F0000}"/>
    <cellStyle name="SAPBEXaggDataEmph 12 2" xfId="4840" xr:uid="{00000000-0005-0000-0000-0000730F0000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3" xfId="2679" xr:uid="{00000000-0005-0000-0000-00008A0F0000}"/>
    <cellStyle name="SAPBEXaggDataEmph 13 2" xfId="4839" xr:uid="{00000000-0005-0000-0000-00008B0F0000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4" xfId="2680" xr:uid="{00000000-0005-0000-0000-0000A20F0000}"/>
    <cellStyle name="SAPBEXaggDataEmph 14 2" xfId="4838" xr:uid="{00000000-0005-0000-0000-0000A30F0000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5" xfId="2681" xr:uid="{00000000-0005-0000-0000-0000BA0F0000}"/>
    <cellStyle name="SAPBEXaggDataEmph 15 2" xfId="4837" xr:uid="{00000000-0005-0000-0000-0000BB0F0000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6" xfId="2682" xr:uid="{00000000-0005-0000-0000-0000D20F0000}"/>
    <cellStyle name="SAPBEXaggDataEmph 16 2" xfId="4836" xr:uid="{00000000-0005-0000-0000-0000D30F0000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7" xfId="2683" xr:uid="{00000000-0005-0000-0000-0000EA0F0000}"/>
    <cellStyle name="SAPBEXaggDataEmph 17 2" xfId="4835" xr:uid="{00000000-0005-0000-0000-0000EB0F0000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8" xfId="4913" xr:uid="{00000000-0005-0000-0000-000002100000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2" xfId="2685" xr:uid="{00000000-0005-0000-0000-000018100000}"/>
    <cellStyle name="SAPBEXaggDataEmph 2 2 2" xfId="4833" xr:uid="{00000000-0005-0000-0000-000019100000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3" xfId="2684" xr:uid="{00000000-0005-0000-0000-000031100000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4" xfId="4834" xr:uid="{00000000-0005-0000-0000-00003F100000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3" xfId="564" xr:uid="{00000000-0005-0000-0000-00005E100000}"/>
    <cellStyle name="SAPBEXaggDataEmph 3 10" xfId="22292" xr:uid="{00000000-0005-0000-0000-00005F100000}"/>
    <cellStyle name="SAPBEXaggDataEmph 3 2" xfId="1983" xr:uid="{00000000-0005-0000-0000-000060100000}"/>
    <cellStyle name="SAPBEXaggDataEmph 3 2 2" xfId="4831" xr:uid="{00000000-0005-0000-0000-000061100000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3" xfId="4832" xr:uid="{00000000-0005-0000-0000-000078100000}"/>
    <cellStyle name="SAPBEXaggDataEmph 3 3 2" xfId="9987" xr:uid="{00000000-0005-0000-0000-000079100000}"/>
    <cellStyle name="SAPBEXaggDataEmph 3 3 2 2" xfId="25978" xr:uid="{00000000-0005-0000-0000-00007A100000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4" xfId="5672" xr:uid="{00000000-0005-0000-0000-000085100000}"/>
    <cellStyle name="SAPBEXaggDataEmph 3 4 2" xfId="37180" xr:uid="{00000000-0005-0000-0000-000086100000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2" xfId="2688" xr:uid="{00000000-0005-0000-0000-000091100000}"/>
    <cellStyle name="SAPBEXaggDataEmph 4 2 2" xfId="4829" xr:uid="{00000000-0005-0000-0000-000092100000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3" xfId="2687" xr:uid="{00000000-0005-0000-0000-0000A9100000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2" xfId="2690" xr:uid="{00000000-0005-0000-0000-0000CF100000}"/>
    <cellStyle name="SAPBEXaggDataEmph 5 2 2" xfId="4827" xr:uid="{00000000-0005-0000-0000-0000D0100000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3" xfId="4828" xr:uid="{00000000-0005-0000-0000-0000E7100000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6" xfId="2691" xr:uid="{00000000-0005-0000-0000-0000FE100000}"/>
    <cellStyle name="SAPBEXaggDataEmph 6 2" xfId="2692" xr:uid="{00000000-0005-0000-0000-0000FF100000}"/>
    <cellStyle name="SAPBEXaggDataEmph 6 2 2" xfId="4825" xr:uid="{00000000-0005-0000-0000-000000110000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3" xfId="4826" xr:uid="{00000000-0005-0000-0000-000017110000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7" xfId="2693" xr:uid="{00000000-0005-0000-0000-00002E110000}"/>
    <cellStyle name="SAPBEXaggDataEmph 7 2" xfId="2694" xr:uid="{00000000-0005-0000-0000-00002F110000}"/>
    <cellStyle name="SAPBEXaggDataEmph 7 2 2" xfId="4823" xr:uid="{00000000-0005-0000-0000-000030110000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3" xfId="4824" xr:uid="{00000000-0005-0000-0000-000047110000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8" xfId="2695" xr:uid="{00000000-0005-0000-0000-00005E110000}"/>
    <cellStyle name="SAPBEXaggDataEmph 8 2" xfId="4822" xr:uid="{00000000-0005-0000-0000-00005F110000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9" xfId="2696" xr:uid="{00000000-0005-0000-0000-000076110000}"/>
    <cellStyle name="SAPBEXaggDataEmph 9 2" xfId="4821" xr:uid="{00000000-0005-0000-0000-000077110000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2" xfId="2697" xr:uid="{00000000-0005-0000-0000-000092110000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2" xfId="2698" xr:uid="{00000000-0005-0000-0000-0000BB11000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2" xfId="2699" xr:uid="{00000000-0005-0000-0000-0000DF110000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2" xfId="4817" xr:uid="{00000000-0005-0000-0000-000002120000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4" xfId="2701" xr:uid="{00000000-0005-0000-0000-000019120000}"/>
    <cellStyle name="SAPBEXaggItem 14 2" xfId="4816" xr:uid="{00000000-0005-0000-0000-00001A120000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5" xfId="2702" xr:uid="{00000000-0005-0000-0000-000031120000}"/>
    <cellStyle name="SAPBEXaggItem 15 2" xfId="4815" xr:uid="{00000000-0005-0000-0000-000032120000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6" xfId="2703" xr:uid="{00000000-0005-0000-0000-000049120000}"/>
    <cellStyle name="SAPBEXaggItem 16 2" xfId="4814" xr:uid="{00000000-0005-0000-0000-00004A120000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7" xfId="4912" xr:uid="{00000000-0005-0000-0000-000061120000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8" xfId="6016" xr:uid="{00000000-0005-0000-0000-00006E120000}"/>
    <cellStyle name="SAPBEXaggItem 18 2" xfId="22981" xr:uid="{00000000-0005-0000-0000-00006F120000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2" xfId="570" xr:uid="{00000000-0005-0000-0000-00007A120000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3" xfId="2705" xr:uid="{00000000-0005-0000-0000-000083120000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2" xfId="2707" xr:uid="{00000000-0005-0000-0000-0000DF120000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3" xfId="4810" xr:uid="{00000000-0005-0000-0000-0000ED120000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4" xfId="4811" xr:uid="{00000000-0005-0000-0000-000014130000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2" xfId="2708" xr:uid="{00000000-0005-0000-0000-00002C130000}"/>
    <cellStyle name="SAPBEXaggItem 4 2 2" xfId="4808" xr:uid="{00000000-0005-0000-0000-00002D130000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3" xfId="4809" xr:uid="{00000000-0005-0000-0000-000044130000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2" xfId="576" xr:uid="{00000000-0005-0000-0000-00005E130000}"/>
    <cellStyle name="SAPBEXaggItem 5 2 10" xfId="22298" xr:uid="{00000000-0005-0000-0000-00005F130000}"/>
    <cellStyle name="SAPBEXaggItem 5 2 2" xfId="2710" xr:uid="{00000000-0005-0000-0000-000060130000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2" xfId="7884" xr:uid="{00000000-0005-0000-0000-000083130000}"/>
    <cellStyle name="SAPBEXaggItem 5 3 2 2" xfId="23915" xr:uid="{00000000-0005-0000-0000-000084130000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4" xfId="4807" xr:uid="{00000000-0005-0000-0000-00009013000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2" xfId="2712" xr:uid="{00000000-0005-0000-0000-0000A8130000}"/>
    <cellStyle name="SAPBEXaggItem 6 2 2" xfId="4804" xr:uid="{00000000-0005-0000-0000-0000A9130000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3" xfId="2711" xr:uid="{00000000-0005-0000-0000-0000C0130000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4" xfId="4805" xr:uid="{00000000-0005-0000-0000-0000CE130000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2" xfId="579" xr:uid="{00000000-0005-0000-0000-0000E8130000}"/>
    <cellStyle name="SAPBEXaggItem 7 2 10" xfId="22300" xr:uid="{00000000-0005-0000-0000-0000E9130000}"/>
    <cellStyle name="SAPBEXaggItem 7 2 2" xfId="2714" xr:uid="{00000000-0005-0000-0000-0000EA130000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2" xfId="7888" xr:uid="{00000000-0005-0000-0000-00000D140000}"/>
    <cellStyle name="SAPBEXaggItem 7 3 2 2" xfId="23919" xr:uid="{00000000-0005-0000-0000-00000E140000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4" xfId="4803" xr:uid="{00000000-0005-0000-0000-00001A140000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2" xfId="581" xr:uid="{00000000-0005-0000-0000-000030140000}"/>
    <cellStyle name="SAPBEXaggItem 8 2 2" xfId="5185" xr:uid="{00000000-0005-0000-0000-000031140000}"/>
    <cellStyle name="SAPBEXaggItem 8 2 2 2" xfId="37213" xr:uid="{00000000-0005-0000-0000-000032140000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3" xfId="2715" xr:uid="{00000000-0005-0000-0000-000039140000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2" xfId="583" xr:uid="{00000000-0005-0000-0000-00005D140000}"/>
    <cellStyle name="SAPBEXaggItem 9 2 2" xfId="5655" xr:uid="{00000000-0005-0000-0000-00005E140000}"/>
    <cellStyle name="SAPBEXaggItem 9 2 2 2" xfId="37211" xr:uid="{00000000-0005-0000-0000-00005F140000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3" xfId="2716" xr:uid="{00000000-0005-0000-0000-000066140000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2" xfId="4799" xr:uid="{00000000-0005-0000-0000-00008A140000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1" xfId="2719" xr:uid="{00000000-0005-0000-0000-0000A1140000}"/>
    <cellStyle name="SAPBEXaggItemX 11 2" xfId="4798" xr:uid="{00000000-0005-0000-0000-0000A2140000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2" xfId="2720" xr:uid="{00000000-0005-0000-0000-0000B9140000}"/>
    <cellStyle name="SAPBEXaggItemX 12 2" xfId="4797" xr:uid="{00000000-0005-0000-0000-0000BA140000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3" xfId="2721" xr:uid="{00000000-0005-0000-0000-0000D1140000}"/>
    <cellStyle name="SAPBEXaggItemX 13 2" xfId="4796" xr:uid="{00000000-0005-0000-0000-0000D2140000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4" xfId="2722" xr:uid="{00000000-0005-0000-0000-0000E9140000}"/>
    <cellStyle name="SAPBEXaggItemX 14 2" xfId="4795" xr:uid="{00000000-0005-0000-0000-0000EA140000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5" xfId="2723" xr:uid="{00000000-0005-0000-0000-000001150000}"/>
    <cellStyle name="SAPBEXaggItemX 15 2" xfId="4794" xr:uid="{00000000-0005-0000-0000-00000215000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6" xfId="2724" xr:uid="{00000000-0005-0000-0000-000019150000}"/>
    <cellStyle name="SAPBEXaggItemX 16 2" xfId="4793" xr:uid="{00000000-0005-0000-0000-00001A150000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7" xfId="4911" xr:uid="{00000000-0005-0000-0000-000031150000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2" xfId="2726" xr:uid="{00000000-0005-0000-0000-00004B150000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3" xfId="4791" xr:uid="{00000000-0005-0000-0000-000059150000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3" xfId="586" xr:uid="{00000000-0005-0000-0000-00009E150000}"/>
    <cellStyle name="SAPBEXaggItemX 3 10" xfId="4988" xr:uid="{00000000-0005-0000-0000-00009F150000}"/>
    <cellStyle name="SAPBEXaggItemX 3 2" xfId="1974" xr:uid="{00000000-0005-0000-0000-0000A0150000}"/>
    <cellStyle name="SAPBEXaggItemX 3 2 2" xfId="4789" xr:uid="{00000000-0005-0000-0000-0000A1150000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3" xfId="4790" xr:uid="{00000000-0005-0000-0000-0000B8150000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4" xfId="5654" xr:uid="{00000000-0005-0000-0000-0000C5150000}"/>
    <cellStyle name="SAPBEXaggItemX 3 4 2" xfId="22759" xr:uid="{00000000-0005-0000-0000-0000C6150000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2" xfId="2728" xr:uid="{00000000-0005-0000-0000-0000D6150000}"/>
    <cellStyle name="SAPBEXaggItemX 4 2 2" xfId="4787" xr:uid="{00000000-0005-0000-0000-0000D7150000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3" xfId="2727" xr:uid="{00000000-0005-0000-0000-0000EE150000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4" xfId="4788" xr:uid="{00000000-0005-0000-0000-0000FC15000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2" xfId="2730" xr:uid="{00000000-0005-0000-0000-000014160000}"/>
    <cellStyle name="SAPBEXaggItemX 5 2 2" xfId="4785" xr:uid="{00000000-0005-0000-0000-000015160000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3" xfId="4786" xr:uid="{00000000-0005-0000-0000-00002C160000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6" xfId="2731" xr:uid="{00000000-0005-0000-0000-000043160000}"/>
    <cellStyle name="SAPBEXaggItemX 6 2" xfId="2732" xr:uid="{00000000-0005-0000-0000-000044160000}"/>
    <cellStyle name="SAPBEXaggItemX 6 2 2" xfId="4783" xr:uid="{00000000-0005-0000-0000-000045160000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3" xfId="4784" xr:uid="{00000000-0005-0000-0000-00005C160000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7" xfId="2733" xr:uid="{00000000-0005-0000-0000-000073160000}"/>
    <cellStyle name="SAPBEXaggItemX 7 2" xfId="2734" xr:uid="{00000000-0005-0000-0000-000074160000}"/>
    <cellStyle name="SAPBEXaggItemX 7 2 2" xfId="4781" xr:uid="{00000000-0005-0000-0000-000075160000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3" xfId="4782" xr:uid="{00000000-0005-0000-0000-00008C160000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8" xfId="2735" xr:uid="{00000000-0005-0000-0000-0000A3160000}"/>
    <cellStyle name="SAPBEXaggItemX 8 2" xfId="4780" xr:uid="{00000000-0005-0000-0000-0000A4160000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9" xfId="2736" xr:uid="{00000000-0005-0000-0000-0000BB160000}"/>
    <cellStyle name="SAPBEXaggItemX 9 2" xfId="4779" xr:uid="{00000000-0005-0000-0000-0000BC160000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2" xfId="591" xr:uid="{00000000-0005-0000-0000-0000EA160000}"/>
    <cellStyle name="SAPBEXchaText 2 2 10" xfId="4990" xr:uid="{00000000-0005-0000-0000-0000EB160000}"/>
    <cellStyle name="SAPBEXchaText 2 2 2" xfId="592" xr:uid="{00000000-0005-0000-0000-0000EC160000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3" xfId="2027" xr:uid="{00000000-0005-0000-0000-0000FA160000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3" xfId="37912" xr:uid="{00000000-0005-0000-0000-000011170000}"/>
    <cellStyle name="SAPBEXchaText 2 4" xfId="5182" xr:uid="{00000000-0005-0000-0000-000012170000}"/>
    <cellStyle name="SAPBEXchaText 2 4 2" xfId="37209" xr:uid="{00000000-0005-0000-0000-000013170000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4" xfId="37904" xr:uid="{00000000-0005-0000-0000-00001D170000}"/>
    <cellStyle name="SAPBEXchaText 4" xfId="594" xr:uid="{00000000-0005-0000-0000-00001E170000}"/>
    <cellStyle name="SAPBEXchaText 4 10" xfId="22307" xr:uid="{00000000-0005-0000-0000-00001F170000}"/>
    <cellStyle name="SAPBEXchaText 4 2" xfId="595" xr:uid="{00000000-0005-0000-0000-000020170000}"/>
    <cellStyle name="SAPBEXchaText 4 2 2" xfId="5649" xr:uid="{00000000-0005-0000-0000-000021170000}"/>
    <cellStyle name="SAPBEXchaText 4 2 2 2" xfId="37811" xr:uid="{00000000-0005-0000-0000-000022170000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3" xfId="5650" xr:uid="{00000000-0005-0000-0000-000029170000}"/>
    <cellStyle name="SAPBEXchaText 4 3 2" xfId="37812" xr:uid="{00000000-0005-0000-0000-00002A170000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2" xfId="597" xr:uid="{00000000-0005-0000-0000-000034170000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2" xfId="600" xr:uid="{00000000-0005-0000-0000-00005F170000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2" xfId="602" xr:uid="{00000000-0005-0000-0000-000071170000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2" xfId="604" xr:uid="{00000000-0005-0000-0000-000083170000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2" xfId="2740" xr:uid="{00000000-0005-0000-0000-00009A170000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2" xfId="2741" xr:uid="{00000000-0005-0000-0000-0000BE170000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2" xfId="4776" xr:uid="{00000000-0005-0000-0000-0000E1170000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3" xfId="2743" xr:uid="{00000000-0005-0000-0000-0000F8170000}"/>
    <cellStyle name="SAPBEXexcBad7 13 2" xfId="4775" xr:uid="{00000000-0005-0000-0000-0000F9170000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4" xfId="2744" xr:uid="{00000000-0005-0000-0000-000010180000}"/>
    <cellStyle name="SAPBEXexcBad7 14 2" xfId="4774" xr:uid="{00000000-0005-0000-0000-000011180000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5" xfId="2745" xr:uid="{00000000-0005-0000-0000-000028180000}"/>
    <cellStyle name="SAPBEXexcBad7 15 2" xfId="4773" xr:uid="{00000000-0005-0000-0000-000029180000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6" xfId="2746" xr:uid="{00000000-0005-0000-0000-000040180000}"/>
    <cellStyle name="SAPBEXexcBad7 16 2" xfId="4772" xr:uid="{00000000-0005-0000-0000-000041180000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7" xfId="2747" xr:uid="{00000000-0005-0000-0000-000058180000}"/>
    <cellStyle name="SAPBEXexcBad7 17 2" xfId="4771" xr:uid="{00000000-0005-0000-0000-000059180000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8" xfId="4910" xr:uid="{00000000-0005-0000-0000-000070180000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2" xfId="2749" xr:uid="{00000000-0005-0000-0000-000088180000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3" xfId="4769" xr:uid="{00000000-0005-0000-0000-000096180000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3" xfId="609" xr:uid="{00000000-0005-0000-0000-0000E9180000}"/>
    <cellStyle name="SAPBEXexcBad7 3 2" xfId="610" xr:uid="{00000000-0005-0000-0000-0000EA180000}"/>
    <cellStyle name="SAPBEXexcBad7 3 2 2" xfId="4767" xr:uid="{00000000-0005-0000-0000-0000EB180000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3" xfId="4768" xr:uid="{00000000-0005-0000-0000-000002190000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2" xfId="2751" xr:uid="{00000000-0005-0000-0000-00001E190000}"/>
    <cellStyle name="SAPBEXexcBad7 4 2 2" xfId="4765" xr:uid="{00000000-0005-0000-0000-00001F190000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3" xfId="2750" xr:uid="{00000000-0005-0000-0000-000036190000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4" xfId="4766" xr:uid="{00000000-0005-0000-0000-000044190000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2" xfId="613" xr:uid="{00000000-0005-0000-0000-00005E190000}"/>
    <cellStyle name="SAPBEXexcBad7 5 2 10" xfId="22318" xr:uid="{00000000-0005-0000-0000-00005F190000}"/>
    <cellStyle name="SAPBEXexcBad7 5 2 2" xfId="2753" xr:uid="{00000000-0005-0000-0000-000060190000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2" xfId="7924" xr:uid="{00000000-0005-0000-0000-000083190000}"/>
    <cellStyle name="SAPBEXexcBad7 5 3 2 2" xfId="23954" xr:uid="{00000000-0005-0000-0000-000084190000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4" xfId="4764" xr:uid="{00000000-0005-0000-0000-00009019000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2" xfId="615" xr:uid="{00000000-0005-0000-0000-0000A6190000}"/>
    <cellStyle name="SAPBEXexcBad7 6 2 10" xfId="22320" xr:uid="{00000000-0005-0000-0000-0000A7190000}"/>
    <cellStyle name="SAPBEXexcBad7 6 2 2" xfId="2755" xr:uid="{00000000-0005-0000-0000-0000A8190000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2" xfId="7926" xr:uid="{00000000-0005-0000-0000-0000CB190000}"/>
    <cellStyle name="SAPBEXexcBad7 6 3 2 2" xfId="23956" xr:uid="{00000000-0005-0000-0000-0000CC190000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4" xfId="4762" xr:uid="{00000000-0005-0000-0000-0000D819000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2" xfId="617" xr:uid="{00000000-0005-0000-0000-0000EE190000}"/>
    <cellStyle name="SAPBEXexcBad7 7 2 10" xfId="22322" xr:uid="{00000000-0005-0000-0000-0000EF190000}"/>
    <cellStyle name="SAPBEXexcBad7 7 2 2" xfId="2757" xr:uid="{00000000-0005-0000-0000-0000F0190000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2" xfId="7928" xr:uid="{00000000-0005-0000-0000-0000131A0000}"/>
    <cellStyle name="SAPBEXexcBad7 7 3 2 2" xfId="23958" xr:uid="{00000000-0005-0000-0000-0000141A0000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4" xfId="4760" xr:uid="{00000000-0005-0000-0000-0000201A0000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2" xfId="619" xr:uid="{00000000-0005-0000-0000-0000361A0000}"/>
    <cellStyle name="SAPBEXexcBad7 8 2 2" xfId="5625" xr:uid="{00000000-0005-0000-0000-0000371A0000}"/>
    <cellStyle name="SAPBEXexcBad7 8 2 2 2" xfId="37196" xr:uid="{00000000-0005-0000-0000-0000381A0000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3" xfId="2758" xr:uid="{00000000-0005-0000-0000-00003F1A0000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2" xfId="2759" xr:uid="{00000000-0005-0000-0000-0000621A000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2" xfId="2760" xr:uid="{00000000-0005-0000-0000-00008D1A0000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2" xfId="2761" xr:uid="{00000000-0005-0000-0000-0000B11A0000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2" xfId="4754" xr:uid="{00000000-0005-0000-0000-0000D41A0000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3" xfId="2763" xr:uid="{00000000-0005-0000-0000-0000EB1A0000}"/>
    <cellStyle name="SAPBEXexcBad8 13 2" xfId="4753" xr:uid="{00000000-0005-0000-0000-0000EC1A0000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4" xfId="2764" xr:uid="{00000000-0005-0000-0000-0000031B0000}"/>
    <cellStyle name="SAPBEXexcBad8 14 2" xfId="4752" xr:uid="{00000000-0005-0000-0000-0000041B0000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5" xfId="2765" xr:uid="{00000000-0005-0000-0000-00001B1B0000}"/>
    <cellStyle name="SAPBEXexcBad8 15 2" xfId="4751" xr:uid="{00000000-0005-0000-0000-00001C1B0000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6" xfId="2766" xr:uid="{00000000-0005-0000-0000-0000331B0000}"/>
    <cellStyle name="SAPBEXexcBad8 16 2" xfId="4750" xr:uid="{00000000-0005-0000-0000-0000341B0000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7" xfId="2767" xr:uid="{00000000-0005-0000-0000-00004B1B0000}"/>
    <cellStyle name="SAPBEXexcBad8 17 2" xfId="4749" xr:uid="{00000000-0005-0000-0000-00004C1B0000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8" xfId="4909" xr:uid="{00000000-0005-0000-0000-0000631B0000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2" xfId="2769" xr:uid="{00000000-0005-0000-0000-00007B1B0000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3" xfId="4747" xr:uid="{00000000-0005-0000-0000-0000891B0000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3" xfId="624" xr:uid="{00000000-0005-0000-0000-0000DC1B0000}"/>
    <cellStyle name="SAPBEXexcBad8 3 2" xfId="625" xr:uid="{00000000-0005-0000-0000-0000DD1B0000}"/>
    <cellStyle name="SAPBEXexcBad8 3 2 2" xfId="4745" xr:uid="{00000000-0005-0000-0000-0000DE1B0000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3" xfId="4746" xr:uid="{00000000-0005-0000-0000-0000F51B0000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2" xfId="2771" xr:uid="{00000000-0005-0000-0000-0000111C0000}"/>
    <cellStyle name="SAPBEXexcBad8 4 2 2" xfId="4743" xr:uid="{00000000-0005-0000-0000-0000121C0000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3" xfId="2770" xr:uid="{00000000-0005-0000-0000-0000291C0000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4" xfId="4744" xr:uid="{00000000-0005-0000-0000-0000371C0000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2" xfId="628" xr:uid="{00000000-0005-0000-0000-0000511C0000}"/>
    <cellStyle name="SAPBEXexcBad8 5 2 10" xfId="22328" xr:uid="{00000000-0005-0000-0000-0000521C0000}"/>
    <cellStyle name="SAPBEXexcBad8 5 2 2" xfId="2773" xr:uid="{00000000-0005-0000-0000-0000531C0000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2" xfId="7944" xr:uid="{00000000-0005-0000-0000-0000761C0000}"/>
    <cellStyle name="SAPBEXexcBad8 5 3 2 2" xfId="23974" xr:uid="{00000000-0005-0000-0000-0000771C0000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4" xfId="4742" xr:uid="{00000000-0005-0000-0000-0000831C0000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2" xfId="630" xr:uid="{00000000-0005-0000-0000-0000991C0000}"/>
    <cellStyle name="SAPBEXexcBad8 6 2 10" xfId="22330" xr:uid="{00000000-0005-0000-0000-00009A1C0000}"/>
    <cellStyle name="SAPBEXexcBad8 6 2 2" xfId="2775" xr:uid="{00000000-0005-0000-0000-00009B1C0000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2" xfId="7946" xr:uid="{00000000-0005-0000-0000-0000BE1C0000}"/>
    <cellStyle name="SAPBEXexcBad8 6 3 2 2" xfId="23976" xr:uid="{00000000-0005-0000-0000-0000BF1C0000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4" xfId="4740" xr:uid="{00000000-0005-0000-0000-0000CB1C000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2" xfId="632" xr:uid="{00000000-0005-0000-0000-0000E11C0000}"/>
    <cellStyle name="SAPBEXexcBad8 7 2 10" xfId="22332" xr:uid="{00000000-0005-0000-0000-0000E21C0000}"/>
    <cellStyle name="SAPBEXexcBad8 7 2 2" xfId="2777" xr:uid="{00000000-0005-0000-0000-0000E31C000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2" xfId="7948" xr:uid="{00000000-0005-0000-0000-0000061D0000}"/>
    <cellStyle name="SAPBEXexcBad8 7 3 2 2" xfId="23978" xr:uid="{00000000-0005-0000-0000-0000071D0000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4" xfId="4738" xr:uid="{00000000-0005-0000-0000-0000131D0000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2" xfId="634" xr:uid="{00000000-0005-0000-0000-0000291D0000}"/>
    <cellStyle name="SAPBEXexcBad8 8 2 2" xfId="5610" xr:uid="{00000000-0005-0000-0000-00002A1D0000}"/>
    <cellStyle name="SAPBEXexcBad8 8 2 2 2" xfId="37186" xr:uid="{00000000-0005-0000-0000-00002B1D0000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3" xfId="2778" xr:uid="{00000000-0005-0000-0000-0000321D0000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2" xfId="2779" xr:uid="{00000000-0005-0000-0000-0000551D0000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2" xfId="2780" xr:uid="{00000000-0005-0000-0000-0000811D0000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2" xfId="2781" xr:uid="{00000000-0005-0000-0000-0000A51D0000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2" xfId="4732" xr:uid="{00000000-0005-0000-0000-0000C81D0000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3" xfId="2783" xr:uid="{00000000-0005-0000-0000-0000DF1D0000}"/>
    <cellStyle name="SAPBEXexcBad9 13 2" xfId="4731" xr:uid="{00000000-0005-0000-0000-0000E01D0000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4" xfId="2784" xr:uid="{00000000-0005-0000-0000-0000F71D0000}"/>
    <cellStyle name="SAPBEXexcBad9 14 2" xfId="4730" xr:uid="{00000000-0005-0000-0000-0000F81D0000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5" xfId="2785" xr:uid="{00000000-0005-0000-0000-00000F1E0000}"/>
    <cellStyle name="SAPBEXexcBad9 15 2" xfId="4729" xr:uid="{00000000-0005-0000-0000-0000101E0000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6" xfId="2786" xr:uid="{00000000-0005-0000-0000-0000271E0000}"/>
    <cellStyle name="SAPBEXexcBad9 16 2" xfId="4728" xr:uid="{00000000-0005-0000-0000-0000281E0000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7" xfId="2787" xr:uid="{00000000-0005-0000-0000-00003F1E0000}"/>
    <cellStyle name="SAPBEXexcBad9 17 2" xfId="4727" xr:uid="{00000000-0005-0000-0000-0000401E0000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8" xfId="4908" xr:uid="{00000000-0005-0000-0000-0000571E0000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2" xfId="2789" xr:uid="{00000000-0005-0000-0000-00006F1E0000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3" xfId="4725" xr:uid="{00000000-0005-0000-0000-00007D1E0000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3" xfId="639" xr:uid="{00000000-0005-0000-0000-0000D01E0000}"/>
    <cellStyle name="SAPBEXexcBad9 3 2" xfId="640" xr:uid="{00000000-0005-0000-0000-0000D11E0000}"/>
    <cellStyle name="SAPBEXexcBad9 3 2 2" xfId="4723" xr:uid="{00000000-0005-0000-0000-0000D21E0000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3" xfId="4724" xr:uid="{00000000-0005-0000-0000-0000E91E0000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2" xfId="2792" xr:uid="{00000000-0005-0000-0000-0000051F0000}"/>
    <cellStyle name="SAPBEXexcBad9 4 2 2" xfId="4721" xr:uid="{00000000-0005-0000-0000-0000061F0000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3" xfId="2791" xr:uid="{00000000-0005-0000-0000-00001D1F000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4" xfId="4722" xr:uid="{00000000-0005-0000-0000-00002B1F0000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2" xfId="2794" xr:uid="{00000000-0005-0000-0000-0000491F0000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4" xfId="4720" xr:uid="{00000000-0005-0000-0000-0000791F0000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2" xfId="2796" xr:uid="{00000000-0005-0000-0000-0000931F0000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4" xfId="4718" xr:uid="{00000000-0005-0000-0000-0000C31F0000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2" xfId="2798" xr:uid="{00000000-0005-0000-0000-0000DD1F0000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4" xfId="4716" xr:uid="{00000000-0005-0000-0000-00000D200000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2" xfId="649" xr:uid="{00000000-0005-0000-0000-000024200000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2" xfId="2800" xr:uid="{00000000-0005-0000-0000-0000512000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2" xfId="2801" xr:uid="{00000000-0005-0000-0000-00007D200000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2" xfId="2802" xr:uid="{00000000-0005-0000-0000-0000A1200000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2" xfId="4710" xr:uid="{00000000-0005-0000-0000-0000C4200000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3" xfId="2804" xr:uid="{00000000-0005-0000-0000-0000DB200000}"/>
    <cellStyle name="SAPBEXexcCritical4 13 2" xfId="4709" xr:uid="{00000000-0005-0000-0000-0000DC200000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4" xfId="2805" xr:uid="{00000000-0005-0000-0000-0000F3200000}"/>
    <cellStyle name="SAPBEXexcCritical4 14 2" xfId="4708" xr:uid="{00000000-0005-0000-0000-0000F4200000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5" xfId="2806" xr:uid="{00000000-0005-0000-0000-00000B210000}"/>
    <cellStyle name="SAPBEXexcCritical4 15 2" xfId="4707" xr:uid="{00000000-0005-0000-0000-00000C210000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6" xfId="2807" xr:uid="{00000000-0005-0000-0000-000023210000}"/>
    <cellStyle name="SAPBEXexcCritical4 16 2" xfId="4706" xr:uid="{00000000-0005-0000-0000-000024210000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7" xfId="2808" xr:uid="{00000000-0005-0000-0000-00003B210000}"/>
    <cellStyle name="SAPBEXexcCritical4 17 2" xfId="4705" xr:uid="{00000000-0005-0000-0000-00003C210000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8" xfId="4907" xr:uid="{00000000-0005-0000-0000-000053210000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2" xfId="2810" xr:uid="{00000000-0005-0000-0000-00006B210000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3" xfId="4703" xr:uid="{00000000-0005-0000-0000-000079210000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3" xfId="654" xr:uid="{00000000-0005-0000-0000-0000CC210000}"/>
    <cellStyle name="SAPBEXexcCritical4 3 2" xfId="655" xr:uid="{00000000-0005-0000-0000-0000CD210000}"/>
    <cellStyle name="SAPBEXexcCritical4 3 2 2" xfId="4701" xr:uid="{00000000-0005-0000-0000-0000CE210000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3" xfId="4702" xr:uid="{00000000-0005-0000-0000-0000E5210000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2" xfId="2812" xr:uid="{00000000-0005-0000-0000-000001220000}"/>
    <cellStyle name="SAPBEXexcCritical4 4 2 2" xfId="4699" xr:uid="{00000000-0005-0000-0000-000002220000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3" xfId="2811" xr:uid="{00000000-0005-0000-0000-000019220000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4" xfId="4700" xr:uid="{00000000-0005-0000-0000-000027220000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2" xfId="658" xr:uid="{00000000-0005-0000-0000-000041220000}"/>
    <cellStyle name="SAPBEXexcCritical4 5 2 10" xfId="22348" xr:uid="{00000000-0005-0000-0000-000042220000}"/>
    <cellStyle name="SAPBEXexcCritical4 5 2 2" xfId="2814" xr:uid="{00000000-0005-0000-0000-000043220000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2" xfId="7985" xr:uid="{00000000-0005-0000-0000-000066220000}"/>
    <cellStyle name="SAPBEXexcCritical4 5 3 2 2" xfId="24014" xr:uid="{00000000-0005-0000-0000-000067220000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4" xfId="4698" xr:uid="{00000000-0005-0000-0000-000073220000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2" xfId="660" xr:uid="{00000000-0005-0000-0000-000089220000}"/>
    <cellStyle name="SAPBEXexcCritical4 6 2 10" xfId="22350" xr:uid="{00000000-0005-0000-0000-00008A220000}"/>
    <cellStyle name="SAPBEXexcCritical4 6 2 2" xfId="2816" xr:uid="{00000000-0005-0000-0000-00008B220000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2" xfId="7987" xr:uid="{00000000-0005-0000-0000-0000AE220000}"/>
    <cellStyle name="SAPBEXexcCritical4 6 3 2 2" xfId="24016" xr:uid="{00000000-0005-0000-0000-0000AF220000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4" xfId="4696" xr:uid="{00000000-0005-0000-0000-0000BB220000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2" xfId="662" xr:uid="{00000000-0005-0000-0000-0000D1220000}"/>
    <cellStyle name="SAPBEXexcCritical4 7 2 10" xfId="22352" xr:uid="{00000000-0005-0000-0000-0000D2220000}"/>
    <cellStyle name="SAPBEXexcCritical4 7 2 2" xfId="2818" xr:uid="{00000000-0005-0000-0000-0000D3220000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2" xfId="7989" xr:uid="{00000000-0005-0000-0000-0000F6220000}"/>
    <cellStyle name="SAPBEXexcCritical4 7 3 2 2" xfId="24018" xr:uid="{00000000-0005-0000-0000-0000F7220000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4" xfId="4694" xr:uid="{00000000-0005-0000-0000-000003230000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2" xfId="664" xr:uid="{00000000-0005-0000-0000-000019230000}"/>
    <cellStyle name="SAPBEXexcCritical4 8 2 2" xfId="5592" xr:uid="{00000000-0005-0000-0000-00001A230000}"/>
    <cellStyle name="SAPBEXexcCritical4 8 2 2 2" xfId="37807" xr:uid="{00000000-0005-0000-0000-00001B23000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3" xfId="2819" xr:uid="{00000000-0005-0000-0000-000022230000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2" xfId="2820" xr:uid="{00000000-0005-0000-0000-000045230000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2" xfId="2821" xr:uid="{00000000-0005-0000-0000-000070230000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2" xfId="2822" xr:uid="{00000000-0005-0000-0000-000094230000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2" xfId="4688" xr:uid="{00000000-0005-0000-0000-0000B7230000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3" xfId="2824" xr:uid="{00000000-0005-0000-0000-0000CE230000}"/>
    <cellStyle name="SAPBEXexcCritical5 13 2" xfId="4687" xr:uid="{00000000-0005-0000-0000-0000CF230000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4" xfId="2825" xr:uid="{00000000-0005-0000-0000-0000E6230000}"/>
    <cellStyle name="SAPBEXexcCritical5 14 2" xfId="4686" xr:uid="{00000000-0005-0000-0000-0000E7230000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5" xfId="2826" xr:uid="{00000000-0005-0000-0000-0000FE230000}"/>
    <cellStyle name="SAPBEXexcCritical5 15 2" xfId="4685" xr:uid="{00000000-0005-0000-0000-0000FF230000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6" xfId="2827" xr:uid="{00000000-0005-0000-0000-000016240000}"/>
    <cellStyle name="SAPBEXexcCritical5 16 2" xfId="4684" xr:uid="{00000000-0005-0000-0000-000017240000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7" xfId="2828" xr:uid="{00000000-0005-0000-0000-00002E240000}"/>
    <cellStyle name="SAPBEXexcCritical5 17 2" xfId="4683" xr:uid="{00000000-0005-0000-0000-00002F240000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8" xfId="4906" xr:uid="{00000000-0005-0000-0000-000046240000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2" xfId="2830" xr:uid="{00000000-0005-0000-0000-00005E240000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3" xfId="4681" xr:uid="{00000000-0005-0000-0000-00006C240000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3" xfId="669" xr:uid="{00000000-0005-0000-0000-0000BF240000}"/>
    <cellStyle name="SAPBEXexcCritical5 3 2" xfId="670" xr:uid="{00000000-0005-0000-0000-0000C0240000}"/>
    <cellStyle name="SAPBEXexcCritical5 3 2 2" xfId="4679" xr:uid="{00000000-0005-0000-0000-0000C1240000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3" xfId="4680" xr:uid="{00000000-0005-0000-0000-0000D8240000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2" xfId="2832" xr:uid="{00000000-0005-0000-0000-0000F4240000}"/>
    <cellStyle name="SAPBEXexcCritical5 4 2 2" xfId="4677" xr:uid="{00000000-0005-0000-0000-0000F5240000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3" xfId="2831" xr:uid="{00000000-0005-0000-0000-00000C250000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4" xfId="4678" xr:uid="{00000000-0005-0000-0000-00001A250000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2" xfId="673" xr:uid="{00000000-0005-0000-0000-000034250000}"/>
    <cellStyle name="SAPBEXexcCritical5 5 2 10" xfId="22358" xr:uid="{00000000-0005-0000-0000-000035250000}"/>
    <cellStyle name="SAPBEXexcCritical5 5 2 2" xfId="2834" xr:uid="{00000000-0005-0000-0000-000036250000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2" xfId="8005" xr:uid="{00000000-0005-0000-0000-000059250000}"/>
    <cellStyle name="SAPBEXexcCritical5 5 3 2 2" xfId="24034" xr:uid="{00000000-0005-0000-0000-00005A250000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4" xfId="4676" xr:uid="{00000000-0005-0000-0000-00006625000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2" xfId="675" xr:uid="{00000000-0005-0000-0000-00007C250000}"/>
    <cellStyle name="SAPBEXexcCritical5 6 2 10" xfId="22360" xr:uid="{00000000-0005-0000-0000-00007D250000}"/>
    <cellStyle name="SAPBEXexcCritical5 6 2 2" xfId="2836" xr:uid="{00000000-0005-0000-0000-00007E250000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2" xfId="8007" xr:uid="{00000000-0005-0000-0000-0000A1250000}"/>
    <cellStyle name="SAPBEXexcCritical5 6 3 2 2" xfId="24036" xr:uid="{00000000-0005-0000-0000-0000A2250000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4" xfId="3154" xr:uid="{00000000-0005-0000-0000-0000AE250000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2" xfId="677" xr:uid="{00000000-0005-0000-0000-0000C4250000}"/>
    <cellStyle name="SAPBEXexcCritical5 7 2 10" xfId="22362" xr:uid="{00000000-0005-0000-0000-0000C5250000}"/>
    <cellStyle name="SAPBEXexcCritical5 7 2 2" xfId="2838" xr:uid="{00000000-0005-0000-0000-0000C6250000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2" xfId="8009" xr:uid="{00000000-0005-0000-0000-0000E9250000}"/>
    <cellStyle name="SAPBEXexcCritical5 7 3 2 2" xfId="24038" xr:uid="{00000000-0005-0000-0000-0000EA250000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4" xfId="4673" xr:uid="{00000000-0005-0000-0000-0000F6250000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2" xfId="679" xr:uid="{00000000-0005-0000-0000-00000C260000}"/>
    <cellStyle name="SAPBEXexcCritical5 8 2 2" xfId="5577" xr:uid="{00000000-0005-0000-0000-00000D260000}"/>
    <cellStyle name="SAPBEXexcCritical5 8 2 2 2" xfId="37802" xr:uid="{00000000-0005-0000-0000-00000E260000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3" xfId="2839" xr:uid="{00000000-0005-0000-0000-000015260000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2" xfId="2840" xr:uid="{00000000-0005-0000-0000-000038260000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2" xfId="2841" xr:uid="{00000000-0005-0000-0000-000063260000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2" xfId="2842" xr:uid="{00000000-0005-0000-0000-00008726000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2" xfId="4667" xr:uid="{00000000-0005-0000-0000-0000AA260000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3" xfId="2844" xr:uid="{00000000-0005-0000-0000-0000C1260000}"/>
    <cellStyle name="SAPBEXexcCritical6 13 2" xfId="4666" xr:uid="{00000000-0005-0000-0000-0000C2260000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4" xfId="2845" xr:uid="{00000000-0005-0000-0000-0000D9260000}"/>
    <cellStyle name="SAPBEXexcCritical6 14 2" xfId="4665" xr:uid="{00000000-0005-0000-0000-0000DA260000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5" xfId="2846" xr:uid="{00000000-0005-0000-0000-0000F1260000}"/>
    <cellStyle name="SAPBEXexcCritical6 15 2" xfId="4664" xr:uid="{00000000-0005-0000-0000-0000F2260000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6" xfId="2847" xr:uid="{00000000-0005-0000-0000-000009270000}"/>
    <cellStyle name="SAPBEXexcCritical6 16 2" xfId="4663" xr:uid="{00000000-0005-0000-0000-00000A270000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7" xfId="2848" xr:uid="{00000000-0005-0000-0000-000021270000}"/>
    <cellStyle name="SAPBEXexcCritical6 17 2" xfId="4662" xr:uid="{00000000-0005-0000-0000-000022270000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8" xfId="4905" xr:uid="{00000000-0005-0000-0000-000039270000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2" xfId="2850" xr:uid="{00000000-0005-0000-0000-000051270000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3" xfId="4660" xr:uid="{00000000-0005-0000-0000-00005F270000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3" xfId="684" xr:uid="{00000000-0005-0000-0000-0000B2270000}"/>
    <cellStyle name="SAPBEXexcCritical6 3 2" xfId="685" xr:uid="{00000000-0005-0000-0000-0000B3270000}"/>
    <cellStyle name="SAPBEXexcCritical6 3 2 2" xfId="4658" xr:uid="{00000000-0005-0000-0000-0000B4270000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3" xfId="4659" xr:uid="{00000000-0005-0000-0000-0000CB270000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2" xfId="2852" xr:uid="{00000000-0005-0000-0000-0000E7270000}"/>
    <cellStyle name="SAPBEXexcCritical6 4 2 2" xfId="4656" xr:uid="{00000000-0005-0000-0000-0000E8270000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3" xfId="2851" xr:uid="{00000000-0005-0000-0000-0000FF270000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4" xfId="4657" xr:uid="{00000000-0005-0000-0000-00000D280000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2" xfId="688" xr:uid="{00000000-0005-0000-0000-000027280000}"/>
    <cellStyle name="SAPBEXexcCritical6 5 2 10" xfId="22368" xr:uid="{00000000-0005-0000-0000-000028280000}"/>
    <cellStyle name="SAPBEXexcCritical6 5 2 2" xfId="2854" xr:uid="{00000000-0005-0000-0000-000029280000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2" xfId="8025" xr:uid="{00000000-0005-0000-0000-00004C280000}"/>
    <cellStyle name="SAPBEXexcCritical6 5 3 2 2" xfId="24054" xr:uid="{00000000-0005-0000-0000-00004D280000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4" xfId="4655" xr:uid="{00000000-0005-0000-0000-000059280000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2" xfId="690" xr:uid="{00000000-0005-0000-0000-00006F280000}"/>
    <cellStyle name="SAPBEXexcCritical6 6 2 10" xfId="22370" xr:uid="{00000000-0005-0000-0000-000070280000}"/>
    <cellStyle name="SAPBEXexcCritical6 6 2 2" xfId="2856" xr:uid="{00000000-0005-0000-0000-000071280000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2" xfId="8027" xr:uid="{00000000-0005-0000-0000-000094280000}"/>
    <cellStyle name="SAPBEXexcCritical6 6 3 2 2" xfId="24056" xr:uid="{00000000-0005-0000-0000-000095280000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4" xfId="4653" xr:uid="{00000000-0005-0000-0000-0000A1280000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2" xfId="692" xr:uid="{00000000-0005-0000-0000-0000B7280000}"/>
    <cellStyle name="SAPBEXexcCritical6 7 2 10" xfId="22372" xr:uid="{00000000-0005-0000-0000-0000B8280000}"/>
    <cellStyle name="SAPBEXexcCritical6 7 2 2" xfId="2858" xr:uid="{00000000-0005-0000-0000-0000B9280000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2" xfId="8029" xr:uid="{00000000-0005-0000-0000-0000DC280000}"/>
    <cellStyle name="SAPBEXexcCritical6 7 3 2 2" xfId="24058" xr:uid="{00000000-0005-0000-0000-0000DD280000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4" xfId="4651" xr:uid="{00000000-0005-0000-0000-0000E9280000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2" xfId="694" xr:uid="{00000000-0005-0000-0000-0000FF280000}"/>
    <cellStyle name="SAPBEXexcCritical6 8 2 2" xfId="5562" xr:uid="{00000000-0005-0000-0000-000000290000}"/>
    <cellStyle name="SAPBEXexcCritical6 8 2 2 2" xfId="37769" xr:uid="{00000000-0005-0000-0000-000001290000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3" xfId="2859" xr:uid="{00000000-0005-0000-0000-000008290000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2" xfId="2860" xr:uid="{00000000-0005-0000-0000-00002B290000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2" xfId="2861" xr:uid="{00000000-0005-0000-0000-000057290000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2" xfId="2862" xr:uid="{00000000-0005-0000-0000-00007B290000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2" xfId="4645" xr:uid="{00000000-0005-0000-0000-00009E290000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3" xfId="2864" xr:uid="{00000000-0005-0000-0000-0000B5290000}"/>
    <cellStyle name="SAPBEXexcGood1 13 2" xfId="4644" xr:uid="{00000000-0005-0000-0000-0000B6290000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4" xfId="2865" xr:uid="{00000000-0005-0000-0000-0000CD290000}"/>
    <cellStyle name="SAPBEXexcGood1 14 2" xfId="4643" xr:uid="{00000000-0005-0000-0000-0000CE290000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5" xfId="2866" xr:uid="{00000000-0005-0000-0000-0000E5290000}"/>
    <cellStyle name="SAPBEXexcGood1 15 2" xfId="4642" xr:uid="{00000000-0005-0000-0000-0000E6290000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6" xfId="2867" xr:uid="{00000000-0005-0000-0000-0000FD290000}"/>
    <cellStyle name="SAPBEXexcGood1 16 2" xfId="4641" xr:uid="{00000000-0005-0000-0000-0000FE290000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7" xfId="2868" xr:uid="{00000000-0005-0000-0000-0000152A0000}"/>
    <cellStyle name="SAPBEXexcGood1 17 2" xfId="4640" xr:uid="{00000000-0005-0000-0000-0000162A0000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8" xfId="4904" xr:uid="{00000000-0005-0000-0000-00002D2A0000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2" xfId="2870" xr:uid="{00000000-0005-0000-0000-0000452A0000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3" xfId="4638" xr:uid="{00000000-0005-0000-0000-0000532A0000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3" xfId="699" xr:uid="{00000000-0005-0000-0000-0000A62A0000}"/>
    <cellStyle name="SAPBEXexcGood1 3 2" xfId="700" xr:uid="{00000000-0005-0000-0000-0000A72A0000}"/>
    <cellStyle name="SAPBEXexcGood1 3 2 2" xfId="4636" xr:uid="{00000000-0005-0000-0000-0000A82A0000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3" xfId="4637" xr:uid="{00000000-0005-0000-0000-0000BF2A0000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2" xfId="2872" xr:uid="{00000000-0005-0000-0000-0000DB2A0000}"/>
    <cellStyle name="SAPBEXexcGood1 4 2 2" xfId="4634" xr:uid="{00000000-0005-0000-0000-0000DC2A0000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3" xfId="2871" xr:uid="{00000000-0005-0000-0000-0000F32A000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4" xfId="4635" xr:uid="{00000000-0005-0000-0000-0000012B00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2" xfId="703" xr:uid="{00000000-0005-0000-0000-00001B2B0000}"/>
    <cellStyle name="SAPBEXexcGood1 5 2 10" xfId="22378" xr:uid="{00000000-0005-0000-0000-00001C2B0000}"/>
    <cellStyle name="SAPBEXexcGood1 5 2 2" xfId="2874" xr:uid="{00000000-0005-0000-0000-00001D2B0000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2" xfId="8045" xr:uid="{00000000-0005-0000-0000-0000402B0000}"/>
    <cellStyle name="SAPBEXexcGood1 5 3 2 2" xfId="24074" xr:uid="{00000000-0005-0000-0000-0000412B0000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4" xfId="4633" xr:uid="{00000000-0005-0000-0000-00004D2B0000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2" xfId="705" xr:uid="{00000000-0005-0000-0000-0000632B0000}"/>
    <cellStyle name="SAPBEXexcGood1 6 2 10" xfId="22380" xr:uid="{00000000-0005-0000-0000-0000642B0000}"/>
    <cellStyle name="SAPBEXexcGood1 6 2 2" xfId="2876" xr:uid="{00000000-0005-0000-0000-0000652B0000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2" xfId="8047" xr:uid="{00000000-0005-0000-0000-0000882B0000}"/>
    <cellStyle name="SAPBEXexcGood1 6 3 2 2" xfId="24076" xr:uid="{00000000-0005-0000-0000-0000892B0000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4" xfId="4631" xr:uid="{00000000-0005-0000-0000-0000952B0000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2" xfId="707" xr:uid="{00000000-0005-0000-0000-0000AB2B0000}"/>
    <cellStyle name="SAPBEXexcGood1 7 2 10" xfId="22382" xr:uid="{00000000-0005-0000-0000-0000AC2B0000}"/>
    <cellStyle name="SAPBEXexcGood1 7 2 2" xfId="2878" xr:uid="{00000000-0005-0000-0000-0000AD2B0000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2" xfId="8049" xr:uid="{00000000-0005-0000-0000-0000D02B0000}"/>
    <cellStyle name="SAPBEXexcGood1 7 3 2 2" xfId="24078" xr:uid="{00000000-0005-0000-0000-0000D12B0000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4" xfId="4629" xr:uid="{00000000-0005-0000-0000-0000DD2B0000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2" xfId="709" xr:uid="{00000000-0005-0000-0000-0000F32B0000}"/>
    <cellStyle name="SAPBEXexcGood1 8 2 2" xfId="5547" xr:uid="{00000000-0005-0000-0000-0000F42B0000}"/>
    <cellStyle name="SAPBEXexcGood1 8 2 2 2" xfId="37154" xr:uid="{00000000-0005-0000-0000-0000F52B0000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3" xfId="2879" xr:uid="{00000000-0005-0000-0000-0000FC2B0000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2" xfId="2880" xr:uid="{00000000-0005-0000-0000-00001F2C0000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2" xfId="2881" xr:uid="{00000000-0005-0000-0000-00004A2C0000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2" xfId="2882" xr:uid="{00000000-0005-0000-0000-00006E2C0000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2" xfId="4623" xr:uid="{00000000-0005-0000-0000-0000912C0000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3" xfId="2884" xr:uid="{00000000-0005-0000-0000-0000A82C0000}"/>
    <cellStyle name="SAPBEXexcGood2 13 2" xfId="4622" xr:uid="{00000000-0005-0000-0000-0000A92C0000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4" xfId="2885" xr:uid="{00000000-0005-0000-0000-0000C02C0000}"/>
    <cellStyle name="SAPBEXexcGood2 14 2" xfId="4621" xr:uid="{00000000-0005-0000-0000-0000C12C0000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5" xfId="2886" xr:uid="{00000000-0005-0000-0000-0000D82C0000}"/>
    <cellStyle name="SAPBEXexcGood2 15 2" xfId="4620" xr:uid="{00000000-0005-0000-0000-0000D92C0000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6" xfId="2887" xr:uid="{00000000-0005-0000-0000-0000F02C0000}"/>
    <cellStyle name="SAPBEXexcGood2 16 2" xfId="4619" xr:uid="{00000000-0005-0000-0000-0000F12C0000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7" xfId="2888" xr:uid="{00000000-0005-0000-0000-0000082D0000}"/>
    <cellStyle name="SAPBEXexcGood2 17 2" xfId="4618" xr:uid="{00000000-0005-0000-0000-0000092D0000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8" xfId="4903" xr:uid="{00000000-0005-0000-0000-0000202D0000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2" xfId="2890" xr:uid="{00000000-0005-0000-0000-0000382D0000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3" xfId="4616" xr:uid="{00000000-0005-0000-0000-0000462D0000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3" xfId="714" xr:uid="{00000000-0005-0000-0000-0000992D0000}"/>
    <cellStyle name="SAPBEXexcGood2 3 2" xfId="715" xr:uid="{00000000-0005-0000-0000-00009A2D0000}"/>
    <cellStyle name="SAPBEXexcGood2 3 2 2" xfId="4614" xr:uid="{00000000-0005-0000-0000-00009B2D0000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3" xfId="4615" xr:uid="{00000000-0005-0000-0000-0000B22D0000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2" xfId="2893" xr:uid="{00000000-0005-0000-0000-0000CE2D0000}"/>
    <cellStyle name="SAPBEXexcGood2 4 2 2" xfId="4612" xr:uid="{00000000-0005-0000-0000-0000CF2D0000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3" xfId="2892" xr:uid="{00000000-0005-0000-0000-0000E62D000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4" xfId="4613" xr:uid="{00000000-0005-0000-0000-0000F42D0000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2" xfId="718" xr:uid="{00000000-0005-0000-0000-00000E2E0000}"/>
    <cellStyle name="SAPBEXexcGood2 5 2 10" xfId="22388" xr:uid="{00000000-0005-0000-0000-00000F2E0000}"/>
    <cellStyle name="SAPBEXexcGood2 5 2 2" xfId="2895" xr:uid="{00000000-0005-0000-0000-0000102E0000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2" xfId="8066" xr:uid="{00000000-0005-0000-0000-0000332E0000}"/>
    <cellStyle name="SAPBEXexcGood2 5 3 2 2" xfId="24095" xr:uid="{00000000-0005-0000-0000-0000342E0000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4" xfId="4611" xr:uid="{00000000-0005-0000-0000-0000402E0000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2" xfId="720" xr:uid="{00000000-0005-0000-0000-0000562E0000}"/>
    <cellStyle name="SAPBEXexcGood2 6 2 10" xfId="22390" xr:uid="{00000000-0005-0000-0000-0000572E0000}"/>
    <cellStyle name="SAPBEXexcGood2 6 2 2" xfId="2897" xr:uid="{00000000-0005-0000-0000-0000582E0000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2" xfId="8068" xr:uid="{00000000-0005-0000-0000-00007B2E0000}"/>
    <cellStyle name="SAPBEXexcGood2 6 3 2 2" xfId="24097" xr:uid="{00000000-0005-0000-0000-00007C2E0000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4" xfId="4609" xr:uid="{00000000-0005-0000-0000-0000882E0000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2" xfId="722" xr:uid="{00000000-0005-0000-0000-00009E2E0000}"/>
    <cellStyle name="SAPBEXexcGood2 7 2 10" xfId="22392" xr:uid="{00000000-0005-0000-0000-00009F2E0000}"/>
    <cellStyle name="SAPBEXexcGood2 7 2 2" xfId="2899" xr:uid="{00000000-0005-0000-0000-0000A02E0000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2" xfId="8070" xr:uid="{00000000-0005-0000-0000-0000C32E0000}"/>
    <cellStyle name="SAPBEXexcGood2 7 3 2 2" xfId="24099" xr:uid="{00000000-0005-0000-0000-0000C42E000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4" xfId="4607" xr:uid="{00000000-0005-0000-0000-0000D02E0000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2" xfId="724" xr:uid="{00000000-0005-0000-0000-0000E62E0000}"/>
    <cellStyle name="SAPBEXexcGood2 8 2 2" xfId="5535" xr:uid="{00000000-0005-0000-0000-0000E72E0000}"/>
    <cellStyle name="SAPBEXexcGood2 8 2 2 2" xfId="37145" xr:uid="{00000000-0005-0000-0000-0000E82E0000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3" xfId="2900" xr:uid="{00000000-0005-0000-0000-0000EF2E0000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2" xfId="2901" xr:uid="{00000000-0005-0000-0000-0000122F0000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2" xfId="2902" xr:uid="{00000000-0005-0000-0000-00003D2F0000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2" xfId="2903" xr:uid="{00000000-0005-0000-0000-0000612F0000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2" xfId="4601" xr:uid="{00000000-0005-0000-0000-0000842F0000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3" xfId="2905" xr:uid="{00000000-0005-0000-0000-00009B2F0000}"/>
    <cellStyle name="SAPBEXexcGood3 13 2" xfId="4600" xr:uid="{00000000-0005-0000-0000-00009C2F0000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4" xfId="2906" xr:uid="{00000000-0005-0000-0000-0000B32F0000}"/>
    <cellStyle name="SAPBEXexcGood3 14 2" xfId="4599" xr:uid="{00000000-0005-0000-0000-0000B42F0000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5" xfId="2907" xr:uid="{00000000-0005-0000-0000-0000CB2F0000}"/>
    <cellStyle name="SAPBEXexcGood3 15 2" xfId="4598" xr:uid="{00000000-0005-0000-0000-0000CC2F000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6" xfId="2908" xr:uid="{00000000-0005-0000-0000-0000E32F0000}"/>
    <cellStyle name="SAPBEXexcGood3 16 2" xfId="4597" xr:uid="{00000000-0005-0000-0000-0000E42F0000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7" xfId="2909" xr:uid="{00000000-0005-0000-0000-0000FB2F0000}"/>
    <cellStyle name="SAPBEXexcGood3 17 2" xfId="4596" xr:uid="{00000000-0005-0000-0000-0000FC2F0000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8" xfId="4902" xr:uid="{00000000-0005-0000-0000-000013300000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2" xfId="2911" xr:uid="{00000000-0005-0000-0000-00002B300000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3" xfId="4594" xr:uid="{00000000-0005-0000-0000-000039300000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3" xfId="729" xr:uid="{00000000-0005-0000-0000-00008C300000}"/>
    <cellStyle name="SAPBEXexcGood3 3 2" xfId="730" xr:uid="{00000000-0005-0000-0000-00008D300000}"/>
    <cellStyle name="SAPBEXexcGood3 3 2 2" xfId="4592" xr:uid="{00000000-0005-0000-0000-00008E300000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3" xfId="4593" xr:uid="{00000000-0005-0000-0000-0000A5300000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2" xfId="2914" xr:uid="{00000000-0005-0000-0000-0000C1300000}"/>
    <cellStyle name="SAPBEXexcGood3 4 2 2" xfId="4590" xr:uid="{00000000-0005-0000-0000-0000C2300000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3" xfId="2913" xr:uid="{00000000-0005-0000-0000-0000D9300000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4" xfId="4591" xr:uid="{00000000-0005-0000-0000-0000E7300000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2" xfId="733" xr:uid="{00000000-0005-0000-0000-000001310000}"/>
    <cellStyle name="SAPBEXexcGood3 5 2 10" xfId="22398" xr:uid="{00000000-0005-0000-0000-000002310000}"/>
    <cellStyle name="SAPBEXexcGood3 5 2 2" xfId="2916" xr:uid="{00000000-0005-0000-0000-000003310000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2" xfId="8087" xr:uid="{00000000-0005-0000-0000-000026310000}"/>
    <cellStyle name="SAPBEXexcGood3 5 3 2 2" xfId="24116" xr:uid="{00000000-0005-0000-0000-000027310000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4" xfId="4589" xr:uid="{00000000-0005-0000-0000-000033310000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2" xfId="735" xr:uid="{00000000-0005-0000-0000-000049310000}"/>
    <cellStyle name="SAPBEXexcGood3 6 2 10" xfId="22400" xr:uid="{00000000-0005-0000-0000-00004A310000}"/>
    <cellStyle name="SAPBEXexcGood3 6 2 2" xfId="2918" xr:uid="{00000000-0005-0000-0000-00004B310000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2" xfId="8089" xr:uid="{00000000-0005-0000-0000-00006E310000}"/>
    <cellStyle name="SAPBEXexcGood3 6 3 2 2" xfId="24118" xr:uid="{00000000-0005-0000-0000-00006F310000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4" xfId="4587" xr:uid="{00000000-0005-0000-0000-00007B310000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2" xfId="737" xr:uid="{00000000-0005-0000-0000-000091310000}"/>
    <cellStyle name="SAPBEXexcGood3 7 2 10" xfId="22402" xr:uid="{00000000-0005-0000-0000-000092310000}"/>
    <cellStyle name="SAPBEXexcGood3 7 2 2" xfId="2920" xr:uid="{00000000-0005-0000-0000-000093310000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2" xfId="8091" xr:uid="{00000000-0005-0000-0000-0000B6310000}"/>
    <cellStyle name="SAPBEXexcGood3 7 3 2 2" xfId="24120" xr:uid="{00000000-0005-0000-0000-0000B7310000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4" xfId="4585" xr:uid="{00000000-0005-0000-0000-0000C3310000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2" xfId="739" xr:uid="{00000000-0005-0000-0000-0000D9310000}"/>
    <cellStyle name="SAPBEXexcGood3 8 2 2" xfId="5520" xr:uid="{00000000-0005-0000-0000-0000DA310000}"/>
    <cellStyle name="SAPBEXexcGood3 8 2 2 2" xfId="37690" xr:uid="{00000000-0005-0000-0000-0000DB310000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3" xfId="2921" xr:uid="{00000000-0005-0000-0000-0000E2310000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2" xfId="2922" xr:uid="{00000000-0005-0000-0000-000005320000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2" xfId="742" xr:uid="{00000000-0005-0000-0000-000046320000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3" xfId="1829" xr:uid="{00000000-0005-0000-0000-000054320000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4" xfId="744" xr:uid="{00000000-0005-0000-0000-000073320000}"/>
    <cellStyle name="SAPBEXfilterDrill 4 10" xfId="37983" xr:uid="{00000000-0005-0000-0000-000074320000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2" xfId="756" xr:uid="{00000000-0005-0000-0000-0000D9320000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3" xfId="5504" xr:uid="{00000000-0005-0000-0000-0000E6320000}"/>
    <cellStyle name="SAPBEXfilterItem 2 3 2" xfId="22709" xr:uid="{00000000-0005-0000-0000-0000E7320000}"/>
    <cellStyle name="SAPBEXfilterItem 2 4" xfId="7309" xr:uid="{00000000-0005-0000-0000-0000E8320000}"/>
    <cellStyle name="SAPBEXfilterItem 2 4 2" xfId="23526" xr:uid="{00000000-0005-0000-0000-0000E9320000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5" xfId="760" xr:uid="{00000000-0005-0000-0000-00000A330000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4" xfId="37906" xr:uid="{00000000-0005-0000-0000-00001B330000}"/>
    <cellStyle name="SAPBEXfilterText 3" xfId="764" xr:uid="{00000000-0005-0000-0000-00001C330000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2" xfId="2923" xr:uid="{00000000-0005-0000-0000-00003A330000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2" xfId="2924" xr:uid="{00000000-0005-0000-0000-00005E330000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2" xfId="4579" xr:uid="{00000000-0005-0000-0000-000081330000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3" xfId="2926" xr:uid="{00000000-0005-0000-0000-000098330000}"/>
    <cellStyle name="SAPBEXformats 13 2" xfId="4578" xr:uid="{00000000-0005-0000-0000-000099330000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4" xfId="2927" xr:uid="{00000000-0005-0000-0000-0000B0330000}"/>
    <cellStyle name="SAPBEXformats 14 2" xfId="4577" xr:uid="{00000000-0005-0000-0000-0000B1330000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5" xfId="2928" xr:uid="{00000000-0005-0000-0000-0000C8330000}"/>
    <cellStyle name="SAPBEXformats 15 2" xfId="4576" xr:uid="{00000000-0005-0000-0000-0000C9330000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6" xfId="2929" xr:uid="{00000000-0005-0000-0000-0000E0330000}"/>
    <cellStyle name="SAPBEXformats 16 2" xfId="4575" xr:uid="{00000000-0005-0000-0000-0000E1330000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7" xfId="2930" xr:uid="{00000000-0005-0000-0000-0000F8330000}"/>
    <cellStyle name="SAPBEXformats 17 2" xfId="4574" xr:uid="{00000000-0005-0000-0000-0000F9330000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8" xfId="2912" xr:uid="{00000000-0005-0000-0000-000010340000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2" xfId="770" xr:uid="{00000000-0005-0000-0000-000029340000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3" xfId="2932" xr:uid="{00000000-0005-0000-0000-000037340000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4" xfId="4572" xr:uid="{00000000-0005-0000-0000-000045340000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3" xfId="771" xr:uid="{00000000-0005-0000-0000-000096340000}"/>
    <cellStyle name="SAPBEXformats 3 2" xfId="772" xr:uid="{00000000-0005-0000-0000-000097340000}"/>
    <cellStyle name="SAPBEXformats 3 2 2" xfId="4570" xr:uid="{00000000-0005-0000-0000-000098340000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3" xfId="4571" xr:uid="{00000000-0005-0000-0000-0000AF340000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2" xfId="2934" xr:uid="{00000000-0005-0000-0000-0000D1340000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3" xfId="3156" xr:uid="{00000000-0005-0000-0000-0000DF340000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2" xfId="777" xr:uid="{00000000-0005-0000-0000-00002E350000}"/>
    <cellStyle name="SAPBEXformats 5 2 10" xfId="22425" xr:uid="{00000000-0005-0000-0000-00002F350000}"/>
    <cellStyle name="SAPBEXformats 5 2 2" xfId="2936" xr:uid="{00000000-0005-0000-0000-000030350000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2" xfId="8107" xr:uid="{00000000-0005-0000-0000-000054350000}"/>
    <cellStyle name="SAPBEXformats 5 3 2 2" xfId="24136" xr:uid="{00000000-0005-0000-0000-000055350000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2" xfId="779" xr:uid="{00000000-0005-0000-0000-000078350000}"/>
    <cellStyle name="SAPBEXformats 6 2 10" xfId="22427" xr:uid="{00000000-0005-0000-0000-000079350000}"/>
    <cellStyle name="SAPBEXformats 6 2 2" xfId="2938" xr:uid="{00000000-0005-0000-0000-00007A350000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2" xfId="8109" xr:uid="{00000000-0005-0000-0000-00009D350000}"/>
    <cellStyle name="SAPBEXformats 6 3 2 2" xfId="24138" xr:uid="{00000000-0005-0000-0000-00009E350000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4" xfId="4567" xr:uid="{00000000-0005-0000-0000-0000AA350000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2" xfId="781" xr:uid="{00000000-0005-0000-0000-0000C0350000}"/>
    <cellStyle name="SAPBEXformats 7 2 10" xfId="22429" xr:uid="{00000000-0005-0000-0000-0000C1350000}"/>
    <cellStyle name="SAPBEXformats 7 2 2" xfId="2940" xr:uid="{00000000-0005-0000-0000-0000C2350000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2" xfId="8111" xr:uid="{00000000-0005-0000-0000-0000E5350000}"/>
    <cellStyle name="SAPBEXformats 7 3 2 2" xfId="24140" xr:uid="{00000000-0005-0000-0000-0000E6350000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4" xfId="3163" xr:uid="{00000000-0005-0000-0000-0000F2350000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2" xfId="783" xr:uid="{00000000-0005-0000-0000-000008360000}"/>
    <cellStyle name="SAPBEXformats 8 2 2" xfId="5480" xr:uid="{00000000-0005-0000-0000-000009360000}"/>
    <cellStyle name="SAPBEXformats 8 2 2 2" xfId="37608" xr:uid="{00000000-0005-0000-0000-00000A360000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3" xfId="2941" xr:uid="{00000000-0005-0000-0000-000011360000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2" xfId="2942" xr:uid="{00000000-0005-0000-0000-000034360000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2" xfId="788" xr:uid="{00000000-0005-0000-0000-000077360000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4" xfId="1846" xr:uid="{00000000-0005-0000-0000-00008F360000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5" xfId="37907" xr:uid="{00000000-0005-0000-0000-0000A2360000}"/>
    <cellStyle name="SAPBEXheaderItem 4" xfId="791" xr:uid="{00000000-0005-0000-0000-0000A3360000}"/>
    <cellStyle name="SAPBEXheaderItem 4 10" xfId="38005" xr:uid="{00000000-0005-0000-0000-0000A4360000}"/>
    <cellStyle name="SAPBEXheaderItem 4 2" xfId="792" xr:uid="{00000000-0005-0000-0000-0000A5360000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2" xfId="805" xr:uid="{00000000-0005-0000-0000-00003B370000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4" xfId="1850" xr:uid="{00000000-0005-0000-0000-000053370000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5" xfId="37908" xr:uid="{00000000-0005-0000-0000-000066370000}"/>
    <cellStyle name="SAPBEXheaderText 4" xfId="808" xr:uid="{00000000-0005-0000-0000-000067370000}"/>
    <cellStyle name="SAPBEXheaderText 4 10" xfId="38019" xr:uid="{00000000-0005-0000-0000-000068370000}"/>
    <cellStyle name="SAPBEXheaderText 4 2" xfId="809" xr:uid="{00000000-0005-0000-0000-000069370000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2" xfId="2946" xr:uid="{00000000-0005-0000-0000-0000E9370000}"/>
    <cellStyle name="SAPBEXHLevel0 10 2 2" xfId="4562" xr:uid="{00000000-0005-0000-0000-0000EA370000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3" xfId="2945" xr:uid="{00000000-0005-0000-0000-000001380000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2" xfId="2947" xr:uid="{00000000-0005-0000-0000-000023380000}"/>
    <cellStyle name="SAPBEXHLevel0 11 2 2" xfId="4560" xr:uid="{00000000-0005-0000-0000-000024380000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3" xfId="4561" xr:uid="{00000000-0005-0000-0000-00003B380000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2" xfId="4559" xr:uid="{00000000-0005-0000-0000-000054380000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3" xfId="2949" xr:uid="{00000000-0005-0000-0000-00006B380000}"/>
    <cellStyle name="SAPBEXHLevel0 13 2" xfId="4558" xr:uid="{00000000-0005-0000-0000-00006C380000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4" xfId="2950" xr:uid="{00000000-0005-0000-0000-000083380000}"/>
    <cellStyle name="SAPBEXHLevel0 14 2" xfId="4557" xr:uid="{00000000-0005-0000-0000-000084380000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5" xfId="2951" xr:uid="{00000000-0005-0000-0000-00009B380000}"/>
    <cellStyle name="SAPBEXHLevel0 15 2" xfId="4556" xr:uid="{00000000-0005-0000-0000-00009C380000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6" xfId="2952" xr:uid="{00000000-0005-0000-0000-0000B3380000}"/>
    <cellStyle name="SAPBEXHLevel0 16 2" xfId="4555" xr:uid="{00000000-0005-0000-0000-0000B4380000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7" xfId="2953" xr:uid="{00000000-0005-0000-0000-0000CB380000}"/>
    <cellStyle name="SAPBEXHLevel0 17 2" xfId="4554" xr:uid="{00000000-0005-0000-0000-0000CC380000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8" xfId="2954" xr:uid="{00000000-0005-0000-0000-0000E3380000}"/>
    <cellStyle name="SAPBEXHLevel0 18 2" xfId="4553" xr:uid="{00000000-0005-0000-0000-0000E4380000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9" xfId="2955" xr:uid="{00000000-0005-0000-0000-0000FB380000}"/>
    <cellStyle name="SAPBEXHLevel0 19 2" xfId="4552" xr:uid="{00000000-0005-0000-0000-0000FC380000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2" xfId="819" xr:uid="{00000000-0005-0000-0000-000013390000}"/>
    <cellStyle name="SAPBEXHLevel0 2 10" xfId="2957" xr:uid="{00000000-0005-0000-0000-000014390000}"/>
    <cellStyle name="SAPBEXHLevel0 2 10 2" xfId="4550" xr:uid="{00000000-0005-0000-0000-00001539000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1" xfId="2958" xr:uid="{00000000-0005-0000-0000-00002C390000}"/>
    <cellStyle name="SAPBEXHLevel0 2 11 2" xfId="4549" xr:uid="{00000000-0005-0000-0000-00002D390000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2" xfId="2959" xr:uid="{00000000-0005-0000-0000-000044390000}"/>
    <cellStyle name="SAPBEXHLevel0 2 12 2" xfId="4548" xr:uid="{00000000-0005-0000-0000-000045390000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3" xfId="2960" xr:uid="{00000000-0005-0000-0000-00005C390000}"/>
    <cellStyle name="SAPBEXHLevel0 2 13 2" xfId="3194" xr:uid="{00000000-0005-0000-0000-00005D390000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4" xfId="2961" xr:uid="{00000000-0005-0000-0000-000074390000}"/>
    <cellStyle name="SAPBEXHLevel0 2 14 2" xfId="2130" xr:uid="{00000000-0005-0000-0000-000075390000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5" xfId="2962" xr:uid="{00000000-0005-0000-0000-00008C390000}"/>
    <cellStyle name="SAPBEXHLevel0 2 15 2" xfId="3268" xr:uid="{00000000-0005-0000-0000-00008D390000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6" xfId="2963" xr:uid="{00000000-0005-0000-0000-0000A4390000}"/>
    <cellStyle name="SAPBEXHLevel0 2 16 2" xfId="3270" xr:uid="{00000000-0005-0000-0000-0000A5390000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7" xfId="2956" xr:uid="{00000000-0005-0000-0000-0000BC390000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2" xfId="821" xr:uid="{00000000-0005-0000-0000-0000DD390000}"/>
    <cellStyle name="SAPBEXHLevel0 2 2 2 10" xfId="5040" xr:uid="{00000000-0005-0000-0000-0000DE390000}"/>
    <cellStyle name="SAPBEXHLevel0 2 2 2 2" xfId="2965" xr:uid="{00000000-0005-0000-0000-0000DF390000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3" xfId="4547" xr:uid="{00000000-0005-0000-0000-0000ED390000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4" xfId="3273" xr:uid="{00000000-0005-0000-0000-0000143A0000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2" xfId="2967" xr:uid="{00000000-0005-0000-0000-0000353A0000}"/>
    <cellStyle name="SAPBEXHLevel0 2 3 2 2" xfId="4545" xr:uid="{00000000-0005-0000-0000-0000363A0000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3" xfId="2966" xr:uid="{00000000-0005-0000-0000-00004D3A0000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2" xfId="2969" xr:uid="{00000000-0005-0000-0000-0000713A0000}"/>
    <cellStyle name="SAPBEXHLevel0 2 4 2 2" xfId="4543" xr:uid="{00000000-0005-0000-0000-0000723A0000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3" xfId="2968" xr:uid="{00000000-0005-0000-0000-0000893A0000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2" xfId="2971" xr:uid="{00000000-0005-0000-0000-0000AB3A0000}"/>
    <cellStyle name="SAPBEXHLevel0 2 5 2 2" xfId="4541" xr:uid="{00000000-0005-0000-0000-0000AC3A0000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3" xfId="4542" xr:uid="{00000000-0005-0000-0000-0000C33A0000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6" xfId="2972" xr:uid="{00000000-0005-0000-0000-0000DA3A0000}"/>
    <cellStyle name="SAPBEXHLevel0 2 6 2" xfId="2973" xr:uid="{00000000-0005-0000-0000-0000DB3A0000}"/>
    <cellStyle name="SAPBEXHLevel0 2 6 2 2" xfId="4539" xr:uid="{00000000-0005-0000-0000-0000DC3A0000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3" xfId="4540" xr:uid="{00000000-0005-0000-0000-0000F33A0000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7" xfId="2974" xr:uid="{00000000-0005-0000-0000-00000A3B0000}"/>
    <cellStyle name="SAPBEXHLevel0 2 7 2" xfId="2975" xr:uid="{00000000-0005-0000-0000-00000B3B0000}"/>
    <cellStyle name="SAPBEXHLevel0 2 7 2 2" xfId="4537" xr:uid="{00000000-0005-0000-0000-00000C3B0000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3" xfId="4538" xr:uid="{00000000-0005-0000-0000-0000233B0000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8" xfId="2976" xr:uid="{00000000-0005-0000-0000-00003A3B0000}"/>
    <cellStyle name="SAPBEXHLevel0 2 8 2" xfId="4536" xr:uid="{00000000-0005-0000-0000-00003B3B0000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9" xfId="2977" xr:uid="{00000000-0005-0000-0000-0000523B0000}"/>
    <cellStyle name="SAPBEXHLevel0 2 9 2" xfId="4535" xr:uid="{00000000-0005-0000-0000-0000533B0000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0" xfId="2978" xr:uid="{00000000-0005-0000-0000-00006A3B0000}"/>
    <cellStyle name="SAPBEXHLevel0 20 2" xfId="4534" xr:uid="{00000000-0005-0000-0000-00006B3B0000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1" xfId="2126" xr:uid="{00000000-0005-0000-0000-0000823B0000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2" xfId="5257" xr:uid="{00000000-0005-0000-0000-00008F3B0000}"/>
    <cellStyle name="SAPBEXHLevel0 22 2" xfId="22568" xr:uid="{00000000-0005-0000-0000-0000903B0000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3" xfId="822" xr:uid="{00000000-0005-0000-0000-0000993B0000}"/>
    <cellStyle name="SAPBEXHLevel0 3 10" xfId="2979" xr:uid="{00000000-0005-0000-0000-00009A3B0000}"/>
    <cellStyle name="SAPBEXHLevel0 3 10 2" xfId="4532" xr:uid="{00000000-0005-0000-0000-00009B3B0000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1" xfId="2980" xr:uid="{00000000-0005-0000-0000-0000B23B0000}"/>
    <cellStyle name="SAPBEXHLevel0 3 11 2" xfId="4531" xr:uid="{00000000-0005-0000-0000-0000B33B0000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2" xfId="2981" xr:uid="{00000000-0005-0000-0000-0000CA3B0000}"/>
    <cellStyle name="SAPBEXHLevel0 3 12 2" xfId="4530" xr:uid="{00000000-0005-0000-0000-0000CB3B000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3" xfId="2982" xr:uid="{00000000-0005-0000-0000-0000E23B0000}"/>
    <cellStyle name="SAPBEXHLevel0 3 13 2" xfId="4529" xr:uid="{00000000-0005-0000-0000-0000E33B0000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4" xfId="2983" xr:uid="{00000000-0005-0000-0000-0000FA3B0000}"/>
    <cellStyle name="SAPBEXHLevel0 3 14 2" xfId="4528" xr:uid="{00000000-0005-0000-0000-0000FB3B0000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5" xfId="2984" xr:uid="{00000000-0005-0000-0000-0000123C0000}"/>
    <cellStyle name="SAPBEXHLevel0 3 15 2" xfId="4527" xr:uid="{00000000-0005-0000-0000-0000133C0000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6" xfId="2985" xr:uid="{00000000-0005-0000-0000-00002A3C0000}"/>
    <cellStyle name="SAPBEXHLevel0 3 16 2" xfId="4526" xr:uid="{00000000-0005-0000-0000-00002B3C000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7" xfId="4533" xr:uid="{00000000-0005-0000-0000-0000423C0000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2" xfId="2987" xr:uid="{00000000-0005-0000-0000-0000543C0000}"/>
    <cellStyle name="SAPBEXHLevel0 3 2 2 2" xfId="3297" xr:uid="{00000000-0005-0000-0000-0000553C0000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3" xfId="4525" xr:uid="{00000000-0005-0000-0000-00006C3C0000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3" xfId="2988" xr:uid="{00000000-0005-0000-0000-00008A3C0000}"/>
    <cellStyle name="SAPBEXHLevel0 3 3 2" xfId="2989" xr:uid="{00000000-0005-0000-0000-00008B3C0000}"/>
    <cellStyle name="SAPBEXHLevel0 3 3 2 2" xfId="4523" xr:uid="{00000000-0005-0000-0000-00008C3C0000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3" xfId="4524" xr:uid="{00000000-0005-0000-0000-0000A33C0000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4" xfId="2990" xr:uid="{00000000-0005-0000-0000-0000BA3C0000}"/>
    <cellStyle name="SAPBEXHLevel0 3 4 2" xfId="2991" xr:uid="{00000000-0005-0000-0000-0000BB3C0000}"/>
    <cellStyle name="SAPBEXHLevel0 3 4 2 2" xfId="4521" xr:uid="{00000000-0005-0000-0000-0000BC3C000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3" xfId="4522" xr:uid="{00000000-0005-0000-0000-0000D33C0000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5" xfId="2992" xr:uid="{00000000-0005-0000-0000-0000EA3C0000}"/>
    <cellStyle name="SAPBEXHLevel0 3 5 2" xfId="2993" xr:uid="{00000000-0005-0000-0000-0000EB3C0000}"/>
    <cellStyle name="SAPBEXHLevel0 3 5 2 2" xfId="4519" xr:uid="{00000000-0005-0000-0000-0000EC3C0000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3" xfId="4520" xr:uid="{00000000-0005-0000-0000-0000033D0000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6" xfId="2994" xr:uid="{00000000-0005-0000-0000-00001A3D0000}"/>
    <cellStyle name="SAPBEXHLevel0 3 6 2" xfId="2995" xr:uid="{00000000-0005-0000-0000-00001B3D0000}"/>
    <cellStyle name="SAPBEXHLevel0 3 6 2 2" xfId="4517" xr:uid="{00000000-0005-0000-0000-00001C3D0000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3" xfId="4518" xr:uid="{00000000-0005-0000-0000-0000333D0000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7" xfId="2996" xr:uid="{00000000-0005-0000-0000-00004A3D0000}"/>
    <cellStyle name="SAPBEXHLevel0 3 7 2" xfId="2997" xr:uid="{00000000-0005-0000-0000-00004B3D0000}"/>
    <cellStyle name="SAPBEXHLevel0 3 7 2 2" xfId="4515" xr:uid="{00000000-0005-0000-0000-00004C3D0000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3" xfId="4516" xr:uid="{00000000-0005-0000-0000-0000633D0000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8" xfId="2998" xr:uid="{00000000-0005-0000-0000-00007A3D0000}"/>
    <cellStyle name="SAPBEXHLevel0 3 8 2" xfId="4514" xr:uid="{00000000-0005-0000-0000-00007B3D0000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9" xfId="2999" xr:uid="{00000000-0005-0000-0000-0000923D0000}"/>
    <cellStyle name="SAPBEXHLevel0 3 9 2" xfId="4513" xr:uid="{00000000-0005-0000-0000-0000933D0000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4" xfId="823" xr:uid="{00000000-0005-0000-0000-0000AA3D0000}"/>
    <cellStyle name="SAPBEXHLevel0 4 10" xfId="3001" xr:uid="{00000000-0005-0000-0000-0000AB3D0000}"/>
    <cellStyle name="SAPBEXHLevel0 4 10 2" xfId="4511" xr:uid="{00000000-0005-0000-0000-0000AC3D0000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1" xfId="3002" xr:uid="{00000000-0005-0000-0000-0000C33D0000}"/>
    <cellStyle name="SAPBEXHLevel0 4 11 2" xfId="4510" xr:uid="{00000000-0005-0000-0000-0000C43D0000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2" xfId="3003" xr:uid="{00000000-0005-0000-0000-0000DB3D0000}"/>
    <cellStyle name="SAPBEXHLevel0 4 12 2" xfId="4509" xr:uid="{00000000-0005-0000-0000-0000DC3D0000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3" xfId="3004" xr:uid="{00000000-0005-0000-0000-0000F33D0000}"/>
    <cellStyle name="SAPBEXHLevel0 4 13 2" xfId="4508" xr:uid="{00000000-0005-0000-0000-0000F43D0000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4" xfId="3005" xr:uid="{00000000-0005-0000-0000-00000B3E0000}"/>
    <cellStyle name="SAPBEXHLevel0 4 14 2" xfId="4507" xr:uid="{00000000-0005-0000-0000-00000C3E0000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5" xfId="3006" xr:uid="{00000000-0005-0000-0000-0000233E0000}"/>
    <cellStyle name="SAPBEXHLevel0 4 15 2" xfId="4506" xr:uid="{00000000-0005-0000-0000-0000243E0000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6" xfId="3007" xr:uid="{00000000-0005-0000-0000-00003B3E0000}"/>
    <cellStyle name="SAPBEXHLevel0 4 16 2" xfId="4505" xr:uid="{00000000-0005-0000-0000-00003C3E0000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7" xfId="3000" xr:uid="{00000000-0005-0000-0000-0000533E0000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2" xfId="3009" xr:uid="{00000000-0005-0000-0000-0000753E0000}"/>
    <cellStyle name="SAPBEXHLevel0 4 2 2 2" xfId="4503" xr:uid="{00000000-0005-0000-0000-0000763E0000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3" xfId="3008" xr:uid="{00000000-0005-0000-0000-00008D3E0000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4" xfId="4504" xr:uid="{00000000-0005-0000-0000-00009B3E0000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2" xfId="3011" xr:uid="{00000000-0005-0000-0000-0000C33E0000}"/>
    <cellStyle name="SAPBEXHLevel0 4 3 2 2" xfId="3305" xr:uid="{00000000-0005-0000-0000-0000C43E0000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3" xfId="3010" xr:uid="{00000000-0005-0000-0000-0000DB3E0000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2" xfId="3013" xr:uid="{00000000-0005-0000-0000-0000013F0000}"/>
    <cellStyle name="SAPBEXHLevel0 4 4 2 2" xfId="4500" xr:uid="{00000000-0005-0000-0000-0000023F0000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3" xfId="4501" xr:uid="{00000000-0005-0000-0000-0000193F0000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5" xfId="3014" xr:uid="{00000000-0005-0000-0000-0000303F0000}"/>
    <cellStyle name="SAPBEXHLevel0 4 5 2" xfId="3015" xr:uid="{00000000-0005-0000-0000-0000313F0000}"/>
    <cellStyle name="SAPBEXHLevel0 4 5 2 2" xfId="4498" xr:uid="{00000000-0005-0000-0000-0000323F0000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3" xfId="4499" xr:uid="{00000000-0005-0000-0000-0000493F0000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6" xfId="3016" xr:uid="{00000000-0005-0000-0000-0000603F0000}"/>
    <cellStyle name="SAPBEXHLevel0 4 6 2" xfId="3017" xr:uid="{00000000-0005-0000-0000-0000613F0000}"/>
    <cellStyle name="SAPBEXHLevel0 4 6 2 2" xfId="4496" xr:uid="{00000000-0005-0000-0000-0000623F0000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3" xfId="4497" xr:uid="{00000000-0005-0000-0000-0000793F0000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7" xfId="3018" xr:uid="{00000000-0005-0000-0000-0000903F0000}"/>
    <cellStyle name="SAPBEXHLevel0 4 7 2" xfId="3019" xr:uid="{00000000-0005-0000-0000-0000913F0000}"/>
    <cellStyle name="SAPBEXHLevel0 4 7 2 2" xfId="4494" xr:uid="{00000000-0005-0000-0000-0000923F0000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3" xfId="4495" xr:uid="{00000000-0005-0000-0000-0000A93F0000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8" xfId="3020" xr:uid="{00000000-0005-0000-0000-0000C03F0000}"/>
    <cellStyle name="SAPBEXHLevel0 4 8 2" xfId="4493" xr:uid="{00000000-0005-0000-0000-0000C13F0000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9" xfId="3021" xr:uid="{00000000-0005-0000-0000-0000D83F0000}"/>
    <cellStyle name="SAPBEXHLevel0 4 9 2" xfId="4492" xr:uid="{00000000-0005-0000-0000-0000D93F0000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5" xfId="826" xr:uid="{00000000-0005-0000-0000-0000F03F0000}"/>
    <cellStyle name="SAPBEXHLevel0 5 10" xfId="3023" xr:uid="{00000000-0005-0000-0000-0000F13F0000}"/>
    <cellStyle name="SAPBEXHLevel0 5 10 2" xfId="4490" xr:uid="{00000000-0005-0000-0000-0000F23F0000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1" xfId="3024" xr:uid="{00000000-0005-0000-0000-000009400000}"/>
    <cellStyle name="SAPBEXHLevel0 5 11 2" xfId="4489" xr:uid="{00000000-0005-0000-0000-00000A400000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2" xfId="3025" xr:uid="{00000000-0005-0000-0000-000021400000}"/>
    <cellStyle name="SAPBEXHLevel0 5 12 2" xfId="4488" xr:uid="{00000000-0005-0000-0000-000022400000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3" xfId="3026" xr:uid="{00000000-0005-0000-0000-000039400000}"/>
    <cellStyle name="SAPBEXHLevel0 5 13 2" xfId="4487" xr:uid="{00000000-0005-0000-0000-00003A40000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4" xfId="3027" xr:uid="{00000000-0005-0000-0000-000051400000}"/>
    <cellStyle name="SAPBEXHLevel0 5 14 2" xfId="4486" xr:uid="{00000000-0005-0000-0000-000052400000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5" xfId="3028" xr:uid="{00000000-0005-0000-0000-000069400000}"/>
    <cellStyle name="SAPBEXHLevel0 5 15 2" xfId="4485" xr:uid="{00000000-0005-0000-0000-00006A400000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6" xfId="3029" xr:uid="{00000000-0005-0000-0000-000081400000}"/>
    <cellStyle name="SAPBEXHLevel0 5 16 2" xfId="4484" xr:uid="{00000000-0005-0000-0000-000082400000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7" xfId="3022" xr:uid="{00000000-0005-0000-0000-000099400000}"/>
    <cellStyle name="SAPBEXHLevel0 5 17 2" xfId="8193" xr:uid="{00000000-0005-0000-0000-00009A400000}"/>
    <cellStyle name="SAPBEXHLevel0 5 17 2 2" xfId="24222" xr:uid="{00000000-0005-0000-0000-00009B400000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8" xfId="4491" xr:uid="{00000000-0005-0000-0000-0000A7400000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2" xfId="3031" xr:uid="{00000000-0005-0000-0000-0000B9400000}"/>
    <cellStyle name="SAPBEXHLevel0 5 2 2 2" xfId="4482" xr:uid="{00000000-0005-0000-0000-0000BA400000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3" xfId="3030" xr:uid="{00000000-0005-0000-0000-0000D1400000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3" xfId="3032" xr:uid="{00000000-0005-0000-0000-0000F9400000}"/>
    <cellStyle name="SAPBEXHLevel0 5 3 10" xfId="37914" xr:uid="{00000000-0005-0000-0000-0000FA400000}"/>
    <cellStyle name="SAPBEXHLevel0 5 3 2" xfId="3033" xr:uid="{00000000-0005-0000-0000-0000FB400000}"/>
    <cellStyle name="SAPBEXHLevel0 5 3 2 2" xfId="4480" xr:uid="{00000000-0005-0000-0000-0000FC400000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3" xfId="4481" xr:uid="{00000000-0005-0000-0000-000013410000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4" xfId="3034" xr:uid="{00000000-0005-0000-0000-00002B410000}"/>
    <cellStyle name="SAPBEXHLevel0 5 4 2" xfId="3035" xr:uid="{00000000-0005-0000-0000-00002C410000}"/>
    <cellStyle name="SAPBEXHLevel0 5 4 2 2" xfId="3344" xr:uid="{00000000-0005-0000-0000-00002D410000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3" xfId="4479" xr:uid="{00000000-0005-0000-0000-000044410000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5" xfId="3036" xr:uid="{00000000-0005-0000-0000-00005B410000}"/>
    <cellStyle name="SAPBEXHLevel0 5 5 2" xfId="3037" xr:uid="{00000000-0005-0000-0000-00005C410000}"/>
    <cellStyle name="SAPBEXHLevel0 5 5 2 2" xfId="4478" xr:uid="{00000000-0005-0000-0000-00005D410000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3" xfId="3345" xr:uid="{00000000-0005-0000-0000-000074410000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6" xfId="3038" xr:uid="{00000000-0005-0000-0000-00008B410000}"/>
    <cellStyle name="SAPBEXHLevel0 5 6 2" xfId="3039" xr:uid="{00000000-0005-0000-0000-00008C410000}"/>
    <cellStyle name="SAPBEXHLevel0 5 6 2 2" xfId="4476" xr:uid="{00000000-0005-0000-0000-00008D410000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3" xfId="4477" xr:uid="{00000000-0005-0000-0000-0000A4410000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7" xfId="3040" xr:uid="{00000000-0005-0000-0000-0000BB410000}"/>
    <cellStyle name="SAPBEXHLevel0 5 7 2" xfId="3041" xr:uid="{00000000-0005-0000-0000-0000BC410000}"/>
    <cellStyle name="SAPBEXHLevel0 5 7 2 2" xfId="4474" xr:uid="{00000000-0005-0000-0000-0000BD41000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3" xfId="4475" xr:uid="{00000000-0005-0000-0000-0000D4410000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8" xfId="3042" xr:uid="{00000000-0005-0000-0000-0000EB410000}"/>
    <cellStyle name="SAPBEXHLevel0 5 8 2" xfId="4473" xr:uid="{00000000-0005-0000-0000-0000EC410000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9" xfId="3043" xr:uid="{00000000-0005-0000-0000-000003420000}"/>
    <cellStyle name="SAPBEXHLevel0 5 9 2" xfId="4472" xr:uid="{00000000-0005-0000-0000-000004420000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2" xfId="829" xr:uid="{00000000-0005-0000-0000-00001E420000}"/>
    <cellStyle name="SAPBEXHLevel0 6 2 10" xfId="22456" xr:uid="{00000000-0005-0000-0000-00001F420000}"/>
    <cellStyle name="SAPBEXHLevel0 6 2 2" xfId="3045" xr:uid="{00000000-0005-0000-0000-000020420000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2" xfId="8215" xr:uid="{00000000-0005-0000-0000-000043420000}"/>
    <cellStyle name="SAPBEXHLevel0 6 3 2 2" xfId="24244" xr:uid="{00000000-0005-0000-0000-000044420000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4" xfId="4471" xr:uid="{00000000-0005-0000-0000-000050420000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2" xfId="831" xr:uid="{00000000-0005-0000-0000-000066420000}"/>
    <cellStyle name="SAPBEXHLevel0 7 2 10" xfId="22458" xr:uid="{00000000-0005-0000-0000-000067420000}"/>
    <cellStyle name="SAPBEXHLevel0 7 2 2" xfId="3047" xr:uid="{00000000-0005-0000-0000-000068420000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2" xfId="8217" xr:uid="{00000000-0005-0000-0000-00008B420000}"/>
    <cellStyle name="SAPBEXHLevel0 7 3 2 2" xfId="24246" xr:uid="{00000000-0005-0000-0000-00008C420000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4" xfId="4469" xr:uid="{00000000-0005-0000-0000-000098420000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2" xfId="833" xr:uid="{00000000-0005-0000-0000-0000AE420000}"/>
    <cellStyle name="SAPBEXHLevel0 8 2 10" xfId="22460" xr:uid="{00000000-0005-0000-0000-0000AF420000}"/>
    <cellStyle name="SAPBEXHLevel0 8 2 2" xfId="3049" xr:uid="{00000000-0005-0000-0000-0000B0420000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2" xfId="8219" xr:uid="{00000000-0005-0000-0000-0000D3420000}"/>
    <cellStyle name="SAPBEXHLevel0 8 3 2 2" xfId="24248" xr:uid="{00000000-0005-0000-0000-0000D4420000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4" xfId="4467" xr:uid="{00000000-0005-0000-0000-0000E042000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2" xfId="3051" xr:uid="{00000000-0005-0000-0000-0000F6420000}"/>
    <cellStyle name="SAPBEXHLevel0 9 2 2" xfId="4464" xr:uid="{00000000-0005-0000-0000-0000F7420000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3" xfId="3050" xr:uid="{00000000-0005-0000-0000-00000E430000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2" xfId="3052" xr:uid="{00000000-0005-0000-0000-000032430000}"/>
    <cellStyle name="SAPBEXHLevel0X 10 2 2" xfId="4462" xr:uid="{00000000-0005-0000-0000-000033430000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3" xfId="4463" xr:uid="{00000000-0005-0000-0000-00004A430000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1" xfId="1859" xr:uid="{00000000-0005-0000-0000-000061430000}"/>
    <cellStyle name="SAPBEXHLevel0X 11 2" xfId="3053" xr:uid="{00000000-0005-0000-0000-000062430000}"/>
    <cellStyle name="SAPBEXHLevel0X 11 2 2" xfId="4460" xr:uid="{00000000-0005-0000-0000-000063430000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3" xfId="4461" xr:uid="{00000000-0005-0000-0000-00007A430000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2" xfId="4459" xr:uid="{00000000-0005-0000-0000-000093430000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3" xfId="3056" xr:uid="{00000000-0005-0000-0000-0000AA430000}"/>
    <cellStyle name="SAPBEXHLevel0X 13 2" xfId="4458" xr:uid="{00000000-0005-0000-0000-0000AB430000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4" xfId="3057" xr:uid="{00000000-0005-0000-0000-0000C2430000}"/>
    <cellStyle name="SAPBEXHLevel0X 14 2" xfId="2131" xr:uid="{00000000-0005-0000-0000-0000C3430000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5" xfId="3058" xr:uid="{00000000-0005-0000-0000-0000DA430000}"/>
    <cellStyle name="SAPBEXHLevel0X 15 2" xfId="4457" xr:uid="{00000000-0005-0000-0000-0000DB430000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6" xfId="3059" xr:uid="{00000000-0005-0000-0000-0000F2430000}"/>
    <cellStyle name="SAPBEXHLevel0X 16 2" xfId="4456" xr:uid="{00000000-0005-0000-0000-0000F343000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7" xfId="3060" xr:uid="{00000000-0005-0000-0000-00000A440000}"/>
    <cellStyle name="SAPBEXHLevel0X 17 2" xfId="4455" xr:uid="{00000000-0005-0000-0000-00000B440000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8" xfId="3061" xr:uid="{00000000-0005-0000-0000-000022440000}"/>
    <cellStyle name="SAPBEXHLevel0X 18 2" xfId="4454" xr:uid="{00000000-0005-0000-0000-000023440000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9" xfId="3062" xr:uid="{00000000-0005-0000-0000-00003A440000}"/>
    <cellStyle name="SAPBEXHLevel0X 19 2" xfId="4453" xr:uid="{00000000-0005-0000-0000-00003B440000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2" xfId="835" xr:uid="{00000000-0005-0000-0000-000052440000}"/>
    <cellStyle name="SAPBEXHLevel0X 2 10" xfId="3064" xr:uid="{00000000-0005-0000-0000-000053440000}"/>
    <cellStyle name="SAPBEXHLevel0X 2 10 2" xfId="4451" xr:uid="{00000000-0005-0000-0000-000054440000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1" xfId="3065" xr:uid="{00000000-0005-0000-0000-00006B440000}"/>
    <cellStyle name="SAPBEXHLevel0X 2 11 2" xfId="4450" xr:uid="{00000000-0005-0000-0000-00006C440000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2" xfId="3066" xr:uid="{00000000-0005-0000-0000-000083440000}"/>
    <cellStyle name="SAPBEXHLevel0X 2 12 2" xfId="4449" xr:uid="{00000000-0005-0000-0000-000084440000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3" xfId="3067" xr:uid="{00000000-0005-0000-0000-00009B440000}"/>
    <cellStyle name="SAPBEXHLevel0X 2 13 2" xfId="4448" xr:uid="{00000000-0005-0000-0000-00009C440000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4" xfId="3068" xr:uid="{00000000-0005-0000-0000-0000B3440000}"/>
    <cellStyle name="SAPBEXHLevel0X 2 14 2" xfId="4447" xr:uid="{00000000-0005-0000-0000-0000B4440000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5" xfId="3069" xr:uid="{00000000-0005-0000-0000-0000CB440000}"/>
    <cellStyle name="SAPBEXHLevel0X 2 15 2" xfId="4446" xr:uid="{00000000-0005-0000-0000-0000CC440000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6" xfId="3070" xr:uid="{00000000-0005-0000-0000-0000E3440000}"/>
    <cellStyle name="SAPBEXHLevel0X 2 16 2" xfId="4445" xr:uid="{00000000-0005-0000-0000-0000E4440000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7" xfId="3063" xr:uid="{00000000-0005-0000-0000-0000FB440000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2" xfId="837" xr:uid="{00000000-0005-0000-0000-00001C450000}"/>
    <cellStyle name="SAPBEXHLevel0X 2 2 2 10" xfId="5046" xr:uid="{00000000-0005-0000-0000-00001D450000}"/>
    <cellStyle name="SAPBEXHLevel0X 2 2 2 2" xfId="3072" xr:uid="{00000000-0005-0000-0000-00001E450000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3" xfId="4443" xr:uid="{00000000-0005-0000-0000-00002C450000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4" xfId="4444" xr:uid="{00000000-0005-0000-0000-000053450000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3" xfId="3073" xr:uid="{00000000-0005-0000-0000-000076450000}"/>
    <cellStyle name="SAPBEXHLevel0X 2 3 2" xfId="3074" xr:uid="{00000000-0005-0000-0000-000077450000}"/>
    <cellStyle name="SAPBEXHLevel0X 2 3 2 2" xfId="4441" xr:uid="{00000000-0005-0000-0000-000078450000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3" xfId="4442" xr:uid="{00000000-0005-0000-0000-00008F450000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4" xfId="3075" xr:uid="{00000000-0005-0000-0000-0000A6450000}"/>
    <cellStyle name="SAPBEXHLevel0X 2 4 2" xfId="3076" xr:uid="{00000000-0005-0000-0000-0000A7450000}"/>
    <cellStyle name="SAPBEXHLevel0X 2 4 2 2" xfId="4439" xr:uid="{00000000-0005-0000-0000-0000A8450000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3" xfId="4440" xr:uid="{00000000-0005-0000-0000-0000BF450000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5" xfId="3077" xr:uid="{00000000-0005-0000-0000-0000D6450000}"/>
    <cellStyle name="SAPBEXHLevel0X 2 5 2" xfId="3078" xr:uid="{00000000-0005-0000-0000-0000D7450000}"/>
    <cellStyle name="SAPBEXHLevel0X 2 5 2 2" xfId="4437" xr:uid="{00000000-0005-0000-0000-0000D8450000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3" xfId="4438" xr:uid="{00000000-0005-0000-0000-0000EF450000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6" xfId="3079" xr:uid="{00000000-0005-0000-0000-000006460000}"/>
    <cellStyle name="SAPBEXHLevel0X 2 6 2" xfId="3080" xr:uid="{00000000-0005-0000-0000-000007460000}"/>
    <cellStyle name="SAPBEXHLevel0X 2 6 2 2" xfId="4435" xr:uid="{00000000-0005-0000-0000-000008460000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3" xfId="4436" xr:uid="{00000000-0005-0000-0000-00001F460000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7" xfId="3081" xr:uid="{00000000-0005-0000-0000-000036460000}"/>
    <cellStyle name="SAPBEXHLevel0X 2 7 2" xfId="3082" xr:uid="{00000000-0005-0000-0000-000037460000}"/>
    <cellStyle name="SAPBEXHLevel0X 2 7 2 2" xfId="4434" xr:uid="{00000000-0005-0000-0000-0000384600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3" xfId="3347" xr:uid="{00000000-0005-0000-0000-00004F460000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8" xfId="3083" xr:uid="{00000000-0005-0000-0000-000066460000}"/>
    <cellStyle name="SAPBEXHLevel0X 2 8 2" xfId="4433" xr:uid="{00000000-0005-0000-0000-000067460000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9" xfId="3084" xr:uid="{00000000-0005-0000-0000-00007E460000}"/>
    <cellStyle name="SAPBEXHLevel0X 2 9 2" xfId="4432" xr:uid="{00000000-0005-0000-0000-00007F460000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0" xfId="3085" xr:uid="{00000000-0005-0000-0000-000096460000}"/>
    <cellStyle name="SAPBEXHLevel0X 20 2" xfId="4431" xr:uid="{00000000-0005-0000-0000-000097460000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1" xfId="4901" xr:uid="{00000000-0005-0000-0000-0000AE46000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2" xfId="5996" xr:uid="{00000000-0005-0000-0000-0000BB460000}"/>
    <cellStyle name="SAPBEXHLevel0X 22 2" xfId="22965" xr:uid="{00000000-0005-0000-0000-0000BC460000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3" xfId="838" xr:uid="{00000000-0005-0000-0000-0000C5460000}"/>
    <cellStyle name="SAPBEXHLevel0X 3 10" xfId="3086" xr:uid="{00000000-0005-0000-0000-0000C6460000}"/>
    <cellStyle name="SAPBEXHLevel0X 3 10 2" xfId="4429" xr:uid="{00000000-0005-0000-0000-0000C7460000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1" xfId="3087" xr:uid="{00000000-0005-0000-0000-0000DE460000}"/>
    <cellStyle name="SAPBEXHLevel0X 3 11 2" xfId="4428" xr:uid="{00000000-0005-0000-0000-0000DF460000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2" xfId="3088" xr:uid="{00000000-0005-0000-0000-0000F6460000}"/>
    <cellStyle name="SAPBEXHLevel0X 3 12 2" xfId="4427" xr:uid="{00000000-0005-0000-0000-0000F7460000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3" xfId="3089" xr:uid="{00000000-0005-0000-0000-00000E470000}"/>
    <cellStyle name="SAPBEXHLevel0X 3 13 2" xfId="4426" xr:uid="{00000000-0005-0000-0000-00000F470000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4" xfId="3090" xr:uid="{00000000-0005-0000-0000-000026470000}"/>
    <cellStyle name="SAPBEXHLevel0X 3 14 2" xfId="4425" xr:uid="{00000000-0005-0000-0000-000027470000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5" xfId="3091" xr:uid="{00000000-0005-0000-0000-00003E470000}"/>
    <cellStyle name="SAPBEXHLevel0X 3 15 2" xfId="4424" xr:uid="{00000000-0005-0000-0000-00003F470000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6" xfId="3092" xr:uid="{00000000-0005-0000-0000-000056470000}"/>
    <cellStyle name="SAPBEXHLevel0X 3 16 2" xfId="4423" xr:uid="{00000000-0005-0000-0000-000057470000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7" xfId="4430" xr:uid="{00000000-0005-0000-0000-00006E470000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8" xfId="5428" xr:uid="{00000000-0005-0000-0000-00007B470000}"/>
    <cellStyle name="SAPBEXHLevel0X 3 18 2" xfId="22678" xr:uid="{00000000-0005-0000-0000-00007C470000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2" xfId="3094" xr:uid="{00000000-0005-0000-0000-000083470000}"/>
    <cellStyle name="SAPBEXHLevel0X 3 2 2 2" xfId="4421" xr:uid="{00000000-0005-0000-0000-000084470000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3" xfId="3093" xr:uid="{00000000-0005-0000-0000-00009B470000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4" xfId="4422" xr:uid="{00000000-0005-0000-0000-0000A9470000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3" xfId="2017" xr:uid="{00000000-0005-0000-0000-0000CA470000}"/>
    <cellStyle name="SAPBEXHLevel0X 3 3 2" xfId="3095" xr:uid="{00000000-0005-0000-0000-0000CB470000}"/>
    <cellStyle name="SAPBEXHLevel0X 3 3 2 2" xfId="4419" xr:uid="{00000000-0005-0000-0000-0000CC470000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3" xfId="4420" xr:uid="{00000000-0005-0000-0000-0000E347000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2" xfId="3097" xr:uid="{00000000-0005-0000-0000-0000FC470000}"/>
    <cellStyle name="SAPBEXHLevel0X 3 4 2 2" xfId="4417" xr:uid="{00000000-0005-0000-0000-0000FD470000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3" xfId="4418" xr:uid="{00000000-0005-0000-0000-000014480000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5" xfId="3098" xr:uid="{00000000-0005-0000-0000-00002B480000}"/>
    <cellStyle name="SAPBEXHLevel0X 3 5 2" xfId="3099" xr:uid="{00000000-0005-0000-0000-00002C480000}"/>
    <cellStyle name="SAPBEXHLevel0X 3 5 2 2" xfId="4415" xr:uid="{00000000-0005-0000-0000-00002D480000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3" xfId="4416" xr:uid="{00000000-0005-0000-0000-000044480000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6" xfId="3100" xr:uid="{00000000-0005-0000-0000-00005B480000}"/>
    <cellStyle name="SAPBEXHLevel0X 3 6 2" xfId="3101" xr:uid="{00000000-0005-0000-0000-00005C480000}"/>
    <cellStyle name="SAPBEXHLevel0X 3 6 2 2" xfId="4413" xr:uid="{00000000-0005-0000-0000-00005D480000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3" xfId="4414" xr:uid="{00000000-0005-0000-0000-000074480000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7" xfId="3102" xr:uid="{00000000-0005-0000-0000-00008B480000}"/>
    <cellStyle name="SAPBEXHLevel0X 3 7 2" xfId="3103" xr:uid="{00000000-0005-0000-0000-00008C480000}"/>
    <cellStyle name="SAPBEXHLevel0X 3 7 2 2" xfId="3348" xr:uid="{00000000-0005-0000-0000-00008D480000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3" xfId="4412" xr:uid="{00000000-0005-0000-0000-0000A4480000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8" xfId="3104" xr:uid="{00000000-0005-0000-0000-0000BB480000}"/>
    <cellStyle name="SAPBEXHLevel0X 3 8 2" xfId="3371" xr:uid="{00000000-0005-0000-0000-0000BC480000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9" xfId="3105" xr:uid="{00000000-0005-0000-0000-0000D3480000}"/>
    <cellStyle name="SAPBEXHLevel0X 3 9 2" xfId="4411" xr:uid="{00000000-0005-0000-0000-0000D448000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4" xfId="840" xr:uid="{00000000-0005-0000-0000-0000EB480000}"/>
    <cellStyle name="SAPBEXHLevel0X 4 10" xfId="3107" xr:uid="{00000000-0005-0000-0000-0000EC480000}"/>
    <cellStyle name="SAPBEXHLevel0X 4 10 2" xfId="4409" xr:uid="{00000000-0005-0000-0000-0000ED480000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1" xfId="3108" xr:uid="{00000000-0005-0000-0000-000004490000}"/>
    <cellStyle name="SAPBEXHLevel0X 4 11 2" xfId="4408" xr:uid="{00000000-0005-0000-0000-000005490000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2" xfId="3109" xr:uid="{00000000-0005-0000-0000-00001C490000}"/>
    <cellStyle name="SAPBEXHLevel0X 4 12 2" xfId="4407" xr:uid="{00000000-0005-0000-0000-00001D490000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3" xfId="3110" xr:uid="{00000000-0005-0000-0000-000034490000}"/>
    <cellStyle name="SAPBEXHLevel0X 4 13 2" xfId="4406" xr:uid="{00000000-0005-0000-0000-000035490000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4" xfId="3111" xr:uid="{00000000-0005-0000-0000-00004C490000}"/>
    <cellStyle name="SAPBEXHLevel0X 4 14 2" xfId="4405" xr:uid="{00000000-0005-0000-0000-00004D490000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5" xfId="3112" xr:uid="{00000000-0005-0000-0000-000064490000}"/>
    <cellStyle name="SAPBEXHLevel0X 4 15 2" xfId="4404" xr:uid="{00000000-0005-0000-0000-000065490000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6" xfId="3113" xr:uid="{00000000-0005-0000-0000-00007C490000}"/>
    <cellStyle name="SAPBEXHLevel0X 4 16 2" xfId="4403" xr:uid="{00000000-0005-0000-0000-00007D490000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7" xfId="3106" xr:uid="{00000000-0005-0000-0000-000094490000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8" xfId="4410" xr:uid="{00000000-0005-0000-0000-0000A2490000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2" xfId="3115" xr:uid="{00000000-0005-0000-0000-0000B6490000}"/>
    <cellStyle name="SAPBEXHLevel0X 4 2 2 2" xfId="4401" xr:uid="{00000000-0005-0000-0000-0000B7490000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3" xfId="3114" xr:uid="{00000000-0005-0000-0000-0000CE490000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4" xfId="4402" xr:uid="{00000000-0005-0000-0000-0000DC490000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2" xfId="3117" xr:uid="{00000000-0005-0000-0000-0000044A0000}"/>
    <cellStyle name="SAPBEXHLevel0X 4 3 2 2" xfId="4399" xr:uid="{00000000-0005-0000-0000-0000054A0000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3" xfId="3116" xr:uid="{00000000-0005-0000-0000-00001C4A0000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2" xfId="3119" xr:uid="{00000000-0005-0000-0000-0000424A0000}"/>
    <cellStyle name="SAPBEXHLevel0X 4 4 2 2" xfId="4397" xr:uid="{00000000-0005-0000-0000-0000434A0000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3" xfId="4398" xr:uid="{00000000-0005-0000-0000-00005A4A0000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2" xfId="3121" xr:uid="{00000000-0005-0000-0000-0000734A0000}"/>
    <cellStyle name="SAPBEXHLevel0X 4 5 2 2" xfId="4395" xr:uid="{00000000-0005-0000-0000-0000744A0000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3" xfId="4396" xr:uid="{00000000-0005-0000-0000-00008B4A0000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6" xfId="3122" xr:uid="{00000000-0005-0000-0000-0000A24A0000}"/>
    <cellStyle name="SAPBEXHLevel0X 4 6 2" xfId="3123" xr:uid="{00000000-0005-0000-0000-0000A34A0000}"/>
    <cellStyle name="SAPBEXHLevel0X 4 6 2 2" xfId="4393" xr:uid="{00000000-0005-0000-0000-0000A44A000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3" xfId="4394" xr:uid="{00000000-0005-0000-0000-0000BB4A0000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7" xfId="3124" xr:uid="{00000000-0005-0000-0000-0000D24A0000}"/>
    <cellStyle name="SAPBEXHLevel0X 4 7 2" xfId="3125" xr:uid="{00000000-0005-0000-0000-0000D34A0000}"/>
    <cellStyle name="SAPBEXHLevel0X 4 7 2 2" xfId="4391" xr:uid="{00000000-0005-0000-0000-0000D44A0000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3" xfId="4392" xr:uid="{00000000-0005-0000-0000-0000EB4A0000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8" xfId="3126" xr:uid="{00000000-0005-0000-0000-0000024B0000}"/>
    <cellStyle name="SAPBEXHLevel0X 4 8 2" xfId="4390" xr:uid="{00000000-0005-0000-0000-0000034B0000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9" xfId="3127" xr:uid="{00000000-0005-0000-0000-00001A4B0000}"/>
    <cellStyle name="SAPBEXHLevel0X 4 9 2" xfId="4389" xr:uid="{00000000-0005-0000-0000-00001B4B0000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5" xfId="843" xr:uid="{00000000-0005-0000-0000-0000324B0000}"/>
    <cellStyle name="SAPBEXHLevel0X 5 10" xfId="3129" xr:uid="{00000000-0005-0000-0000-0000334B0000}"/>
    <cellStyle name="SAPBEXHLevel0X 5 10 2" xfId="4388" xr:uid="{00000000-0005-0000-0000-0000344B0000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1" xfId="3130" xr:uid="{00000000-0005-0000-0000-00004B4B0000}"/>
    <cellStyle name="SAPBEXHLevel0X 5 11 2" xfId="4387" xr:uid="{00000000-0005-0000-0000-00004C4B0000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2" xfId="3131" xr:uid="{00000000-0005-0000-0000-0000634B0000}"/>
    <cellStyle name="SAPBEXHLevel0X 5 12 2" xfId="4386" xr:uid="{00000000-0005-0000-0000-0000644B0000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3" xfId="3132" xr:uid="{00000000-0005-0000-0000-00007B4B0000}"/>
    <cellStyle name="SAPBEXHLevel0X 5 13 2" xfId="4385" xr:uid="{00000000-0005-0000-0000-00007C4B0000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4" xfId="3133" xr:uid="{00000000-0005-0000-0000-0000934B0000}"/>
    <cellStyle name="SAPBEXHLevel0X 5 14 2" xfId="4384" xr:uid="{00000000-0005-0000-0000-0000944B0000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5" xfId="3134" xr:uid="{00000000-0005-0000-0000-0000AB4B0000}"/>
    <cellStyle name="SAPBEXHLevel0X 5 15 2" xfId="4383" xr:uid="{00000000-0005-0000-0000-0000AC4B0000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6" xfId="3135" xr:uid="{00000000-0005-0000-0000-0000C34B0000}"/>
    <cellStyle name="SAPBEXHLevel0X 5 16 2" xfId="4382" xr:uid="{00000000-0005-0000-0000-0000C44B0000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7" xfId="3128" xr:uid="{00000000-0005-0000-0000-0000DB4B0000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8" xfId="2132" xr:uid="{00000000-0005-0000-0000-0000E94B0000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2" xfId="3137" xr:uid="{00000000-0005-0000-0000-0000FC4B0000}"/>
    <cellStyle name="SAPBEXHLevel0X 5 2 2 2" xfId="4380" xr:uid="{00000000-0005-0000-0000-0000FD4B0000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3" xfId="3136" xr:uid="{00000000-0005-0000-0000-0000144C0000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3" xfId="3138" xr:uid="{00000000-0005-0000-0000-0000454C0000}"/>
    <cellStyle name="SAPBEXHLevel0X 5 3 2" xfId="3139" xr:uid="{00000000-0005-0000-0000-0000464C0000}"/>
    <cellStyle name="SAPBEXHLevel0X 5 3 2 2" xfId="4378" xr:uid="{00000000-0005-0000-0000-0000474C0000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3" xfId="4379" xr:uid="{00000000-0005-0000-0000-00005E4C000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4" xfId="3140" xr:uid="{00000000-0005-0000-0000-0000764C0000}"/>
    <cellStyle name="SAPBEXHLevel0X 5 4 2" xfId="3141" xr:uid="{00000000-0005-0000-0000-0000774C0000}"/>
    <cellStyle name="SAPBEXHLevel0X 5 4 2 2" xfId="4376" xr:uid="{00000000-0005-0000-0000-0000784C0000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3" xfId="4377" xr:uid="{00000000-0005-0000-0000-00008F4C0000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5" xfId="3142" xr:uid="{00000000-0005-0000-0000-0000A64C0000}"/>
    <cellStyle name="SAPBEXHLevel0X 5 5 2" xfId="3143" xr:uid="{00000000-0005-0000-0000-0000A74C0000}"/>
    <cellStyle name="SAPBEXHLevel0X 5 5 2 2" xfId="4374" xr:uid="{00000000-0005-0000-0000-0000A84C0000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3" xfId="4375" xr:uid="{00000000-0005-0000-0000-0000BF4C000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6" xfId="3144" xr:uid="{00000000-0005-0000-0000-0000D64C0000}"/>
    <cellStyle name="SAPBEXHLevel0X 5 6 2" xfId="3145" xr:uid="{00000000-0005-0000-0000-0000D74C0000}"/>
    <cellStyle name="SAPBEXHLevel0X 5 6 2 2" xfId="4372" xr:uid="{00000000-0005-0000-0000-0000D84C0000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3" xfId="4373" xr:uid="{00000000-0005-0000-0000-0000EF4C000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7" xfId="3146" xr:uid="{00000000-0005-0000-0000-0000064D0000}"/>
    <cellStyle name="SAPBEXHLevel0X 5 7 2" xfId="3147" xr:uid="{00000000-0005-0000-0000-0000074D0000}"/>
    <cellStyle name="SAPBEXHLevel0X 5 7 2 2" xfId="4370" xr:uid="{00000000-0005-0000-0000-0000084D0000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3" xfId="4371" xr:uid="{00000000-0005-0000-0000-00001F4D0000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8" xfId="3148" xr:uid="{00000000-0005-0000-0000-0000364D0000}"/>
    <cellStyle name="SAPBEXHLevel0X 5 8 2" xfId="4369" xr:uid="{00000000-0005-0000-0000-0000374D0000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9" xfId="3149" xr:uid="{00000000-0005-0000-0000-00004E4D0000}"/>
    <cellStyle name="SAPBEXHLevel0X 5 9 2" xfId="4368" xr:uid="{00000000-0005-0000-0000-00004F4D0000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2" xfId="1861" xr:uid="{00000000-0005-0000-0000-00006A4D0000}"/>
    <cellStyle name="SAPBEXHLevel0X 6 2 10" xfId="6088" xr:uid="{00000000-0005-0000-0000-00006B4D0000}"/>
    <cellStyle name="SAPBEXHLevel0X 6 2 2" xfId="3151" xr:uid="{00000000-0005-0000-0000-00006C4D0000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2" xfId="3153" xr:uid="{00000000-0005-0000-0000-0000BC4D0000}"/>
    <cellStyle name="SAPBEXHLevel0X 7 2 2" xfId="4365" xr:uid="{00000000-0005-0000-0000-0000BD4D0000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3" xfId="3152" xr:uid="{00000000-0005-0000-0000-0000D44D0000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2" xfId="3155" xr:uid="{00000000-0005-0000-0000-0000FA4D0000}"/>
    <cellStyle name="SAPBEXHLevel0X 8 2 2" xfId="4363" xr:uid="{00000000-0005-0000-0000-0000FB4D0000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3" xfId="4364" xr:uid="{00000000-0005-0000-0000-0000124E0000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9" xfId="1863" xr:uid="{00000000-0005-0000-0000-0000294E0000}"/>
    <cellStyle name="SAPBEXHLevel0X 9 2" xfId="3157" xr:uid="{00000000-0005-0000-0000-00002A4E0000}"/>
    <cellStyle name="SAPBEXHLevel0X 9 2 2" xfId="4361" xr:uid="{00000000-0005-0000-0000-00002B4E0000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3" xfId="4362" xr:uid="{00000000-0005-0000-0000-0000424E0000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2" xfId="3159" xr:uid="{00000000-0005-0000-0000-00005E4E0000}"/>
    <cellStyle name="SAPBEXHLevel1 10 2 2" xfId="4359" xr:uid="{00000000-0005-0000-0000-00005F4E0000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3" xfId="3158" xr:uid="{00000000-0005-0000-0000-0000764E000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2" xfId="3161" xr:uid="{00000000-0005-0000-0000-0000984E0000}"/>
    <cellStyle name="SAPBEXHLevel1 11 2 2" xfId="4357" xr:uid="{00000000-0005-0000-0000-0000994E0000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3" xfId="4358" xr:uid="{00000000-0005-0000-0000-0000B04E0000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2" xfId="4356" xr:uid="{00000000-0005-0000-0000-0000C94E0000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3" xfId="3164" xr:uid="{00000000-0005-0000-0000-0000E04E0000}"/>
    <cellStyle name="SAPBEXHLevel1 13 2" xfId="4355" xr:uid="{00000000-0005-0000-0000-0000E14E0000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4" xfId="3165" xr:uid="{00000000-0005-0000-0000-0000F84E0000}"/>
    <cellStyle name="SAPBEXHLevel1 14 2" xfId="4354" xr:uid="{00000000-0005-0000-0000-0000F94E0000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5" xfId="3166" xr:uid="{00000000-0005-0000-0000-0000104F0000}"/>
    <cellStyle name="SAPBEXHLevel1 15 2" xfId="4353" xr:uid="{00000000-0005-0000-0000-0000114F0000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6" xfId="3167" xr:uid="{00000000-0005-0000-0000-0000284F0000}"/>
    <cellStyle name="SAPBEXHLevel1 16 2" xfId="4352" xr:uid="{00000000-0005-0000-0000-0000294F0000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7" xfId="3168" xr:uid="{00000000-0005-0000-0000-0000404F0000}"/>
    <cellStyle name="SAPBEXHLevel1 17 2" xfId="4351" xr:uid="{00000000-0005-0000-0000-0000414F0000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8" xfId="3169" xr:uid="{00000000-0005-0000-0000-0000584F0000}"/>
    <cellStyle name="SAPBEXHLevel1 18 2" xfId="4350" xr:uid="{00000000-0005-0000-0000-0000594F0000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9" xfId="3170" xr:uid="{00000000-0005-0000-0000-0000704F0000}"/>
    <cellStyle name="SAPBEXHLevel1 19 2" xfId="4349" xr:uid="{00000000-0005-0000-0000-0000714F0000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2" xfId="847" xr:uid="{00000000-0005-0000-0000-0000884F0000}"/>
    <cellStyle name="SAPBEXHLevel1 2 10" xfId="3172" xr:uid="{00000000-0005-0000-0000-0000894F0000}"/>
    <cellStyle name="SAPBEXHLevel1 2 10 2" xfId="4347" xr:uid="{00000000-0005-0000-0000-00008A4F0000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1" xfId="3173" xr:uid="{00000000-0005-0000-0000-0000A14F0000}"/>
    <cellStyle name="SAPBEXHLevel1 2 11 2" xfId="4346" xr:uid="{00000000-0005-0000-0000-0000A24F0000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2" xfId="3174" xr:uid="{00000000-0005-0000-0000-0000B94F0000}"/>
    <cellStyle name="SAPBEXHLevel1 2 12 2" xfId="4345" xr:uid="{00000000-0005-0000-0000-0000BA4F0000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3" xfId="3175" xr:uid="{00000000-0005-0000-0000-0000D14F0000}"/>
    <cellStyle name="SAPBEXHLevel1 2 13 2" xfId="3421" xr:uid="{00000000-0005-0000-0000-0000D24F0000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4" xfId="3176" xr:uid="{00000000-0005-0000-0000-0000E94F0000}"/>
    <cellStyle name="SAPBEXHLevel1 2 14 2" xfId="3422" xr:uid="{00000000-0005-0000-0000-0000EA4F0000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5" xfId="3177" xr:uid="{00000000-0005-0000-0000-000001500000}"/>
    <cellStyle name="SAPBEXHLevel1 2 15 2" xfId="4344" xr:uid="{00000000-0005-0000-0000-000002500000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6" xfId="3178" xr:uid="{00000000-0005-0000-0000-000019500000}"/>
    <cellStyle name="SAPBEXHLevel1 2 16 2" xfId="4343" xr:uid="{00000000-0005-0000-0000-00001A500000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7" xfId="3171" xr:uid="{00000000-0005-0000-0000-00003150000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2" xfId="849" xr:uid="{00000000-0005-0000-0000-000052500000}"/>
    <cellStyle name="SAPBEXHLevel1 2 2 2 10" xfId="5057" xr:uid="{00000000-0005-0000-0000-000053500000}"/>
    <cellStyle name="SAPBEXHLevel1 2 2 2 2" xfId="3180" xr:uid="{00000000-0005-0000-0000-000054500000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3" xfId="3445" xr:uid="{00000000-0005-0000-0000-000062500000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4" xfId="4342" xr:uid="{00000000-0005-0000-0000-000089500000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2" xfId="3182" xr:uid="{00000000-0005-0000-0000-0000AA500000}"/>
    <cellStyle name="SAPBEXHLevel1 2 3 2 2" xfId="4340" xr:uid="{00000000-0005-0000-0000-0000AB500000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3" xfId="3181" xr:uid="{00000000-0005-0000-0000-0000C2500000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2" xfId="3184" xr:uid="{00000000-0005-0000-0000-0000E6500000}"/>
    <cellStyle name="SAPBEXHLevel1 2 4 2 2" xfId="4338" xr:uid="{00000000-0005-0000-0000-0000E7500000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3" xfId="3183" xr:uid="{00000000-0005-0000-0000-0000FE500000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2" xfId="3186" xr:uid="{00000000-0005-0000-0000-000020510000}"/>
    <cellStyle name="SAPBEXHLevel1 2 5 2 2" xfId="4336" xr:uid="{00000000-0005-0000-0000-00002151000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3" xfId="4337" xr:uid="{00000000-0005-0000-0000-000038510000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6" xfId="3187" xr:uid="{00000000-0005-0000-0000-00004F510000}"/>
    <cellStyle name="SAPBEXHLevel1 2 6 2" xfId="3188" xr:uid="{00000000-0005-0000-0000-000050510000}"/>
    <cellStyle name="SAPBEXHLevel1 2 6 2 2" xfId="4334" xr:uid="{00000000-0005-0000-0000-000051510000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3" xfId="4335" xr:uid="{00000000-0005-0000-0000-000068510000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7" xfId="3189" xr:uid="{00000000-0005-0000-0000-00007F510000}"/>
    <cellStyle name="SAPBEXHLevel1 2 7 2" xfId="3190" xr:uid="{00000000-0005-0000-0000-000080510000}"/>
    <cellStyle name="SAPBEXHLevel1 2 7 2 2" xfId="4332" xr:uid="{00000000-0005-0000-0000-00008151000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3" xfId="4333" xr:uid="{00000000-0005-0000-0000-000098510000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8" xfId="3191" xr:uid="{00000000-0005-0000-0000-0000AF510000}"/>
    <cellStyle name="SAPBEXHLevel1 2 8 2" xfId="4331" xr:uid="{00000000-0005-0000-0000-0000B0510000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9" xfId="3192" xr:uid="{00000000-0005-0000-0000-0000C7510000}"/>
    <cellStyle name="SAPBEXHLevel1 2 9 2" xfId="4330" xr:uid="{00000000-0005-0000-0000-0000C8510000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0" xfId="3193" xr:uid="{00000000-0005-0000-0000-0000DF510000}"/>
    <cellStyle name="SAPBEXHLevel1 20 2" xfId="4329" xr:uid="{00000000-0005-0000-0000-0000E0510000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1" xfId="4900" xr:uid="{00000000-0005-0000-0000-0000F7510000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2" xfId="5995" xr:uid="{00000000-0005-0000-0000-000004520000}"/>
    <cellStyle name="SAPBEXHLevel1 22 2" xfId="22964" xr:uid="{00000000-0005-0000-0000-000005520000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3" xfId="850" xr:uid="{00000000-0005-0000-0000-00000E520000}"/>
    <cellStyle name="SAPBEXHLevel1 3 10" xfId="3195" xr:uid="{00000000-0005-0000-0000-00000F520000}"/>
    <cellStyle name="SAPBEXHLevel1 3 10 2" xfId="4327" xr:uid="{00000000-0005-0000-0000-000010520000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1" xfId="3196" xr:uid="{00000000-0005-0000-0000-000027520000}"/>
    <cellStyle name="SAPBEXHLevel1 3 11 2" xfId="4326" xr:uid="{00000000-0005-0000-0000-000028520000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2" xfId="3197" xr:uid="{00000000-0005-0000-0000-00003F520000}"/>
    <cellStyle name="SAPBEXHLevel1 3 12 2" xfId="4325" xr:uid="{00000000-0005-0000-0000-000040520000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3" xfId="3198" xr:uid="{00000000-0005-0000-0000-000057520000}"/>
    <cellStyle name="SAPBEXHLevel1 3 13 2" xfId="4324" xr:uid="{00000000-0005-0000-0000-000058520000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4" xfId="3199" xr:uid="{00000000-0005-0000-0000-00006F520000}"/>
    <cellStyle name="SAPBEXHLevel1 3 14 2" xfId="4323" xr:uid="{00000000-0005-0000-0000-000070520000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5" xfId="3200" xr:uid="{00000000-0005-0000-0000-000087520000}"/>
    <cellStyle name="SAPBEXHLevel1 3 15 2" xfId="4322" xr:uid="{00000000-0005-0000-0000-000088520000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6" xfId="3201" xr:uid="{00000000-0005-0000-0000-00009F520000}"/>
    <cellStyle name="SAPBEXHLevel1 3 16 2" xfId="4321" xr:uid="{00000000-0005-0000-0000-0000A0520000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7" xfId="4328" xr:uid="{00000000-0005-0000-0000-0000B7520000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2" xfId="3203" xr:uid="{00000000-0005-0000-0000-0000C9520000}"/>
    <cellStyle name="SAPBEXHLevel1 3 2 2 2" xfId="3453" xr:uid="{00000000-0005-0000-0000-0000CA520000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3" xfId="4320" xr:uid="{00000000-0005-0000-0000-0000E1520000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3" xfId="3204" xr:uid="{00000000-0005-0000-0000-0000FF520000}"/>
    <cellStyle name="SAPBEXHLevel1 3 3 2" xfId="3205" xr:uid="{00000000-0005-0000-0000-000000530000}"/>
    <cellStyle name="SAPBEXHLevel1 3 3 2 2" xfId="4318" xr:uid="{00000000-0005-0000-0000-00000153000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3" xfId="4319" xr:uid="{00000000-0005-0000-0000-000018530000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4" xfId="3206" xr:uid="{00000000-0005-0000-0000-00002F530000}"/>
    <cellStyle name="SAPBEXHLevel1 3 4 2" xfId="3207" xr:uid="{00000000-0005-0000-0000-000030530000}"/>
    <cellStyle name="SAPBEXHLevel1 3 4 2 2" xfId="4316" xr:uid="{00000000-0005-0000-0000-000031530000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3" xfId="4317" xr:uid="{00000000-0005-0000-0000-000048530000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5" xfId="3208" xr:uid="{00000000-0005-0000-0000-00005F530000}"/>
    <cellStyle name="SAPBEXHLevel1 3 5 2" xfId="3209" xr:uid="{00000000-0005-0000-0000-000060530000}"/>
    <cellStyle name="SAPBEXHLevel1 3 5 2 2" xfId="4314" xr:uid="{00000000-0005-0000-0000-000061530000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3" xfId="4315" xr:uid="{00000000-0005-0000-0000-000078530000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6" xfId="3210" xr:uid="{00000000-0005-0000-0000-00008F530000}"/>
    <cellStyle name="SAPBEXHLevel1 3 6 2" xfId="3211" xr:uid="{00000000-0005-0000-0000-000090530000}"/>
    <cellStyle name="SAPBEXHLevel1 3 6 2 2" xfId="4312" xr:uid="{00000000-0005-0000-0000-000091530000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3" xfId="4313" xr:uid="{00000000-0005-0000-0000-0000A8530000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7" xfId="3212" xr:uid="{00000000-0005-0000-0000-0000BF530000}"/>
    <cellStyle name="SAPBEXHLevel1 3 7 2" xfId="3213" xr:uid="{00000000-0005-0000-0000-0000C0530000}"/>
    <cellStyle name="SAPBEXHLevel1 3 7 2 2" xfId="4310" xr:uid="{00000000-0005-0000-0000-0000C1530000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3" xfId="4311" xr:uid="{00000000-0005-0000-0000-0000D8530000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8" xfId="3214" xr:uid="{00000000-0005-0000-0000-0000EF530000}"/>
    <cellStyle name="SAPBEXHLevel1 3 8 2" xfId="4309" xr:uid="{00000000-0005-0000-0000-0000F0530000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9" xfId="3215" xr:uid="{00000000-0005-0000-0000-000007540000}"/>
    <cellStyle name="SAPBEXHLevel1 3 9 2" xfId="4308" xr:uid="{00000000-0005-0000-0000-000008540000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4" xfId="851" xr:uid="{00000000-0005-0000-0000-00001F540000}"/>
    <cellStyle name="SAPBEXHLevel1 4 10" xfId="3217" xr:uid="{00000000-0005-0000-0000-000020540000}"/>
    <cellStyle name="SAPBEXHLevel1 4 10 2" xfId="4306" xr:uid="{00000000-0005-0000-0000-000021540000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1" xfId="3218" xr:uid="{00000000-0005-0000-0000-000038540000}"/>
    <cellStyle name="SAPBEXHLevel1 4 11 2" xfId="4305" xr:uid="{00000000-0005-0000-0000-000039540000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2" xfId="3219" xr:uid="{00000000-0005-0000-0000-000050540000}"/>
    <cellStyle name="SAPBEXHLevel1 4 12 2" xfId="4304" xr:uid="{00000000-0005-0000-0000-000051540000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3" xfId="3220" xr:uid="{00000000-0005-0000-0000-000068540000}"/>
    <cellStyle name="SAPBEXHLevel1 4 13 2" xfId="4303" xr:uid="{00000000-0005-0000-0000-000069540000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4" xfId="3221" xr:uid="{00000000-0005-0000-0000-000080540000}"/>
    <cellStyle name="SAPBEXHLevel1 4 14 2" xfId="4302" xr:uid="{00000000-0005-0000-0000-000081540000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5" xfId="3222" xr:uid="{00000000-0005-0000-0000-000098540000}"/>
    <cellStyle name="SAPBEXHLevel1 4 15 2" xfId="4301" xr:uid="{00000000-0005-0000-0000-000099540000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6" xfId="3223" xr:uid="{00000000-0005-0000-0000-0000B0540000}"/>
    <cellStyle name="SAPBEXHLevel1 4 16 2" xfId="4300" xr:uid="{00000000-0005-0000-0000-0000B1540000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7" xfId="3216" xr:uid="{00000000-0005-0000-0000-0000C8540000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2" xfId="3225" xr:uid="{00000000-0005-0000-0000-0000EA540000}"/>
    <cellStyle name="SAPBEXHLevel1 4 2 2 2" xfId="4298" xr:uid="{00000000-0005-0000-0000-0000EB54000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3" xfId="3224" xr:uid="{00000000-0005-0000-0000-000002550000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4" xfId="4299" xr:uid="{00000000-0005-0000-0000-000010550000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2" xfId="3227" xr:uid="{00000000-0005-0000-0000-000038550000}"/>
    <cellStyle name="SAPBEXHLevel1 4 3 2 2" xfId="4297" xr:uid="{00000000-0005-0000-0000-000039550000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3" xfId="3226" xr:uid="{00000000-0005-0000-0000-000050550000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2" xfId="3229" xr:uid="{00000000-0005-0000-0000-000076550000}"/>
    <cellStyle name="SAPBEXHLevel1 4 4 2 2" xfId="4295" xr:uid="{00000000-0005-0000-0000-000077550000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3" xfId="4296" xr:uid="{00000000-0005-0000-0000-00008E550000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5" xfId="3230" xr:uid="{00000000-0005-0000-0000-0000A5550000}"/>
    <cellStyle name="SAPBEXHLevel1 4 5 2" xfId="3231" xr:uid="{00000000-0005-0000-0000-0000A6550000}"/>
    <cellStyle name="SAPBEXHLevel1 4 5 2 2" xfId="4293" xr:uid="{00000000-0005-0000-0000-0000A7550000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3" xfId="4294" xr:uid="{00000000-0005-0000-0000-0000BE550000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6" xfId="3232" xr:uid="{00000000-0005-0000-0000-0000D5550000}"/>
    <cellStyle name="SAPBEXHLevel1 4 6 2" xfId="3233" xr:uid="{00000000-0005-0000-0000-0000D6550000}"/>
    <cellStyle name="SAPBEXHLevel1 4 6 2 2" xfId="4291" xr:uid="{00000000-0005-0000-0000-0000D7550000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3" xfId="4292" xr:uid="{00000000-0005-0000-0000-0000EE550000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7" xfId="3234" xr:uid="{00000000-0005-0000-0000-000005560000}"/>
    <cellStyle name="SAPBEXHLevel1 4 7 2" xfId="3235" xr:uid="{00000000-0005-0000-0000-000006560000}"/>
    <cellStyle name="SAPBEXHLevel1 4 7 2 2" xfId="4289" xr:uid="{00000000-0005-0000-0000-000007560000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3" xfId="4290" xr:uid="{00000000-0005-0000-0000-00001E560000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8" xfId="3236" xr:uid="{00000000-0005-0000-0000-000035560000}"/>
    <cellStyle name="SAPBEXHLevel1 4 8 2" xfId="4288" xr:uid="{00000000-0005-0000-0000-000036560000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9" xfId="3237" xr:uid="{00000000-0005-0000-0000-00004D560000}"/>
    <cellStyle name="SAPBEXHLevel1 4 9 2" xfId="4287" xr:uid="{00000000-0005-0000-0000-00004E560000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5" xfId="854" xr:uid="{00000000-0005-0000-0000-000065560000}"/>
    <cellStyle name="SAPBEXHLevel1 5 10" xfId="3239" xr:uid="{00000000-0005-0000-0000-000066560000}"/>
    <cellStyle name="SAPBEXHLevel1 5 10 2" xfId="4285" xr:uid="{00000000-0005-0000-0000-000067560000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1" xfId="3240" xr:uid="{00000000-0005-0000-0000-00007E560000}"/>
    <cellStyle name="SAPBEXHLevel1 5 11 2" xfId="4284" xr:uid="{00000000-0005-0000-0000-00007F560000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2" xfId="3241" xr:uid="{00000000-0005-0000-0000-000096560000}"/>
    <cellStyle name="SAPBEXHLevel1 5 12 2" xfId="4283" xr:uid="{00000000-0005-0000-0000-000097560000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3" xfId="3242" xr:uid="{00000000-0005-0000-0000-0000AE560000}"/>
    <cellStyle name="SAPBEXHLevel1 5 13 2" xfId="4282" xr:uid="{00000000-0005-0000-0000-0000AF560000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4" xfId="3243" xr:uid="{00000000-0005-0000-0000-0000C6560000}"/>
    <cellStyle name="SAPBEXHLevel1 5 14 2" xfId="4281" xr:uid="{00000000-0005-0000-0000-0000C756000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5" xfId="3244" xr:uid="{00000000-0005-0000-0000-0000DE560000}"/>
    <cellStyle name="SAPBEXHLevel1 5 15 2" xfId="4280" xr:uid="{00000000-0005-0000-0000-0000DF560000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6" xfId="3245" xr:uid="{00000000-0005-0000-0000-0000F6560000}"/>
    <cellStyle name="SAPBEXHLevel1 5 16 2" xfId="4279" xr:uid="{00000000-0005-0000-0000-0000F7560000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7" xfId="3238" xr:uid="{00000000-0005-0000-0000-00000E570000}"/>
    <cellStyle name="SAPBEXHLevel1 5 17 2" xfId="8407" xr:uid="{00000000-0005-0000-0000-00000F570000}"/>
    <cellStyle name="SAPBEXHLevel1 5 17 2 2" xfId="24436" xr:uid="{00000000-0005-0000-0000-000010570000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8" xfId="4286" xr:uid="{00000000-0005-0000-0000-00001C570000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2" xfId="3247" xr:uid="{00000000-0005-0000-0000-00002E570000}"/>
    <cellStyle name="SAPBEXHLevel1 5 2 2 2" xfId="4277" xr:uid="{00000000-0005-0000-0000-00002F570000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3" xfId="3246" xr:uid="{00000000-0005-0000-0000-000046570000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3" xfId="3248" xr:uid="{00000000-0005-0000-0000-00006E570000}"/>
    <cellStyle name="SAPBEXHLevel1 5 3 10" xfId="37915" xr:uid="{00000000-0005-0000-0000-00006F570000}"/>
    <cellStyle name="SAPBEXHLevel1 5 3 2" xfId="3249" xr:uid="{00000000-0005-0000-0000-000070570000}"/>
    <cellStyle name="SAPBEXHLevel1 5 3 2 2" xfId="4275" xr:uid="{00000000-0005-0000-0000-000071570000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3" xfId="4276" xr:uid="{00000000-0005-0000-0000-000088570000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4" xfId="3250" xr:uid="{00000000-0005-0000-0000-0000A0570000}"/>
    <cellStyle name="SAPBEXHLevel1 5 4 2" xfId="3251" xr:uid="{00000000-0005-0000-0000-0000A1570000}"/>
    <cellStyle name="SAPBEXHLevel1 5 4 2 2" xfId="4274" xr:uid="{00000000-0005-0000-0000-0000A2570000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3" xfId="3493" xr:uid="{00000000-0005-0000-0000-0000B9570000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5" xfId="3252" xr:uid="{00000000-0005-0000-0000-0000D0570000}"/>
    <cellStyle name="SAPBEXHLevel1 5 5 2" xfId="3253" xr:uid="{00000000-0005-0000-0000-0000D1570000}"/>
    <cellStyle name="SAPBEXHLevel1 5 5 2 2" xfId="4272" xr:uid="{00000000-0005-0000-0000-0000D2570000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3" xfId="4273" xr:uid="{00000000-0005-0000-0000-0000E9570000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6" xfId="3254" xr:uid="{00000000-0005-0000-0000-000000580000}"/>
    <cellStyle name="SAPBEXHLevel1 5 6 2" xfId="3255" xr:uid="{00000000-0005-0000-0000-000001580000}"/>
    <cellStyle name="SAPBEXHLevel1 5 6 2 2" xfId="4270" xr:uid="{00000000-0005-0000-0000-000002580000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3" xfId="4271" xr:uid="{00000000-0005-0000-0000-000019580000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7" xfId="3256" xr:uid="{00000000-0005-0000-0000-000030580000}"/>
    <cellStyle name="SAPBEXHLevel1 5 7 2" xfId="3257" xr:uid="{00000000-0005-0000-0000-000031580000}"/>
    <cellStyle name="SAPBEXHLevel1 5 7 2 2" xfId="4268" xr:uid="{00000000-0005-0000-0000-000032580000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3" xfId="4269" xr:uid="{00000000-0005-0000-0000-000049580000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8" xfId="3258" xr:uid="{00000000-0005-0000-0000-000060580000}"/>
    <cellStyle name="SAPBEXHLevel1 5 8 2" xfId="4267" xr:uid="{00000000-0005-0000-0000-000061580000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9" xfId="3259" xr:uid="{00000000-0005-0000-0000-000078580000}"/>
    <cellStyle name="SAPBEXHLevel1 5 9 2" xfId="4266" xr:uid="{00000000-0005-0000-0000-000079580000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2" xfId="857" xr:uid="{00000000-0005-0000-0000-000093580000}"/>
    <cellStyle name="SAPBEXHLevel1 6 2 10" xfId="22466" xr:uid="{00000000-0005-0000-0000-000094580000}"/>
    <cellStyle name="SAPBEXHLevel1 6 2 2" xfId="3261" xr:uid="{00000000-0005-0000-0000-000095580000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2" xfId="8429" xr:uid="{00000000-0005-0000-0000-0000B8580000}"/>
    <cellStyle name="SAPBEXHLevel1 6 3 2 2" xfId="24458" xr:uid="{00000000-0005-0000-0000-0000B9580000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4" xfId="4265" xr:uid="{00000000-0005-0000-0000-0000C5580000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2" xfId="859" xr:uid="{00000000-0005-0000-0000-0000DB580000}"/>
    <cellStyle name="SAPBEXHLevel1 7 2 10" xfId="22468" xr:uid="{00000000-0005-0000-0000-0000DC580000}"/>
    <cellStyle name="SAPBEXHLevel1 7 2 2" xfId="3263" xr:uid="{00000000-0005-0000-0000-0000DD580000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2" xfId="8431" xr:uid="{00000000-0005-0000-0000-000000590000}"/>
    <cellStyle name="SAPBEXHLevel1 7 3 2 2" xfId="24460" xr:uid="{00000000-0005-0000-0000-000001590000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4" xfId="4263" xr:uid="{00000000-0005-0000-0000-00000D590000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2" xfId="861" xr:uid="{00000000-0005-0000-0000-000023590000}"/>
    <cellStyle name="SAPBEXHLevel1 8 2 10" xfId="22470" xr:uid="{00000000-0005-0000-0000-000024590000}"/>
    <cellStyle name="SAPBEXHLevel1 8 2 2" xfId="3265" xr:uid="{00000000-0005-0000-0000-000025590000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2" xfId="8433" xr:uid="{00000000-0005-0000-0000-000048590000}"/>
    <cellStyle name="SAPBEXHLevel1 8 3 2 2" xfId="24462" xr:uid="{00000000-0005-0000-0000-000049590000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4" xfId="4261" xr:uid="{00000000-0005-0000-0000-000055590000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2" xfId="3267" xr:uid="{00000000-0005-0000-0000-00006B590000}"/>
    <cellStyle name="SAPBEXHLevel1 9 2 2" xfId="4258" xr:uid="{00000000-0005-0000-0000-00006C590000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3" xfId="3266" xr:uid="{00000000-0005-0000-0000-000083590000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2" xfId="3269" xr:uid="{00000000-0005-0000-0000-0000A7590000}"/>
    <cellStyle name="SAPBEXHLevel1X 10 2 2" xfId="4256" xr:uid="{00000000-0005-0000-0000-0000A8590000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3" xfId="4257" xr:uid="{00000000-0005-0000-0000-0000BF590000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1" xfId="1872" xr:uid="{00000000-0005-0000-0000-0000D6590000}"/>
    <cellStyle name="SAPBEXHLevel1X 11 2" xfId="3271" xr:uid="{00000000-0005-0000-0000-0000D7590000}"/>
    <cellStyle name="SAPBEXHLevel1X 11 2 2" xfId="4254" xr:uid="{00000000-0005-0000-0000-0000D8590000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3" xfId="4255" xr:uid="{00000000-0005-0000-0000-0000EF590000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2" xfId="2133" xr:uid="{00000000-0005-0000-0000-0000085A0000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3" xfId="3274" xr:uid="{00000000-0005-0000-0000-00001F5A0000}"/>
    <cellStyle name="SAPBEXHLevel1X 13 2" xfId="4253" xr:uid="{00000000-0005-0000-0000-0000205A0000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4" xfId="3275" xr:uid="{00000000-0005-0000-0000-0000375A0000}"/>
    <cellStyle name="SAPBEXHLevel1X 14 2" xfId="4252" xr:uid="{00000000-0005-0000-0000-0000385A0000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5" xfId="3276" xr:uid="{00000000-0005-0000-0000-00004F5A0000}"/>
    <cellStyle name="SAPBEXHLevel1X 15 2" xfId="4251" xr:uid="{00000000-0005-0000-0000-0000505A0000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6" xfId="3277" xr:uid="{00000000-0005-0000-0000-0000675A0000}"/>
    <cellStyle name="SAPBEXHLevel1X 16 2" xfId="4250" xr:uid="{00000000-0005-0000-0000-0000685A0000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7" xfId="3278" xr:uid="{00000000-0005-0000-0000-00007F5A0000}"/>
    <cellStyle name="SAPBEXHLevel1X 17 2" xfId="4249" xr:uid="{00000000-0005-0000-0000-0000805A0000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8" xfId="3279" xr:uid="{00000000-0005-0000-0000-0000975A0000}"/>
    <cellStyle name="SAPBEXHLevel1X 18 2" xfId="4248" xr:uid="{00000000-0005-0000-0000-0000985A0000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9" xfId="3280" xr:uid="{00000000-0005-0000-0000-0000AF5A0000}"/>
    <cellStyle name="SAPBEXHLevel1X 19 2" xfId="4247" xr:uid="{00000000-0005-0000-0000-0000B05A0000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2" xfId="863" xr:uid="{00000000-0005-0000-0000-0000C75A0000}"/>
    <cellStyle name="SAPBEXHLevel1X 2 10" xfId="3282" xr:uid="{00000000-0005-0000-0000-0000C85A0000}"/>
    <cellStyle name="SAPBEXHLevel1X 2 10 2" xfId="4245" xr:uid="{00000000-0005-0000-0000-0000C95A0000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1" xfId="3283" xr:uid="{00000000-0005-0000-0000-0000E05A0000}"/>
    <cellStyle name="SAPBEXHLevel1X 2 11 2" xfId="4244" xr:uid="{00000000-0005-0000-0000-0000E15A0000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2" xfId="3284" xr:uid="{00000000-0005-0000-0000-0000F85A0000}"/>
    <cellStyle name="SAPBEXHLevel1X 2 12 2" xfId="4243" xr:uid="{00000000-0005-0000-0000-0000F95A0000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3" xfId="3285" xr:uid="{00000000-0005-0000-0000-0000105B0000}"/>
    <cellStyle name="SAPBEXHLevel1X 2 13 2" xfId="4241" xr:uid="{00000000-0005-0000-0000-0000115B0000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4" xfId="3286" xr:uid="{00000000-0005-0000-0000-0000285B0000}"/>
    <cellStyle name="SAPBEXHLevel1X 2 14 2" xfId="4240" xr:uid="{00000000-0005-0000-0000-0000295B0000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5" xfId="3287" xr:uid="{00000000-0005-0000-0000-0000405B0000}"/>
    <cellStyle name="SAPBEXHLevel1X 2 15 2" xfId="4239" xr:uid="{00000000-0005-0000-0000-0000415B0000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6" xfId="3288" xr:uid="{00000000-0005-0000-0000-0000585B0000}"/>
    <cellStyle name="SAPBEXHLevel1X 2 16 2" xfId="4238" xr:uid="{00000000-0005-0000-0000-0000595B0000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7" xfId="3281" xr:uid="{00000000-0005-0000-0000-0000705B000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2" xfId="865" xr:uid="{00000000-0005-0000-0000-0000915B000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3" xfId="3289" xr:uid="{00000000-0005-0000-0000-00009F5B0000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4" xfId="4237" xr:uid="{00000000-0005-0000-0000-0000AD5B0000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3" xfId="3290" xr:uid="{00000000-0005-0000-0000-0000D05B0000}"/>
    <cellStyle name="SAPBEXHLevel1X 2 3 2" xfId="4236" xr:uid="{00000000-0005-0000-0000-0000D15B0000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4" xfId="3291" xr:uid="{00000000-0005-0000-0000-0000E85B0000}"/>
    <cellStyle name="SAPBEXHLevel1X 2 4 2" xfId="4235" xr:uid="{00000000-0005-0000-0000-0000E95B0000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5" xfId="3292" xr:uid="{00000000-0005-0000-0000-0000005C0000}"/>
    <cellStyle name="SAPBEXHLevel1X 2 5 2" xfId="4234" xr:uid="{00000000-0005-0000-0000-0000015C0000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6" xfId="3293" xr:uid="{00000000-0005-0000-0000-0000185C0000}"/>
    <cellStyle name="SAPBEXHLevel1X 2 6 2" xfId="4233" xr:uid="{00000000-0005-0000-0000-0000195C0000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7" xfId="3294" xr:uid="{00000000-0005-0000-0000-0000305C0000}"/>
    <cellStyle name="SAPBEXHLevel1X 2 7 2" xfId="4232" xr:uid="{00000000-0005-0000-0000-0000315C0000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8" xfId="3295" xr:uid="{00000000-0005-0000-0000-0000485C0000}"/>
    <cellStyle name="SAPBEXHLevel1X 2 8 2" xfId="4231" xr:uid="{00000000-0005-0000-0000-0000495C0000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9" xfId="3296" xr:uid="{00000000-0005-0000-0000-0000605C0000}"/>
    <cellStyle name="SAPBEXHLevel1X 2 9 2" xfId="4230" xr:uid="{00000000-0005-0000-0000-0000615C0000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0" xfId="4899" xr:uid="{00000000-0005-0000-0000-0000785C0000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1" xfId="5994" xr:uid="{00000000-0005-0000-0000-0000855C0000}"/>
    <cellStyle name="SAPBEXHLevel1X 21 2" xfId="22963" xr:uid="{00000000-0005-0000-0000-0000865C0000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3" xfId="866" xr:uid="{00000000-0005-0000-0000-00008F5C0000}"/>
    <cellStyle name="SAPBEXHLevel1X 3 10" xfId="3298" xr:uid="{00000000-0005-0000-0000-0000905C0000}"/>
    <cellStyle name="SAPBEXHLevel1X 3 10 2" xfId="4228" xr:uid="{00000000-0005-0000-0000-0000915C0000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1" xfId="3299" xr:uid="{00000000-0005-0000-0000-0000A85C0000}"/>
    <cellStyle name="SAPBEXHLevel1X 3 11 2" xfId="4227" xr:uid="{00000000-0005-0000-0000-0000A95C0000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2" xfId="3300" xr:uid="{00000000-0005-0000-0000-0000C05C0000}"/>
    <cellStyle name="SAPBEXHLevel1X 3 12 2" xfId="4226" xr:uid="{00000000-0005-0000-0000-0000C15C0000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3" xfId="3301" xr:uid="{00000000-0005-0000-0000-0000D85C0000}"/>
    <cellStyle name="SAPBEXHLevel1X 3 13 2" xfId="4225" xr:uid="{00000000-0005-0000-0000-0000D95C0000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4" xfId="3302" xr:uid="{00000000-0005-0000-0000-0000F05C0000}"/>
    <cellStyle name="SAPBEXHLevel1X 3 14 2" xfId="4224" xr:uid="{00000000-0005-0000-0000-0000F15C0000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5" xfId="3303" xr:uid="{00000000-0005-0000-0000-0000085D0000}"/>
    <cellStyle name="SAPBEXHLevel1X 3 15 2" xfId="4223" xr:uid="{00000000-0005-0000-0000-0000095D0000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6" xfId="4229" xr:uid="{00000000-0005-0000-0000-0000205D0000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7" xfId="5400" xr:uid="{00000000-0005-0000-0000-00002D5D0000}"/>
    <cellStyle name="SAPBEXHLevel1X 3 17 2" xfId="22660" xr:uid="{00000000-0005-0000-0000-00002E5D0000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2" xfId="3304" xr:uid="{00000000-0005-0000-0000-0000355D0000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3" xfId="3495" xr:uid="{00000000-0005-0000-0000-0000435D0000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3" xfId="1994" xr:uid="{00000000-0005-0000-0000-0000645D0000}"/>
    <cellStyle name="SAPBEXHLevel1X 3 3 2" xfId="3496" xr:uid="{00000000-0005-0000-0000-0000655D0000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4" xfId="3306" xr:uid="{00000000-0005-0000-0000-00007D5D0000}"/>
    <cellStyle name="SAPBEXHLevel1X 3 4 2" xfId="4950" xr:uid="{00000000-0005-0000-0000-00007E5D0000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5" xfId="3307" xr:uid="{00000000-0005-0000-0000-0000955D0000}"/>
    <cellStyle name="SAPBEXHLevel1X 3 5 2" xfId="4222" xr:uid="{00000000-0005-0000-0000-0000965D0000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6" xfId="3308" xr:uid="{00000000-0005-0000-0000-0000AD5D0000}"/>
    <cellStyle name="SAPBEXHLevel1X 3 6 2" xfId="4221" xr:uid="{00000000-0005-0000-0000-0000AE5D0000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7" xfId="3309" xr:uid="{00000000-0005-0000-0000-0000C55D0000}"/>
    <cellStyle name="SAPBEXHLevel1X 3 7 2" xfId="3519" xr:uid="{00000000-0005-0000-0000-0000C65D0000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8" xfId="3310" xr:uid="{00000000-0005-0000-0000-0000DD5D0000}"/>
    <cellStyle name="SAPBEXHLevel1X 3 8 2" xfId="4220" xr:uid="{00000000-0005-0000-0000-0000DE5D0000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9" xfId="3311" xr:uid="{00000000-0005-0000-0000-0000F55D0000}"/>
    <cellStyle name="SAPBEXHLevel1X 3 9 2" xfId="2134" xr:uid="{00000000-0005-0000-0000-0000F65D0000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4" xfId="868" xr:uid="{00000000-0005-0000-0000-00000D5E0000}"/>
    <cellStyle name="SAPBEXHLevel1X 4 10" xfId="3313" xr:uid="{00000000-0005-0000-0000-00000E5E0000}"/>
    <cellStyle name="SAPBEXHLevel1X 4 10 2" xfId="4949" xr:uid="{00000000-0005-0000-0000-00000F5E0000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1" xfId="3314" xr:uid="{00000000-0005-0000-0000-0000265E0000}"/>
    <cellStyle name="SAPBEXHLevel1X 4 11 2" xfId="4948" xr:uid="{00000000-0005-0000-0000-0000275E0000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2" xfId="3315" xr:uid="{00000000-0005-0000-0000-00003E5E0000}"/>
    <cellStyle name="SAPBEXHLevel1X 4 12 2" xfId="4947" xr:uid="{00000000-0005-0000-0000-00003F5E0000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3" xfId="3316" xr:uid="{00000000-0005-0000-0000-0000565E0000}"/>
    <cellStyle name="SAPBEXHLevel1X 4 13 2" xfId="3568" xr:uid="{00000000-0005-0000-0000-0000575E000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4" xfId="3317" xr:uid="{00000000-0005-0000-0000-00006E5E0000}"/>
    <cellStyle name="SAPBEXHLevel1X 4 14 2" xfId="3569" xr:uid="{00000000-0005-0000-0000-00006F5E0000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5" xfId="3318" xr:uid="{00000000-0005-0000-0000-0000865E0000}"/>
    <cellStyle name="SAPBEXHLevel1X 4 15 2" xfId="4218" xr:uid="{00000000-0005-0000-0000-0000875E0000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6" xfId="3312" xr:uid="{00000000-0005-0000-0000-00009E5E000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7" xfId="4219" xr:uid="{00000000-0005-0000-0000-0000AC5E0000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2" xfId="3319" xr:uid="{00000000-0005-0000-0000-0000C05E0000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3" xfId="4946" xr:uid="{00000000-0005-0000-0000-0000CE5E0000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2" xfId="3320" xr:uid="{00000000-0005-0000-0000-0000F45E0000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2" xfId="4216" xr:uid="{00000000-0005-0000-0000-00001C5F0000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5" xfId="3322" xr:uid="{00000000-0005-0000-0000-0000345F0000}"/>
    <cellStyle name="SAPBEXHLevel1X 4 5 2" xfId="4215" xr:uid="{00000000-0005-0000-0000-0000355F0000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6" xfId="3323" xr:uid="{00000000-0005-0000-0000-00004C5F0000}"/>
    <cellStyle name="SAPBEXHLevel1X 4 6 2" xfId="4214" xr:uid="{00000000-0005-0000-0000-00004D5F000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7" xfId="3324" xr:uid="{00000000-0005-0000-0000-0000645F0000}"/>
    <cellStyle name="SAPBEXHLevel1X 4 7 2" xfId="4213" xr:uid="{00000000-0005-0000-0000-0000655F0000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8" xfId="3325" xr:uid="{00000000-0005-0000-0000-00007C5F0000}"/>
    <cellStyle name="SAPBEXHLevel1X 4 8 2" xfId="4212" xr:uid="{00000000-0005-0000-0000-00007D5F0000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9" xfId="3326" xr:uid="{00000000-0005-0000-0000-0000945F0000}"/>
    <cellStyle name="SAPBEXHLevel1X 4 9 2" xfId="4211" xr:uid="{00000000-0005-0000-0000-0000955F0000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5" xfId="871" xr:uid="{00000000-0005-0000-0000-0000AC5F0000}"/>
    <cellStyle name="SAPBEXHLevel1X 5 10" xfId="3328" xr:uid="{00000000-0005-0000-0000-0000AD5F0000}"/>
    <cellStyle name="SAPBEXHLevel1X 5 10 2" xfId="4207" xr:uid="{00000000-0005-0000-0000-0000AE5F0000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1" xfId="3329" xr:uid="{00000000-0005-0000-0000-0000C55F0000}"/>
    <cellStyle name="SAPBEXHLevel1X 5 11 2" xfId="4206" xr:uid="{00000000-0005-0000-0000-0000C65F0000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2" xfId="3330" xr:uid="{00000000-0005-0000-0000-0000DD5F0000}"/>
    <cellStyle name="SAPBEXHLevel1X 5 12 2" xfId="4205" xr:uid="{00000000-0005-0000-0000-0000DE5F0000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3" xfId="3331" xr:uid="{00000000-0005-0000-0000-0000F55F0000}"/>
    <cellStyle name="SAPBEXHLevel1X 5 13 2" xfId="4204" xr:uid="{00000000-0005-0000-0000-0000F65F0000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4" xfId="3332" xr:uid="{00000000-0005-0000-0000-00000D600000}"/>
    <cellStyle name="SAPBEXHLevel1X 5 14 2" xfId="4203" xr:uid="{00000000-0005-0000-0000-00000E600000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5" xfId="3333" xr:uid="{00000000-0005-0000-0000-000025600000}"/>
    <cellStyle name="SAPBEXHLevel1X 5 15 2" xfId="4202" xr:uid="{00000000-0005-0000-0000-000026600000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6" xfId="3327" xr:uid="{00000000-0005-0000-0000-00003D600000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7" xfId="4210" xr:uid="{00000000-0005-0000-0000-00004B600000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2" xfId="3334" xr:uid="{00000000-0005-0000-0000-00005E600000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3" xfId="3335" xr:uid="{00000000-0005-0000-0000-00008F600000}"/>
    <cellStyle name="SAPBEXHLevel1X 5 3 2" xfId="4200" xr:uid="{00000000-0005-0000-0000-000090600000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4" xfId="3336" xr:uid="{00000000-0005-0000-0000-0000A8600000}"/>
    <cellStyle name="SAPBEXHLevel1X 5 4 2" xfId="4199" xr:uid="{00000000-0005-0000-0000-0000A9600000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5" xfId="3337" xr:uid="{00000000-0005-0000-0000-0000C0600000}"/>
    <cellStyle name="SAPBEXHLevel1X 5 5 2" xfId="4198" xr:uid="{00000000-0005-0000-0000-0000C1600000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6" xfId="3338" xr:uid="{00000000-0005-0000-0000-0000D8600000}"/>
    <cellStyle name="SAPBEXHLevel1X 5 6 2" xfId="4197" xr:uid="{00000000-0005-0000-0000-0000D9600000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7" xfId="3339" xr:uid="{00000000-0005-0000-0000-0000F0600000}"/>
    <cellStyle name="SAPBEXHLevel1X 5 7 2" xfId="4196" xr:uid="{00000000-0005-0000-0000-0000F1600000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8" xfId="3340" xr:uid="{00000000-0005-0000-0000-000008610000}"/>
    <cellStyle name="SAPBEXHLevel1X 5 8 2" xfId="4195" xr:uid="{00000000-0005-0000-0000-000009610000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9" xfId="3341" xr:uid="{00000000-0005-0000-0000-000020610000}"/>
    <cellStyle name="SAPBEXHLevel1X 5 9 2" xfId="4194" xr:uid="{00000000-0005-0000-0000-00002161000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2" xfId="1874" xr:uid="{00000000-0005-0000-0000-00003C610000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2" xfId="3343" xr:uid="{00000000-0005-0000-0000-000071610000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2" xfId="4192" xr:uid="{00000000-0005-0000-0000-000099610000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9" xfId="1876" xr:uid="{00000000-0005-0000-0000-0000B0610000}"/>
    <cellStyle name="SAPBEXHLevel1X 9 2" xfId="3593" xr:uid="{00000000-0005-0000-0000-0000B1610000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2" xfId="3346" xr:uid="{00000000-0005-0000-0000-0000CC610000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2" xfId="4191" xr:uid="{00000000-0005-0000-0000-0000EF610000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2" xfId="1880" xr:uid="{00000000-0005-0000-0000-000006620000}"/>
    <cellStyle name="SAPBEXHLevel2 12 2" xfId="4944" xr:uid="{00000000-0005-0000-0000-000007620000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3" xfId="3349" xr:uid="{00000000-0005-0000-0000-00001E620000}"/>
    <cellStyle name="SAPBEXHLevel2 13 2" xfId="4190" xr:uid="{00000000-0005-0000-0000-00001F620000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4" xfId="3350" xr:uid="{00000000-0005-0000-0000-000036620000}"/>
    <cellStyle name="SAPBEXHLevel2 14 2" xfId="3601" xr:uid="{00000000-0005-0000-0000-000037620000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5" xfId="3351" xr:uid="{00000000-0005-0000-0000-00004E620000}"/>
    <cellStyle name="SAPBEXHLevel2 15 2" xfId="4943" xr:uid="{00000000-0005-0000-0000-00004F620000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6" xfId="3352" xr:uid="{00000000-0005-0000-0000-000066620000}"/>
    <cellStyle name="SAPBEXHLevel2 16 2" xfId="4942" xr:uid="{00000000-0005-0000-0000-000067620000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7" xfId="3353" xr:uid="{00000000-0005-0000-0000-00007E620000}"/>
    <cellStyle name="SAPBEXHLevel2 17 2" xfId="4189" xr:uid="{00000000-0005-0000-0000-00007F620000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8" xfId="3354" xr:uid="{00000000-0005-0000-0000-000096620000}"/>
    <cellStyle name="SAPBEXHLevel2 18 2" xfId="4188" xr:uid="{00000000-0005-0000-0000-000097620000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9" xfId="3355" xr:uid="{00000000-0005-0000-0000-0000AE620000}"/>
    <cellStyle name="SAPBEXHLevel2 19 2" xfId="4187" xr:uid="{00000000-0005-0000-0000-0000AF620000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2" xfId="875" xr:uid="{00000000-0005-0000-0000-0000C6620000}"/>
    <cellStyle name="SAPBEXHLevel2 2 10" xfId="3357" xr:uid="{00000000-0005-0000-0000-0000C7620000}"/>
    <cellStyle name="SAPBEXHLevel2 2 10 2" xfId="4185" xr:uid="{00000000-0005-0000-0000-0000C8620000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1" xfId="3358" xr:uid="{00000000-0005-0000-0000-0000DF620000}"/>
    <cellStyle name="SAPBEXHLevel2 2 11 2" xfId="4941" xr:uid="{00000000-0005-0000-0000-0000E0620000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2" xfId="3359" xr:uid="{00000000-0005-0000-0000-0000F7620000}"/>
    <cellStyle name="SAPBEXHLevel2 2 12 2" xfId="4940" xr:uid="{00000000-0005-0000-0000-0000F8620000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3" xfId="3360" xr:uid="{00000000-0005-0000-0000-00000F630000}"/>
    <cellStyle name="SAPBEXHLevel2 2 13 2" xfId="3640" xr:uid="{00000000-0005-0000-0000-000010630000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4" xfId="3361" xr:uid="{00000000-0005-0000-0000-000027630000}"/>
    <cellStyle name="SAPBEXHLevel2 2 14 2" xfId="4184" xr:uid="{00000000-0005-0000-0000-000028630000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5" xfId="3362" xr:uid="{00000000-0005-0000-0000-00003F630000}"/>
    <cellStyle name="SAPBEXHLevel2 2 15 2" xfId="3641" xr:uid="{00000000-0005-0000-0000-000040630000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6" xfId="3356" xr:uid="{00000000-0005-0000-0000-000057630000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2" xfId="877" xr:uid="{00000000-0005-0000-0000-000079630000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3" xfId="3363" xr:uid="{00000000-0005-0000-0000-000087630000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4" xfId="4939" xr:uid="{00000000-0005-0000-0000-00009563000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3" xfId="1881" xr:uid="{00000000-0005-0000-0000-0000B2630000}"/>
    <cellStyle name="SAPBEXHLevel2 2 3 10" xfId="23059" xr:uid="{00000000-0005-0000-0000-0000B3630000}"/>
    <cellStyle name="SAPBEXHLevel2 2 3 2" xfId="3364" xr:uid="{00000000-0005-0000-0000-0000B4630000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2" xfId="3365" xr:uid="{00000000-0005-0000-0000-0000D8630000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2" xfId="4951" xr:uid="{00000000-0005-0000-0000-0000FB630000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6" xfId="3367" xr:uid="{00000000-0005-0000-0000-000012640000}"/>
    <cellStyle name="SAPBEXHLevel2 2 6 2" xfId="4183" xr:uid="{00000000-0005-0000-0000-000013640000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7" xfId="3368" xr:uid="{00000000-0005-0000-0000-00002A640000}"/>
    <cellStyle name="SAPBEXHLevel2 2 7 2" xfId="4182" xr:uid="{00000000-0005-0000-0000-00002B640000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8" xfId="3369" xr:uid="{00000000-0005-0000-0000-000042640000}"/>
    <cellStyle name="SAPBEXHLevel2 2 8 2" xfId="4181" xr:uid="{00000000-0005-0000-0000-000043640000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9" xfId="3370" xr:uid="{00000000-0005-0000-0000-00005A640000}"/>
    <cellStyle name="SAPBEXHLevel2 2 9 2" xfId="4180" xr:uid="{00000000-0005-0000-0000-00005B640000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0" xfId="4898" xr:uid="{00000000-0005-0000-0000-000072640000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3" xfId="878" xr:uid="{00000000-0005-0000-0000-000089640000}"/>
    <cellStyle name="SAPBEXHLevel2 3 10" xfId="3372" xr:uid="{00000000-0005-0000-0000-00008A640000}"/>
    <cellStyle name="SAPBEXHLevel2 3 10 2" xfId="4178" xr:uid="{00000000-0005-0000-0000-00008B640000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1" xfId="3373" xr:uid="{00000000-0005-0000-0000-0000A2640000}"/>
    <cellStyle name="SAPBEXHLevel2 3 11 2" xfId="4177" xr:uid="{00000000-0005-0000-0000-0000A3640000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2" xfId="3374" xr:uid="{00000000-0005-0000-0000-0000BA640000}"/>
    <cellStyle name="SAPBEXHLevel2 3 12 2" xfId="4176" xr:uid="{00000000-0005-0000-0000-0000BB640000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3" xfId="3375" xr:uid="{00000000-0005-0000-0000-0000D2640000}"/>
    <cellStyle name="SAPBEXHLevel2 3 13 2" xfId="2136" xr:uid="{00000000-0005-0000-0000-0000D3640000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4" xfId="3376" xr:uid="{00000000-0005-0000-0000-0000EA640000}"/>
    <cellStyle name="SAPBEXHLevel2 3 14 2" xfId="2137" xr:uid="{00000000-0005-0000-0000-0000EB640000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5" xfId="3377" xr:uid="{00000000-0005-0000-0000-000002650000}"/>
    <cellStyle name="SAPBEXHLevel2 3 15 2" xfId="4175" xr:uid="{00000000-0005-0000-0000-000003650000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6" xfId="4179" xr:uid="{00000000-0005-0000-0000-00001A650000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2" xfId="4174" xr:uid="{00000000-0005-0000-0000-00002E650000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3" xfId="3379" xr:uid="{00000000-0005-0000-0000-00004A650000}"/>
    <cellStyle name="SAPBEXHLevel2 3 3 2" xfId="4173" xr:uid="{00000000-0005-0000-0000-00004B650000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4" xfId="3380" xr:uid="{00000000-0005-0000-0000-000062650000}"/>
    <cellStyle name="SAPBEXHLevel2 3 4 2" xfId="4172" xr:uid="{00000000-0005-0000-0000-000063650000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5" xfId="3381" xr:uid="{00000000-0005-0000-0000-00007A650000}"/>
    <cellStyle name="SAPBEXHLevel2 3 5 2" xfId="4171" xr:uid="{00000000-0005-0000-0000-00007B650000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6" xfId="3382" xr:uid="{00000000-0005-0000-0000-000092650000}"/>
    <cellStyle name="SAPBEXHLevel2 3 6 2" xfId="4170" xr:uid="{00000000-0005-0000-0000-00009365000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7" xfId="3383" xr:uid="{00000000-0005-0000-0000-0000AA650000}"/>
    <cellStyle name="SAPBEXHLevel2 3 7 2" xfId="4169" xr:uid="{00000000-0005-0000-0000-0000AB650000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8" xfId="3384" xr:uid="{00000000-0005-0000-0000-0000C2650000}"/>
    <cellStyle name="SAPBEXHLevel2 3 8 2" xfId="4168" xr:uid="{00000000-0005-0000-0000-0000C3650000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9" xfId="3385" xr:uid="{00000000-0005-0000-0000-0000DA650000}"/>
    <cellStyle name="SAPBEXHLevel2 3 9 2" xfId="4167" xr:uid="{00000000-0005-0000-0000-0000DB650000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4" xfId="879" xr:uid="{00000000-0005-0000-0000-0000F2650000}"/>
    <cellStyle name="SAPBEXHLevel2 4 10" xfId="3387" xr:uid="{00000000-0005-0000-0000-0000F3650000}"/>
    <cellStyle name="SAPBEXHLevel2 4 10 2" xfId="4924" xr:uid="{00000000-0005-0000-0000-0000F4650000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1" xfId="3388" xr:uid="{00000000-0005-0000-0000-00000B660000}"/>
    <cellStyle name="SAPBEXHLevel2 4 11 2" xfId="4166" xr:uid="{00000000-0005-0000-0000-00000C660000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2" xfId="3389" xr:uid="{00000000-0005-0000-0000-000023660000}"/>
    <cellStyle name="SAPBEXHLevel2 4 12 2" xfId="4165" xr:uid="{00000000-0005-0000-0000-000024660000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3" xfId="3390" xr:uid="{00000000-0005-0000-0000-00003B660000}"/>
    <cellStyle name="SAPBEXHLevel2 4 13 2" xfId="4164" xr:uid="{00000000-0005-0000-0000-00003C660000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4" xfId="3391" xr:uid="{00000000-0005-0000-0000-000053660000}"/>
    <cellStyle name="SAPBEXHLevel2 4 14 2" xfId="4163" xr:uid="{00000000-0005-0000-0000-000054660000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5" xfId="3392" xr:uid="{00000000-0005-0000-0000-00006B660000}"/>
    <cellStyle name="SAPBEXHLevel2 4 15 2" xfId="4162" xr:uid="{00000000-0005-0000-0000-00006C660000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6" xfId="3386" xr:uid="{00000000-0005-0000-0000-000083660000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2" xfId="3393" xr:uid="{00000000-0005-0000-0000-0000A5660000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3" xfId="4936" xr:uid="{00000000-0005-0000-0000-0000B3660000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2" xfId="3394" xr:uid="{00000000-0005-0000-0000-0000D9660000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2" xfId="4160" xr:uid="{00000000-0005-0000-0000-000001670000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5" xfId="3396" xr:uid="{00000000-0005-0000-0000-000018670000}"/>
    <cellStyle name="SAPBEXHLevel2 4 5 2" xfId="4935" xr:uid="{00000000-0005-0000-0000-00001967000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6" xfId="3397" xr:uid="{00000000-0005-0000-0000-000030670000}"/>
    <cellStyle name="SAPBEXHLevel2 4 6 2" xfId="4159" xr:uid="{00000000-0005-0000-0000-000031670000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7" xfId="3398" xr:uid="{00000000-0005-0000-0000-000048670000}"/>
    <cellStyle name="SAPBEXHLevel2 4 7 2" xfId="4158" xr:uid="{00000000-0005-0000-0000-000049670000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8" xfId="3399" xr:uid="{00000000-0005-0000-0000-000060670000}"/>
    <cellStyle name="SAPBEXHLevel2 4 8 2" xfId="4934" xr:uid="{00000000-0005-0000-0000-000061670000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9" xfId="3400" xr:uid="{00000000-0005-0000-0000-000078670000}"/>
    <cellStyle name="SAPBEXHLevel2 4 9 2" xfId="4157" xr:uid="{00000000-0005-0000-0000-000079670000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5" xfId="882" xr:uid="{00000000-0005-0000-0000-000090670000}"/>
    <cellStyle name="SAPBEXHLevel2 5 10" xfId="3402" xr:uid="{00000000-0005-0000-0000-000091670000}"/>
    <cellStyle name="SAPBEXHLevel2 5 10 2" xfId="4156" xr:uid="{00000000-0005-0000-0000-000092670000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1" xfId="3403" xr:uid="{00000000-0005-0000-0000-0000A9670000}"/>
    <cellStyle name="SAPBEXHLevel2 5 11 2" xfId="4155" xr:uid="{00000000-0005-0000-0000-0000AA670000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2" xfId="3404" xr:uid="{00000000-0005-0000-0000-0000C1670000}"/>
    <cellStyle name="SAPBEXHLevel2 5 12 2" xfId="4154" xr:uid="{00000000-0005-0000-0000-0000C2670000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3" xfId="3405" xr:uid="{00000000-0005-0000-0000-0000D9670000}"/>
    <cellStyle name="SAPBEXHLevel2 5 13 2" xfId="4153" xr:uid="{00000000-0005-0000-0000-0000DA670000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4" xfId="3406" xr:uid="{00000000-0005-0000-0000-0000F1670000}"/>
    <cellStyle name="SAPBEXHLevel2 5 14 2" xfId="4152" xr:uid="{00000000-0005-0000-0000-0000F2670000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5" xfId="3407" xr:uid="{00000000-0005-0000-0000-000009680000}"/>
    <cellStyle name="SAPBEXHLevel2 5 15 2" xfId="4151" xr:uid="{00000000-0005-0000-0000-00000A680000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6" xfId="3401" xr:uid="{00000000-0005-0000-0000-000021680000}"/>
    <cellStyle name="SAPBEXHLevel2 5 16 2" xfId="8569" xr:uid="{00000000-0005-0000-0000-000022680000}"/>
    <cellStyle name="SAPBEXHLevel2 5 16 2 2" xfId="24598" xr:uid="{00000000-0005-0000-0000-000023680000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7" xfId="4933" xr:uid="{00000000-0005-0000-0000-00002F680000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2" xfId="3408" xr:uid="{00000000-0005-0000-0000-000041680000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3" xfId="3409" xr:uid="{00000000-0005-0000-0000-000069680000}"/>
    <cellStyle name="SAPBEXHLevel2 5 3 2" xfId="4149" xr:uid="{00000000-0005-0000-0000-00006A680000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2" xfId="4148" xr:uid="{00000000-0005-0000-0000-000084680000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5" xfId="3411" xr:uid="{00000000-0005-0000-0000-00009B680000}"/>
    <cellStyle name="SAPBEXHLevel2 5 5 2" xfId="4147" xr:uid="{00000000-0005-0000-0000-00009C680000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6" xfId="3412" xr:uid="{00000000-0005-0000-0000-0000B3680000}"/>
    <cellStyle name="SAPBEXHLevel2 5 6 2" xfId="4146" xr:uid="{00000000-0005-0000-0000-0000B4680000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7" xfId="3413" xr:uid="{00000000-0005-0000-0000-0000CB680000}"/>
    <cellStyle name="SAPBEXHLevel2 5 7 2" xfId="4145" xr:uid="{00000000-0005-0000-0000-0000CC680000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8" xfId="3414" xr:uid="{00000000-0005-0000-0000-0000E3680000}"/>
    <cellStyle name="SAPBEXHLevel2 5 8 2" xfId="4144" xr:uid="{00000000-0005-0000-0000-0000E4680000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9" xfId="3415" xr:uid="{00000000-0005-0000-0000-0000FB680000}"/>
    <cellStyle name="SAPBEXHLevel2 5 9 2" xfId="4143" xr:uid="{00000000-0005-0000-0000-0000FC680000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2" xfId="885" xr:uid="{00000000-0005-0000-0000-000016690000}"/>
    <cellStyle name="SAPBEXHLevel2 6 2 2" xfId="5384" xr:uid="{00000000-0005-0000-0000-000017690000}"/>
    <cellStyle name="SAPBEXHLevel2 6 2 2 2" xfId="37527" xr:uid="{00000000-0005-0000-0000-000018690000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3" xfId="3416" xr:uid="{00000000-0005-0000-0000-00001F690000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2" xfId="887" xr:uid="{00000000-0005-0000-0000-000043690000}"/>
    <cellStyle name="SAPBEXHLevel2 7 2 2" xfId="5382" xr:uid="{00000000-0005-0000-0000-000044690000}"/>
    <cellStyle name="SAPBEXHLevel2 7 2 2 2" xfId="37111" xr:uid="{00000000-0005-0000-0000-000045690000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3" xfId="3417" xr:uid="{00000000-0005-0000-0000-00004C690000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2" xfId="889" xr:uid="{00000000-0005-0000-0000-000070690000}"/>
    <cellStyle name="SAPBEXHLevel2 8 2 2" xfId="5380" xr:uid="{00000000-0005-0000-0000-000071690000}"/>
    <cellStyle name="SAPBEXHLevel2 8 2 2 2" xfId="37525" xr:uid="{00000000-0005-0000-0000-000072690000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3" xfId="3418" xr:uid="{00000000-0005-0000-0000-000079690000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2" xfId="3419" xr:uid="{00000000-0005-0000-0000-00009C690000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2" xfId="4138" xr:uid="{00000000-0005-0000-0000-0000C1690000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1" xfId="1885" xr:uid="{00000000-0005-0000-0000-0000D8690000}"/>
    <cellStyle name="SAPBEXHLevel2X 11 2" xfId="4137" xr:uid="{00000000-0005-0000-0000-0000D9690000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2" xfId="1886" xr:uid="{00000000-0005-0000-0000-0000F0690000}"/>
    <cellStyle name="SAPBEXHLevel2X 12 2" xfId="4136" xr:uid="{00000000-0005-0000-0000-0000F1690000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3" xfId="3423" xr:uid="{00000000-0005-0000-0000-0000086A0000}"/>
    <cellStyle name="SAPBEXHLevel2X 13 2" xfId="4135" xr:uid="{00000000-0005-0000-0000-0000096A0000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4" xfId="3424" xr:uid="{00000000-0005-0000-0000-0000206A0000}"/>
    <cellStyle name="SAPBEXHLevel2X 14 2" xfId="4134" xr:uid="{00000000-0005-0000-0000-0000216A0000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5" xfId="3425" xr:uid="{00000000-0005-0000-0000-0000386A0000}"/>
    <cellStyle name="SAPBEXHLevel2X 15 2" xfId="4133" xr:uid="{00000000-0005-0000-0000-0000396A0000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6" xfId="3426" xr:uid="{00000000-0005-0000-0000-0000506A0000}"/>
    <cellStyle name="SAPBEXHLevel2X 16 2" xfId="4132" xr:uid="{00000000-0005-0000-0000-0000516A0000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7" xfId="3427" xr:uid="{00000000-0005-0000-0000-0000686A0000}"/>
    <cellStyle name="SAPBEXHLevel2X 17 2" xfId="4131" xr:uid="{00000000-0005-0000-0000-0000696A0000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8" xfId="3428" xr:uid="{00000000-0005-0000-0000-0000806A0000}"/>
    <cellStyle name="SAPBEXHLevel2X 18 2" xfId="4130" xr:uid="{00000000-0005-0000-0000-0000816A0000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9" xfId="3429" xr:uid="{00000000-0005-0000-0000-0000986A0000}"/>
    <cellStyle name="SAPBEXHLevel2X 19 2" xfId="4129" xr:uid="{00000000-0005-0000-0000-0000996A0000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2" xfId="891" xr:uid="{00000000-0005-0000-0000-0000B06A0000}"/>
    <cellStyle name="SAPBEXHLevel2X 2 10" xfId="3431" xr:uid="{00000000-0005-0000-0000-0000B16A0000}"/>
    <cellStyle name="SAPBEXHLevel2X 2 10 2" xfId="4127" xr:uid="{00000000-0005-0000-0000-0000B26A0000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1" xfId="3432" xr:uid="{00000000-0005-0000-0000-0000C96A0000}"/>
    <cellStyle name="SAPBEXHLevel2X 2 11 2" xfId="4126" xr:uid="{00000000-0005-0000-0000-0000CA6A0000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2" xfId="3433" xr:uid="{00000000-0005-0000-0000-0000E16A0000}"/>
    <cellStyle name="SAPBEXHLevel2X 2 12 2" xfId="4125" xr:uid="{00000000-0005-0000-0000-0000E26A0000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3" xfId="3434" xr:uid="{00000000-0005-0000-0000-0000F96A0000}"/>
    <cellStyle name="SAPBEXHLevel2X 2 13 2" xfId="4124" xr:uid="{00000000-0005-0000-0000-0000FA6A0000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4" xfId="3435" xr:uid="{00000000-0005-0000-0000-0000116B0000}"/>
    <cellStyle name="SAPBEXHLevel2X 2 14 2" xfId="4121" xr:uid="{00000000-0005-0000-0000-0000126B0000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5" xfId="3436" xr:uid="{00000000-0005-0000-0000-0000296B0000}"/>
    <cellStyle name="SAPBEXHLevel2X 2 15 2" xfId="4120" xr:uid="{00000000-0005-0000-0000-00002A6B0000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6" xfId="3430" xr:uid="{00000000-0005-0000-0000-0000416B0000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2" xfId="893" xr:uid="{00000000-0005-0000-0000-0000646B0000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3" xfId="3437" xr:uid="{00000000-0005-0000-0000-0000726B0000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4" xfId="4119" xr:uid="{00000000-0005-0000-0000-0000806B0000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3" xfId="3438" xr:uid="{00000000-0005-0000-0000-0000A16B0000}"/>
    <cellStyle name="SAPBEXHLevel2X 2 3 2" xfId="4118" xr:uid="{00000000-0005-0000-0000-0000A26B0000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4" xfId="3439" xr:uid="{00000000-0005-0000-0000-0000B96B0000}"/>
    <cellStyle name="SAPBEXHLevel2X 2 4 2" xfId="4117" xr:uid="{00000000-0005-0000-0000-0000BA6B0000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5" xfId="3440" xr:uid="{00000000-0005-0000-0000-0000D16B0000}"/>
    <cellStyle name="SAPBEXHLevel2X 2 5 2" xfId="4116" xr:uid="{00000000-0005-0000-0000-0000D26B0000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6" xfId="3441" xr:uid="{00000000-0005-0000-0000-0000E96B0000}"/>
    <cellStyle name="SAPBEXHLevel2X 2 6 2" xfId="4115" xr:uid="{00000000-0005-0000-0000-0000EA6B0000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7" xfId="3442" xr:uid="{00000000-0005-0000-0000-0000016C0000}"/>
    <cellStyle name="SAPBEXHLevel2X 2 7 2" xfId="4114" xr:uid="{00000000-0005-0000-0000-0000026C0000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8" xfId="3443" xr:uid="{00000000-0005-0000-0000-0000196C0000}"/>
    <cellStyle name="SAPBEXHLevel2X 2 8 2" xfId="4113" xr:uid="{00000000-0005-0000-0000-00001A6C0000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9" xfId="3444" xr:uid="{00000000-0005-0000-0000-0000316C0000}"/>
    <cellStyle name="SAPBEXHLevel2X 2 9 2" xfId="4112" xr:uid="{00000000-0005-0000-0000-0000326C0000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0" xfId="4897" xr:uid="{00000000-0005-0000-0000-0000496C0000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3" xfId="894" xr:uid="{00000000-0005-0000-0000-0000606C0000}"/>
    <cellStyle name="SAPBEXHLevel2X 3 10" xfId="3446" xr:uid="{00000000-0005-0000-0000-0000616C0000}"/>
    <cellStyle name="SAPBEXHLevel2X 3 10 2" xfId="4110" xr:uid="{00000000-0005-0000-0000-0000626C0000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1" xfId="3447" xr:uid="{00000000-0005-0000-0000-0000796C0000}"/>
    <cellStyle name="SAPBEXHLevel2X 3 11 2" xfId="4109" xr:uid="{00000000-0005-0000-0000-00007A6C0000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2" xfId="3448" xr:uid="{00000000-0005-0000-0000-0000916C0000}"/>
    <cellStyle name="SAPBEXHLevel2X 3 12 2" xfId="4108" xr:uid="{00000000-0005-0000-0000-0000926C0000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3" xfId="3449" xr:uid="{00000000-0005-0000-0000-0000A96C0000}"/>
    <cellStyle name="SAPBEXHLevel2X 3 13 2" xfId="4107" xr:uid="{00000000-0005-0000-0000-0000AA6C0000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4" xfId="3450" xr:uid="{00000000-0005-0000-0000-0000C16C0000}"/>
    <cellStyle name="SAPBEXHLevel2X 3 14 2" xfId="4106" xr:uid="{00000000-0005-0000-0000-0000C26C0000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5" xfId="3451" xr:uid="{00000000-0005-0000-0000-0000D96C0000}"/>
    <cellStyle name="SAPBEXHLevel2X 3 15 2" xfId="4105" xr:uid="{00000000-0005-0000-0000-0000DA6C0000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6" xfId="4111" xr:uid="{00000000-0005-0000-0000-0000F16C0000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7" xfId="5375" xr:uid="{00000000-0005-0000-0000-0000FE6C0000}"/>
    <cellStyle name="SAPBEXHLevel2X 3 17 2" xfId="22645" xr:uid="{00000000-0005-0000-0000-0000FF6C0000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2" xfId="3452" xr:uid="{00000000-0005-0000-0000-0000066D0000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3" xfId="4104" xr:uid="{00000000-0005-0000-0000-0000146D0000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3" xfId="1999" xr:uid="{00000000-0005-0000-0000-0000356D0000}"/>
    <cellStyle name="SAPBEXHLevel2X 3 3 2" xfId="4103" xr:uid="{00000000-0005-0000-0000-0000366D0000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4" xfId="3454" xr:uid="{00000000-0005-0000-0000-00004E6D0000}"/>
    <cellStyle name="SAPBEXHLevel2X 3 4 2" xfId="4102" xr:uid="{00000000-0005-0000-0000-00004F6D0000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5" xfId="3455" xr:uid="{00000000-0005-0000-0000-0000666D0000}"/>
    <cellStyle name="SAPBEXHLevel2X 3 5 2" xfId="4101" xr:uid="{00000000-0005-0000-0000-0000676D0000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6" xfId="3456" xr:uid="{00000000-0005-0000-0000-00007E6D0000}"/>
    <cellStyle name="SAPBEXHLevel2X 3 6 2" xfId="4100" xr:uid="{00000000-0005-0000-0000-00007F6D0000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7" xfId="3457" xr:uid="{00000000-0005-0000-0000-0000966D0000}"/>
    <cellStyle name="SAPBEXHLevel2X 3 7 2" xfId="4099" xr:uid="{00000000-0005-0000-0000-0000976D0000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8" xfId="3458" xr:uid="{00000000-0005-0000-0000-0000AE6D0000}"/>
    <cellStyle name="SAPBEXHLevel2X 3 8 2" xfId="4098" xr:uid="{00000000-0005-0000-0000-0000AF6D0000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9" xfId="3459" xr:uid="{00000000-0005-0000-0000-0000C66D0000}"/>
    <cellStyle name="SAPBEXHLevel2X 3 9 2" xfId="4097" xr:uid="{00000000-0005-0000-0000-0000C76D0000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4" xfId="896" xr:uid="{00000000-0005-0000-0000-0000DE6D0000}"/>
    <cellStyle name="SAPBEXHLevel2X 4 10" xfId="3461" xr:uid="{00000000-0005-0000-0000-0000DF6D0000}"/>
    <cellStyle name="SAPBEXHLevel2X 4 10 2" xfId="4095" xr:uid="{00000000-0005-0000-0000-0000E06D0000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1" xfId="3462" xr:uid="{00000000-0005-0000-0000-0000F76D0000}"/>
    <cellStyle name="SAPBEXHLevel2X 4 11 2" xfId="4094" xr:uid="{00000000-0005-0000-0000-0000F86D0000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2" xfId="3463" xr:uid="{00000000-0005-0000-0000-00000F6E0000}"/>
    <cellStyle name="SAPBEXHLevel2X 4 12 2" xfId="4093" xr:uid="{00000000-0005-0000-0000-0000106E0000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3" xfId="3464" xr:uid="{00000000-0005-0000-0000-0000276E0000}"/>
    <cellStyle name="SAPBEXHLevel2X 4 13 2" xfId="4092" xr:uid="{00000000-0005-0000-0000-0000286E0000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4" xfId="3465" xr:uid="{00000000-0005-0000-0000-00003F6E0000}"/>
    <cellStyle name="SAPBEXHLevel2X 4 14 2" xfId="4089" xr:uid="{00000000-0005-0000-0000-0000406E0000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5" xfId="3466" xr:uid="{00000000-0005-0000-0000-0000576E0000}"/>
    <cellStyle name="SAPBEXHLevel2X 4 15 2" xfId="4088" xr:uid="{00000000-0005-0000-0000-0000586E0000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6" xfId="3460" xr:uid="{00000000-0005-0000-0000-00006F6E0000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7" xfId="4096" xr:uid="{00000000-0005-0000-0000-00007D6E0000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2" xfId="3467" xr:uid="{00000000-0005-0000-0000-0000916E0000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3" xfId="4087" xr:uid="{00000000-0005-0000-0000-00009F6E0000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2" xfId="3468" xr:uid="{00000000-0005-0000-0000-0000C56E0000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2" xfId="4085" xr:uid="{00000000-0005-0000-0000-0000ED6E0000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5" xfId="3470" xr:uid="{00000000-0005-0000-0000-0000056F0000}"/>
    <cellStyle name="SAPBEXHLevel2X 4 5 2" xfId="4084" xr:uid="{00000000-0005-0000-0000-0000066F0000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6" xfId="3471" xr:uid="{00000000-0005-0000-0000-00001D6F0000}"/>
    <cellStyle name="SAPBEXHLevel2X 4 6 2" xfId="4083" xr:uid="{00000000-0005-0000-0000-00001E6F0000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7" xfId="3472" xr:uid="{00000000-0005-0000-0000-0000356F0000}"/>
    <cellStyle name="SAPBEXHLevel2X 4 7 2" xfId="4082" xr:uid="{00000000-0005-0000-0000-0000366F0000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8" xfId="3473" xr:uid="{00000000-0005-0000-0000-00004D6F0000}"/>
    <cellStyle name="SAPBEXHLevel2X 4 8 2" xfId="4081" xr:uid="{00000000-0005-0000-0000-00004E6F0000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9" xfId="3474" xr:uid="{00000000-0005-0000-0000-0000656F0000}"/>
    <cellStyle name="SAPBEXHLevel2X 4 9 2" xfId="4080" xr:uid="{00000000-0005-0000-0000-0000666F0000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5" xfId="899" xr:uid="{00000000-0005-0000-0000-00007D6F0000}"/>
    <cellStyle name="SAPBEXHLevel2X 5 10" xfId="3476" xr:uid="{00000000-0005-0000-0000-00007E6F0000}"/>
    <cellStyle name="SAPBEXHLevel2X 5 10 2" xfId="4078" xr:uid="{00000000-0005-0000-0000-00007F6F0000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1" xfId="3477" xr:uid="{00000000-0005-0000-0000-0000966F0000}"/>
    <cellStyle name="SAPBEXHLevel2X 5 11 2" xfId="4077" xr:uid="{00000000-0005-0000-0000-0000976F0000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2" xfId="3478" xr:uid="{00000000-0005-0000-0000-0000AE6F0000}"/>
    <cellStyle name="SAPBEXHLevel2X 5 12 2" xfId="4076" xr:uid="{00000000-0005-0000-0000-0000AF6F0000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3" xfId="3479" xr:uid="{00000000-0005-0000-0000-0000C66F0000}"/>
    <cellStyle name="SAPBEXHLevel2X 5 13 2" xfId="4075" xr:uid="{00000000-0005-0000-0000-0000C76F0000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4" xfId="3480" xr:uid="{00000000-0005-0000-0000-0000DE6F0000}"/>
    <cellStyle name="SAPBEXHLevel2X 5 14 2" xfId="4074" xr:uid="{00000000-0005-0000-0000-0000DF6F0000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5" xfId="3481" xr:uid="{00000000-0005-0000-0000-0000F66F0000}"/>
    <cellStyle name="SAPBEXHLevel2X 5 15 2" xfId="4073" xr:uid="{00000000-0005-0000-0000-0000F76F000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6" xfId="3475" xr:uid="{00000000-0005-0000-0000-00000E700000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7" xfId="4079" xr:uid="{00000000-0005-0000-0000-00001C700000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2" xfId="3482" xr:uid="{00000000-0005-0000-0000-00002F700000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3" xfId="3483" xr:uid="{00000000-0005-0000-0000-000060700000}"/>
    <cellStyle name="SAPBEXHLevel2X 5 3 2" xfId="4071" xr:uid="{00000000-0005-0000-0000-000061700000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4" xfId="3484" xr:uid="{00000000-0005-0000-0000-000079700000}"/>
    <cellStyle name="SAPBEXHLevel2X 5 4 2" xfId="4070" xr:uid="{00000000-0005-0000-0000-00007A700000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5" xfId="3485" xr:uid="{00000000-0005-0000-0000-000091700000}"/>
    <cellStyle name="SAPBEXHLevel2X 5 5 2" xfId="4069" xr:uid="{00000000-0005-0000-0000-000092700000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6" xfId="3486" xr:uid="{00000000-0005-0000-0000-0000A9700000}"/>
    <cellStyle name="SAPBEXHLevel2X 5 6 2" xfId="4068" xr:uid="{00000000-0005-0000-0000-0000AA700000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7" xfId="3487" xr:uid="{00000000-0005-0000-0000-0000C1700000}"/>
    <cellStyle name="SAPBEXHLevel2X 5 7 2" xfId="4067" xr:uid="{00000000-0005-0000-0000-0000C2700000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8" xfId="3488" xr:uid="{00000000-0005-0000-0000-0000D9700000}"/>
    <cellStyle name="SAPBEXHLevel2X 5 8 2" xfId="4066" xr:uid="{00000000-0005-0000-0000-0000DA70000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9" xfId="3489" xr:uid="{00000000-0005-0000-0000-0000F1700000}"/>
    <cellStyle name="SAPBEXHLevel2X 5 9 2" xfId="4065" xr:uid="{00000000-0005-0000-0000-0000F2700000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2" xfId="1887" xr:uid="{00000000-0005-0000-0000-00000D710000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2" xfId="3491" xr:uid="{00000000-0005-0000-0000-000042710000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2" xfId="2138" xr:uid="{00000000-0005-0000-0000-00006A710000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9" xfId="1889" xr:uid="{00000000-0005-0000-0000-000081710000}"/>
    <cellStyle name="SAPBEXHLevel2X 9 2" xfId="3665" xr:uid="{00000000-0005-0000-0000-000082710000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2" xfId="3494" xr:uid="{00000000-0005-0000-0000-00009D710000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2" xfId="4061" xr:uid="{00000000-0005-0000-0000-0000C0710000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2" xfId="1893" xr:uid="{00000000-0005-0000-0000-0000D7710000}"/>
    <cellStyle name="SAPBEXHLevel3 12 2" xfId="4060" xr:uid="{00000000-0005-0000-0000-0000D8710000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3" xfId="3497" xr:uid="{00000000-0005-0000-0000-0000EF710000}"/>
    <cellStyle name="SAPBEXHLevel3 13 2" xfId="4059" xr:uid="{00000000-0005-0000-0000-0000F0710000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4" xfId="3498" xr:uid="{00000000-0005-0000-0000-000007720000}"/>
    <cellStyle name="SAPBEXHLevel3 14 2" xfId="4058" xr:uid="{00000000-0005-0000-0000-000008720000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5" xfId="3499" xr:uid="{00000000-0005-0000-0000-00001F720000}"/>
    <cellStyle name="SAPBEXHLevel3 15 2" xfId="4057" xr:uid="{00000000-0005-0000-0000-000020720000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6" xfId="3500" xr:uid="{00000000-0005-0000-0000-000037720000}"/>
    <cellStyle name="SAPBEXHLevel3 16 2" xfId="4056" xr:uid="{00000000-0005-0000-0000-000038720000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7" xfId="3501" xr:uid="{00000000-0005-0000-0000-00004F720000}"/>
    <cellStyle name="SAPBEXHLevel3 17 2" xfId="4055" xr:uid="{00000000-0005-0000-0000-000050720000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8" xfId="3502" xr:uid="{00000000-0005-0000-0000-000067720000}"/>
    <cellStyle name="SAPBEXHLevel3 18 2" xfId="4054" xr:uid="{00000000-0005-0000-0000-000068720000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9" xfId="3503" xr:uid="{00000000-0005-0000-0000-00007F720000}"/>
    <cellStyle name="SAPBEXHLevel3 19 2" xfId="4053" xr:uid="{00000000-0005-0000-0000-00008072000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2" xfId="903" xr:uid="{00000000-0005-0000-0000-000097720000}"/>
    <cellStyle name="SAPBEXHLevel3 2 10" xfId="3505" xr:uid="{00000000-0005-0000-0000-000098720000}"/>
    <cellStyle name="SAPBEXHLevel3 2 10 2" xfId="4051" xr:uid="{00000000-0005-0000-0000-000099720000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1" xfId="3506" xr:uid="{00000000-0005-0000-0000-0000B0720000}"/>
    <cellStyle name="SAPBEXHLevel3 2 11 2" xfId="4050" xr:uid="{00000000-0005-0000-0000-0000B172000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2" xfId="3507" xr:uid="{00000000-0005-0000-0000-0000C8720000}"/>
    <cellStyle name="SAPBEXHLevel3 2 12 2" xfId="4048" xr:uid="{00000000-0005-0000-0000-0000C9720000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3" xfId="3508" xr:uid="{00000000-0005-0000-0000-0000E0720000}"/>
    <cellStyle name="SAPBEXHLevel3 2 13 2" xfId="4925" xr:uid="{00000000-0005-0000-0000-0000E1720000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4" xfId="3509" xr:uid="{00000000-0005-0000-0000-0000F8720000}"/>
    <cellStyle name="SAPBEXHLevel3 2 14 2" xfId="4047" xr:uid="{00000000-0005-0000-0000-0000F972000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5" xfId="3510" xr:uid="{00000000-0005-0000-0000-000010730000}"/>
    <cellStyle name="SAPBEXHLevel3 2 15 2" xfId="3680" xr:uid="{00000000-0005-0000-0000-000011730000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6" xfId="3504" xr:uid="{00000000-0005-0000-0000-000028730000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2" xfId="905" xr:uid="{00000000-0005-0000-0000-00004A73000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3" xfId="3511" xr:uid="{00000000-0005-0000-0000-000058730000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4" xfId="2139" xr:uid="{00000000-0005-0000-0000-000066730000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3" xfId="1894" xr:uid="{00000000-0005-0000-0000-000083730000}"/>
    <cellStyle name="SAPBEXHLevel3 2 3 10" xfId="23062" xr:uid="{00000000-0005-0000-0000-000084730000}"/>
    <cellStyle name="SAPBEXHLevel3 2 3 2" xfId="3512" xr:uid="{00000000-0005-0000-0000-000085730000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2" xfId="3513" xr:uid="{00000000-0005-0000-0000-0000A9730000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2" xfId="4045" xr:uid="{00000000-0005-0000-0000-0000CC730000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6" xfId="3515" xr:uid="{00000000-0005-0000-0000-0000E3730000}"/>
    <cellStyle name="SAPBEXHLevel3 2 6 2" xfId="4044" xr:uid="{00000000-0005-0000-0000-0000E4730000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7" xfId="3516" xr:uid="{00000000-0005-0000-0000-0000FB730000}"/>
    <cellStyle name="SAPBEXHLevel3 2 7 2" xfId="4043" xr:uid="{00000000-0005-0000-0000-0000FC73000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8" xfId="3517" xr:uid="{00000000-0005-0000-0000-000013740000}"/>
    <cellStyle name="SAPBEXHLevel3 2 8 2" xfId="4042" xr:uid="{00000000-0005-0000-0000-000014740000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9" xfId="3518" xr:uid="{00000000-0005-0000-0000-00002B740000}"/>
    <cellStyle name="SAPBEXHLevel3 2 9 2" xfId="4041" xr:uid="{00000000-0005-0000-0000-00002C740000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0" xfId="4896" xr:uid="{00000000-0005-0000-0000-000043740000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3" xfId="906" xr:uid="{00000000-0005-0000-0000-00005A740000}"/>
    <cellStyle name="SAPBEXHLevel3 3 10" xfId="3520" xr:uid="{00000000-0005-0000-0000-00005B740000}"/>
    <cellStyle name="SAPBEXHLevel3 3 10 2" xfId="4039" xr:uid="{00000000-0005-0000-0000-00005C740000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1" xfId="3521" xr:uid="{00000000-0005-0000-0000-000073740000}"/>
    <cellStyle name="SAPBEXHLevel3 3 11 2" xfId="4038" xr:uid="{00000000-0005-0000-0000-000074740000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2" xfId="3522" xr:uid="{00000000-0005-0000-0000-00008B740000}"/>
    <cellStyle name="SAPBEXHLevel3 3 12 2" xfId="4037" xr:uid="{00000000-0005-0000-0000-00008C740000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3" xfId="3523" xr:uid="{00000000-0005-0000-0000-0000A3740000}"/>
    <cellStyle name="SAPBEXHLevel3 3 13 2" xfId="4036" xr:uid="{00000000-0005-0000-0000-0000A4740000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4" xfId="3524" xr:uid="{00000000-0005-0000-0000-0000BB740000}"/>
    <cellStyle name="SAPBEXHLevel3 3 14 2" xfId="4035" xr:uid="{00000000-0005-0000-0000-0000BC740000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5" xfId="3525" xr:uid="{00000000-0005-0000-0000-0000D3740000}"/>
    <cellStyle name="SAPBEXHLevel3 3 15 2" xfId="4034" xr:uid="{00000000-0005-0000-0000-0000D4740000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6" xfId="4040" xr:uid="{00000000-0005-0000-0000-0000EB740000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2" xfId="4033" xr:uid="{00000000-0005-0000-0000-0000FF740000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3" xfId="3527" xr:uid="{00000000-0005-0000-0000-00001B750000}"/>
    <cellStyle name="SAPBEXHLevel3 3 3 2" xfId="4032" xr:uid="{00000000-0005-0000-0000-00001C750000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4" xfId="3528" xr:uid="{00000000-0005-0000-0000-000033750000}"/>
    <cellStyle name="SAPBEXHLevel3 3 4 2" xfId="4031" xr:uid="{00000000-0005-0000-0000-000034750000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5" xfId="3529" xr:uid="{00000000-0005-0000-0000-00004B750000}"/>
    <cellStyle name="SAPBEXHLevel3 3 5 2" xfId="4030" xr:uid="{00000000-0005-0000-0000-00004C750000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6" xfId="3530" xr:uid="{00000000-0005-0000-0000-000063750000}"/>
    <cellStyle name="SAPBEXHLevel3 3 6 2" xfId="2140" xr:uid="{00000000-0005-0000-0000-000064750000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7" xfId="3531" xr:uid="{00000000-0005-0000-0000-00007B750000}"/>
    <cellStyle name="SAPBEXHLevel3 3 7 2" xfId="4029" xr:uid="{00000000-0005-0000-0000-00007C750000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8" xfId="3532" xr:uid="{00000000-0005-0000-0000-000093750000}"/>
    <cellStyle name="SAPBEXHLevel3 3 8 2" xfId="4028" xr:uid="{00000000-0005-0000-0000-000094750000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9" xfId="3533" xr:uid="{00000000-0005-0000-0000-0000AB750000}"/>
    <cellStyle name="SAPBEXHLevel3 3 9 2" xfId="4027" xr:uid="{00000000-0005-0000-0000-0000AC750000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4" xfId="907" xr:uid="{00000000-0005-0000-0000-0000C3750000}"/>
    <cellStyle name="SAPBEXHLevel3 4 10" xfId="3535" xr:uid="{00000000-0005-0000-0000-0000C4750000}"/>
    <cellStyle name="SAPBEXHLevel3 4 10 2" xfId="4025" xr:uid="{00000000-0005-0000-0000-0000C5750000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1" xfId="3536" xr:uid="{00000000-0005-0000-0000-0000DC750000}"/>
    <cellStyle name="SAPBEXHLevel3 4 11 2" xfId="4024" xr:uid="{00000000-0005-0000-0000-0000DD75000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2" xfId="3537" xr:uid="{00000000-0005-0000-0000-0000F4750000}"/>
    <cellStyle name="SAPBEXHLevel3 4 12 2" xfId="4023" xr:uid="{00000000-0005-0000-0000-0000F5750000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3" xfId="3538" xr:uid="{00000000-0005-0000-0000-00000C760000}"/>
    <cellStyle name="SAPBEXHLevel3 4 13 2" xfId="4022" xr:uid="{00000000-0005-0000-0000-00000D760000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4" xfId="3539" xr:uid="{00000000-0005-0000-0000-000024760000}"/>
    <cellStyle name="SAPBEXHLevel3 4 14 2" xfId="4021" xr:uid="{00000000-0005-0000-0000-000025760000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5" xfId="3540" xr:uid="{00000000-0005-0000-0000-00003C760000}"/>
    <cellStyle name="SAPBEXHLevel3 4 15 2" xfId="3701" xr:uid="{00000000-0005-0000-0000-00003D760000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6" xfId="3534" xr:uid="{00000000-0005-0000-0000-000054760000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2" xfId="3541" xr:uid="{00000000-0005-0000-0000-000076760000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3" xfId="4020" xr:uid="{00000000-0005-0000-0000-000084760000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2" xfId="3542" xr:uid="{00000000-0005-0000-0000-0000AA760000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2" xfId="4018" xr:uid="{00000000-0005-0000-0000-0000D2760000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5" xfId="3544" xr:uid="{00000000-0005-0000-0000-0000E9760000}"/>
    <cellStyle name="SAPBEXHLevel3 4 5 2" xfId="3708" xr:uid="{00000000-0005-0000-0000-0000EA760000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6" xfId="3545" xr:uid="{00000000-0005-0000-0000-000001770000}"/>
    <cellStyle name="SAPBEXHLevel3 4 6 2" xfId="4932" xr:uid="{00000000-0005-0000-0000-000002770000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7" xfId="3546" xr:uid="{00000000-0005-0000-0000-000019770000}"/>
    <cellStyle name="SAPBEXHLevel3 4 7 2" xfId="4017" xr:uid="{00000000-0005-0000-0000-00001A770000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8" xfId="3547" xr:uid="{00000000-0005-0000-0000-000031770000}"/>
    <cellStyle name="SAPBEXHLevel3 4 8 2" xfId="4016" xr:uid="{00000000-0005-0000-0000-000032770000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9" xfId="3548" xr:uid="{00000000-0005-0000-0000-000049770000}"/>
    <cellStyle name="SAPBEXHLevel3 4 9 2" xfId="3711" xr:uid="{00000000-0005-0000-0000-00004A770000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5" xfId="910" xr:uid="{00000000-0005-0000-0000-000061770000}"/>
    <cellStyle name="SAPBEXHLevel3 5 10" xfId="3550" xr:uid="{00000000-0005-0000-0000-000062770000}"/>
    <cellStyle name="SAPBEXHLevel3 5 10 2" xfId="4014" xr:uid="{00000000-0005-0000-0000-000063770000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1" xfId="3551" xr:uid="{00000000-0005-0000-0000-00007A770000}"/>
    <cellStyle name="SAPBEXHLevel3 5 11 2" xfId="4013" xr:uid="{00000000-0005-0000-0000-00007B770000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2" xfId="3552" xr:uid="{00000000-0005-0000-0000-000092770000}"/>
    <cellStyle name="SAPBEXHLevel3 5 12 2" xfId="3713" xr:uid="{00000000-0005-0000-0000-000093770000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3" xfId="3553" xr:uid="{00000000-0005-0000-0000-0000AA770000}"/>
    <cellStyle name="SAPBEXHLevel3 5 13 2" xfId="4012" xr:uid="{00000000-0005-0000-0000-0000AB770000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4" xfId="3554" xr:uid="{00000000-0005-0000-0000-0000C2770000}"/>
    <cellStyle name="SAPBEXHLevel3 5 14 2" xfId="4011" xr:uid="{00000000-0005-0000-0000-0000C3770000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5" xfId="3555" xr:uid="{00000000-0005-0000-0000-0000DA770000}"/>
    <cellStyle name="SAPBEXHLevel3 5 15 2" xfId="4010" xr:uid="{00000000-0005-0000-0000-0000DB770000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6" xfId="3549" xr:uid="{00000000-0005-0000-0000-0000F2770000}"/>
    <cellStyle name="SAPBEXHLevel3 5 16 2" xfId="8717" xr:uid="{00000000-0005-0000-0000-0000F3770000}"/>
    <cellStyle name="SAPBEXHLevel3 5 16 2 2" xfId="24746" xr:uid="{00000000-0005-0000-0000-0000F4770000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7" xfId="4015" xr:uid="{00000000-0005-0000-0000-000000780000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2" xfId="3556" xr:uid="{00000000-0005-0000-0000-000012780000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3" xfId="3557" xr:uid="{00000000-0005-0000-0000-00003A780000}"/>
    <cellStyle name="SAPBEXHLevel3 5 3 2" xfId="4008" xr:uid="{00000000-0005-0000-0000-00003B780000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2" xfId="4007" xr:uid="{00000000-0005-0000-0000-000055780000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5" xfId="3559" xr:uid="{00000000-0005-0000-0000-00006C780000}"/>
    <cellStyle name="SAPBEXHLevel3 5 5 2" xfId="4931" xr:uid="{00000000-0005-0000-0000-00006D780000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6" xfId="3560" xr:uid="{00000000-0005-0000-0000-000084780000}"/>
    <cellStyle name="SAPBEXHLevel3 5 6 2" xfId="4006" xr:uid="{00000000-0005-0000-0000-000085780000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7" xfId="3561" xr:uid="{00000000-0005-0000-0000-00009C780000}"/>
    <cellStyle name="SAPBEXHLevel3 5 7 2" xfId="4005" xr:uid="{00000000-0005-0000-0000-00009D780000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8" xfId="3562" xr:uid="{00000000-0005-0000-0000-0000B4780000}"/>
    <cellStyle name="SAPBEXHLevel3 5 8 2" xfId="4930" xr:uid="{00000000-0005-0000-0000-0000B5780000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9" xfId="3563" xr:uid="{00000000-0005-0000-0000-0000CC780000}"/>
    <cellStyle name="SAPBEXHLevel3 5 9 2" xfId="2141" xr:uid="{00000000-0005-0000-0000-0000CD780000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2" xfId="913" xr:uid="{00000000-0005-0000-0000-0000E7780000}"/>
    <cellStyle name="SAPBEXHLevel3 6 2 2" xfId="5356" xr:uid="{00000000-0005-0000-0000-0000E8780000}"/>
    <cellStyle name="SAPBEXHLevel3 6 2 2 2" xfId="37105" xr:uid="{00000000-0005-0000-0000-0000E9780000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3" xfId="3564" xr:uid="{00000000-0005-0000-0000-0000F0780000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2" xfId="915" xr:uid="{00000000-0005-0000-0000-000014790000}"/>
    <cellStyle name="SAPBEXHLevel3 7 2 2" xfId="5354" xr:uid="{00000000-0005-0000-0000-000015790000}"/>
    <cellStyle name="SAPBEXHLevel3 7 2 2 2" xfId="37103" xr:uid="{00000000-0005-0000-0000-000016790000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3" xfId="3565" xr:uid="{00000000-0005-0000-0000-00001D790000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2" xfId="917" xr:uid="{00000000-0005-0000-0000-000041790000}"/>
    <cellStyle name="SAPBEXHLevel3 8 2 2" xfId="5352" xr:uid="{00000000-0005-0000-0000-000042790000}"/>
    <cellStyle name="SAPBEXHLevel3 8 2 2 2" xfId="37101" xr:uid="{00000000-0005-0000-0000-000043790000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3" xfId="3566" xr:uid="{00000000-0005-0000-0000-00004A790000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2" xfId="3567" xr:uid="{00000000-0005-0000-0000-00006D790000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2" xfId="4001" xr:uid="{00000000-0005-0000-0000-000092790000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1" xfId="1898" xr:uid="{00000000-0005-0000-0000-0000A9790000}"/>
    <cellStyle name="SAPBEXHLevel3X 11 2" xfId="4000" xr:uid="{00000000-0005-0000-0000-0000AA790000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2" xfId="1899" xr:uid="{00000000-0005-0000-0000-0000C1790000}"/>
    <cellStyle name="SAPBEXHLevel3X 12 2" xfId="3999" xr:uid="{00000000-0005-0000-0000-0000C279000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3" xfId="3571" xr:uid="{00000000-0005-0000-0000-0000D9790000}"/>
    <cellStyle name="SAPBEXHLevel3X 13 2" xfId="3998" xr:uid="{00000000-0005-0000-0000-0000DA79000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4" xfId="3572" xr:uid="{00000000-0005-0000-0000-0000F1790000}"/>
    <cellStyle name="SAPBEXHLevel3X 14 2" xfId="3997" xr:uid="{00000000-0005-0000-0000-0000F2790000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5" xfId="3573" xr:uid="{00000000-0005-0000-0000-0000097A0000}"/>
    <cellStyle name="SAPBEXHLevel3X 15 2" xfId="3725" xr:uid="{00000000-0005-0000-0000-00000A7A0000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6" xfId="3574" xr:uid="{00000000-0005-0000-0000-0000217A0000}"/>
    <cellStyle name="SAPBEXHLevel3X 16 2" xfId="4953" xr:uid="{00000000-0005-0000-0000-0000227A0000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7" xfId="3575" xr:uid="{00000000-0005-0000-0000-0000397A0000}"/>
    <cellStyle name="SAPBEXHLevel3X 17 2" xfId="4928" xr:uid="{00000000-0005-0000-0000-00003A7A0000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8" xfId="3576" xr:uid="{00000000-0005-0000-0000-0000517A0000}"/>
    <cellStyle name="SAPBEXHLevel3X 18 2" xfId="4926" xr:uid="{00000000-0005-0000-0000-0000527A0000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9" xfId="3577" xr:uid="{00000000-0005-0000-0000-0000697A0000}"/>
    <cellStyle name="SAPBEXHLevel3X 19 2" xfId="4927" xr:uid="{00000000-0005-0000-0000-00006A7A0000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2" xfId="919" xr:uid="{00000000-0005-0000-0000-0000817A0000}"/>
    <cellStyle name="SAPBEXHLevel3X 2 10" xfId="3579" xr:uid="{00000000-0005-0000-0000-0000827A0000}"/>
    <cellStyle name="SAPBEXHLevel3X 2 10 2" xfId="3995" xr:uid="{00000000-0005-0000-0000-0000837A0000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1" xfId="3580" xr:uid="{00000000-0005-0000-0000-00009A7A0000}"/>
    <cellStyle name="SAPBEXHLevel3X 2 11 2" xfId="3994" xr:uid="{00000000-0005-0000-0000-00009B7A0000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2" xfId="3581" xr:uid="{00000000-0005-0000-0000-0000B27A0000}"/>
    <cellStyle name="SAPBEXHLevel3X 2 12 2" xfId="4952" xr:uid="{00000000-0005-0000-0000-0000B37A0000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3" xfId="3582" xr:uid="{00000000-0005-0000-0000-0000CA7A0000}"/>
    <cellStyle name="SAPBEXHLevel3X 2 13 2" xfId="4954" xr:uid="{00000000-0005-0000-0000-0000CB7A0000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4" xfId="3583" xr:uid="{00000000-0005-0000-0000-0000E27A0000}"/>
    <cellStyle name="SAPBEXHLevel3X 2 14 2" xfId="2891" xr:uid="{00000000-0005-0000-0000-0000E37A0000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5" xfId="3584" xr:uid="{00000000-0005-0000-0000-0000FA7A0000}"/>
    <cellStyle name="SAPBEXHLevel3X 2 15 2" xfId="3993" xr:uid="{00000000-0005-0000-0000-0000FB7A0000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6" xfId="3578" xr:uid="{00000000-0005-0000-0000-0000127B000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2" xfId="921" xr:uid="{00000000-0005-0000-0000-0000357B0000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3" xfId="3585" xr:uid="{00000000-0005-0000-0000-0000437B0000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4" xfId="3992" xr:uid="{00000000-0005-0000-0000-0000517B0000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3" xfId="3586" xr:uid="{00000000-0005-0000-0000-0000727B0000}"/>
    <cellStyle name="SAPBEXHLevel3X 2 3 2" xfId="3991" xr:uid="{00000000-0005-0000-0000-0000737B0000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4" xfId="3587" xr:uid="{00000000-0005-0000-0000-00008A7B0000}"/>
    <cellStyle name="SAPBEXHLevel3X 2 4 2" xfId="3989" xr:uid="{00000000-0005-0000-0000-00008B7B0000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5" xfId="3588" xr:uid="{00000000-0005-0000-0000-0000A27B0000}"/>
    <cellStyle name="SAPBEXHLevel3X 2 5 2" xfId="3988" xr:uid="{00000000-0005-0000-0000-0000A37B0000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6" xfId="3589" xr:uid="{00000000-0005-0000-0000-0000BA7B0000}"/>
    <cellStyle name="SAPBEXHLevel3X 2 6 2" xfId="3987" xr:uid="{00000000-0005-0000-0000-0000BB7B0000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7" xfId="3590" xr:uid="{00000000-0005-0000-0000-0000D27B0000}"/>
    <cellStyle name="SAPBEXHLevel3X 2 7 2" xfId="3986" xr:uid="{00000000-0005-0000-0000-0000D37B0000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8" xfId="3591" xr:uid="{00000000-0005-0000-0000-0000EA7B0000}"/>
    <cellStyle name="SAPBEXHLevel3X 2 8 2" xfId="3985" xr:uid="{00000000-0005-0000-0000-0000EB7B0000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9" xfId="3592" xr:uid="{00000000-0005-0000-0000-0000027C0000}"/>
    <cellStyle name="SAPBEXHLevel3X 2 9 2" xfId="3984" xr:uid="{00000000-0005-0000-0000-0000037C0000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0" xfId="4895" xr:uid="{00000000-0005-0000-0000-00001A7C0000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3" xfId="922" xr:uid="{00000000-0005-0000-0000-0000317C0000}"/>
    <cellStyle name="SAPBEXHLevel3X 3 10" xfId="3594" xr:uid="{00000000-0005-0000-0000-0000327C0000}"/>
    <cellStyle name="SAPBEXHLevel3X 3 10 2" xfId="2142" xr:uid="{00000000-0005-0000-0000-0000337C0000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1" xfId="3595" xr:uid="{00000000-0005-0000-0000-00004A7C0000}"/>
    <cellStyle name="SAPBEXHLevel3X 3 11 2" xfId="3982" xr:uid="{00000000-0005-0000-0000-00004B7C0000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2" xfId="3596" xr:uid="{00000000-0005-0000-0000-0000627C0000}"/>
    <cellStyle name="SAPBEXHLevel3X 3 12 2" xfId="3981" xr:uid="{00000000-0005-0000-0000-0000637C0000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3" xfId="3597" xr:uid="{00000000-0005-0000-0000-00007A7C0000}"/>
    <cellStyle name="SAPBEXHLevel3X 3 13 2" xfId="3980" xr:uid="{00000000-0005-0000-0000-00007B7C0000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4" xfId="3598" xr:uid="{00000000-0005-0000-0000-0000927C0000}"/>
    <cellStyle name="SAPBEXHLevel3X 3 14 2" xfId="3979" xr:uid="{00000000-0005-0000-0000-0000937C0000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5" xfId="3599" xr:uid="{00000000-0005-0000-0000-0000AA7C0000}"/>
    <cellStyle name="SAPBEXHLevel3X 3 15 2" xfId="3978" xr:uid="{00000000-0005-0000-0000-0000AB7C0000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6" xfId="3983" xr:uid="{00000000-0005-0000-0000-0000C27C0000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7" xfId="5347" xr:uid="{00000000-0005-0000-0000-0000CF7C0000}"/>
    <cellStyle name="SAPBEXHLevel3X 3 17 2" xfId="22627" xr:uid="{00000000-0005-0000-0000-0000D07C000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2" xfId="3600" xr:uid="{00000000-0005-0000-0000-0000D77C0000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3" xfId="3977" xr:uid="{00000000-0005-0000-0000-0000E57C0000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3" xfId="2004" xr:uid="{00000000-0005-0000-0000-0000067D0000}"/>
    <cellStyle name="SAPBEXHLevel3X 3 3 2" xfId="3976" xr:uid="{00000000-0005-0000-0000-0000077D0000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4" xfId="3602" xr:uid="{00000000-0005-0000-0000-00001F7D0000}"/>
    <cellStyle name="SAPBEXHLevel3X 3 4 2" xfId="3975" xr:uid="{00000000-0005-0000-0000-0000207D0000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5" xfId="3603" xr:uid="{00000000-0005-0000-0000-0000377D0000}"/>
    <cellStyle name="SAPBEXHLevel3X 3 5 2" xfId="3974" xr:uid="{00000000-0005-0000-0000-0000387D0000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6" xfId="3604" xr:uid="{00000000-0005-0000-0000-00004F7D0000}"/>
    <cellStyle name="SAPBEXHLevel3X 3 6 2" xfId="3973" xr:uid="{00000000-0005-0000-0000-0000507D0000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7" xfId="3605" xr:uid="{00000000-0005-0000-0000-0000677D0000}"/>
    <cellStyle name="SAPBEXHLevel3X 3 7 2" xfId="3972" xr:uid="{00000000-0005-0000-0000-0000687D0000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8" xfId="3606" xr:uid="{00000000-0005-0000-0000-00007F7D0000}"/>
    <cellStyle name="SAPBEXHLevel3X 3 8 2" xfId="3732" xr:uid="{00000000-0005-0000-0000-0000807D0000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9" xfId="3607" xr:uid="{00000000-0005-0000-0000-0000977D0000}"/>
    <cellStyle name="SAPBEXHLevel3X 3 9 2" xfId="3738" xr:uid="{00000000-0005-0000-0000-0000987D0000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4" xfId="924" xr:uid="{00000000-0005-0000-0000-0000AF7D0000}"/>
    <cellStyle name="SAPBEXHLevel3X 4 10" xfId="3609" xr:uid="{00000000-0005-0000-0000-0000B07D0000}"/>
    <cellStyle name="SAPBEXHLevel3X 4 10 2" xfId="3971" xr:uid="{00000000-0005-0000-0000-0000B17D0000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1" xfId="3610" xr:uid="{00000000-0005-0000-0000-0000C87D0000}"/>
    <cellStyle name="SAPBEXHLevel3X 4 11 2" xfId="3970" xr:uid="{00000000-0005-0000-0000-0000C97D000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2" xfId="3611" xr:uid="{00000000-0005-0000-0000-0000E07D0000}"/>
    <cellStyle name="SAPBEXHLevel3X 4 12 2" xfId="3744" xr:uid="{00000000-0005-0000-0000-0000E17D0000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3" xfId="3612" xr:uid="{00000000-0005-0000-0000-0000F87D0000}"/>
    <cellStyle name="SAPBEXHLevel3X 4 13 2" xfId="3745" xr:uid="{00000000-0005-0000-0000-0000F97D0000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4" xfId="3613" xr:uid="{00000000-0005-0000-0000-0000107E0000}"/>
    <cellStyle name="SAPBEXHLevel3X 4 14 2" xfId="2143" xr:uid="{00000000-0005-0000-0000-0000117E0000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5" xfId="3614" xr:uid="{00000000-0005-0000-0000-0000287E0000}"/>
    <cellStyle name="SAPBEXHLevel3X 4 15 2" xfId="3969" xr:uid="{00000000-0005-0000-0000-0000297E0000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6" xfId="3608" xr:uid="{00000000-0005-0000-0000-0000407E0000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7" xfId="3741" xr:uid="{00000000-0005-0000-0000-00004E7E0000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2" xfId="3615" xr:uid="{00000000-0005-0000-0000-0000627E0000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3" xfId="3968" xr:uid="{00000000-0005-0000-0000-0000707E0000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2" xfId="3616" xr:uid="{00000000-0005-0000-0000-0000967E0000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2" xfId="2144" xr:uid="{00000000-0005-0000-0000-0000BE7E0000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5" xfId="3618" xr:uid="{00000000-0005-0000-0000-0000D67E0000}"/>
    <cellStyle name="SAPBEXHLevel3X 4 5 2" xfId="2145" xr:uid="{00000000-0005-0000-0000-0000D77E0000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6" xfId="3619" xr:uid="{00000000-0005-0000-0000-0000EE7E0000}"/>
    <cellStyle name="SAPBEXHLevel3X 4 6 2" xfId="3967" xr:uid="{00000000-0005-0000-0000-0000EF7E0000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7" xfId="3620" xr:uid="{00000000-0005-0000-0000-0000067F0000}"/>
    <cellStyle name="SAPBEXHLevel3X 4 7 2" xfId="3966" xr:uid="{00000000-0005-0000-0000-0000077F0000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8" xfId="3621" xr:uid="{00000000-0005-0000-0000-00001E7F0000}"/>
    <cellStyle name="SAPBEXHLevel3X 4 8 2" xfId="2146" xr:uid="{00000000-0005-0000-0000-00001F7F0000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9" xfId="3622" xr:uid="{00000000-0005-0000-0000-0000367F0000}"/>
    <cellStyle name="SAPBEXHLevel3X 4 9 2" xfId="2147" xr:uid="{00000000-0005-0000-0000-0000377F0000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5" xfId="927" xr:uid="{00000000-0005-0000-0000-00004E7F0000}"/>
    <cellStyle name="SAPBEXHLevel3X 5 10" xfId="3624" xr:uid="{00000000-0005-0000-0000-00004F7F0000}"/>
    <cellStyle name="SAPBEXHLevel3X 5 10 2" xfId="3965" xr:uid="{00000000-0005-0000-0000-0000507F0000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1" xfId="3625" xr:uid="{00000000-0005-0000-0000-0000677F0000}"/>
    <cellStyle name="SAPBEXHLevel3X 5 11 2" xfId="3964" xr:uid="{00000000-0005-0000-0000-0000687F0000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2" xfId="3626" xr:uid="{00000000-0005-0000-0000-00007F7F0000}"/>
    <cellStyle name="SAPBEXHLevel3X 5 12 2" xfId="3769" xr:uid="{00000000-0005-0000-0000-0000807F0000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3" xfId="3627" xr:uid="{00000000-0005-0000-0000-0000977F0000}"/>
    <cellStyle name="SAPBEXHLevel3X 5 13 2" xfId="3777" xr:uid="{00000000-0005-0000-0000-0000987F0000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4" xfId="3628" xr:uid="{00000000-0005-0000-0000-0000AF7F0000}"/>
    <cellStyle name="SAPBEXHLevel3X 5 14 2" xfId="3778" xr:uid="{00000000-0005-0000-0000-0000B07F0000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5" xfId="3629" xr:uid="{00000000-0005-0000-0000-0000C77F0000}"/>
    <cellStyle name="SAPBEXHLevel3X 5 15 2" xfId="3963" xr:uid="{00000000-0005-0000-0000-0000C87F000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6" xfId="3623" xr:uid="{00000000-0005-0000-0000-0000DF7F0000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7" xfId="2149" xr:uid="{00000000-0005-0000-0000-0000ED7F0000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2" xfId="3630" xr:uid="{00000000-0005-0000-0000-000000800000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3" xfId="3631" xr:uid="{00000000-0005-0000-0000-000031800000}"/>
    <cellStyle name="SAPBEXHLevel3X 5 3 2" xfId="3779" xr:uid="{00000000-0005-0000-0000-000032800000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4" xfId="3632" xr:uid="{00000000-0005-0000-0000-00004A800000}"/>
    <cellStyle name="SAPBEXHLevel3X 5 4 2" xfId="3780" xr:uid="{00000000-0005-0000-0000-00004B800000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5" xfId="3633" xr:uid="{00000000-0005-0000-0000-000062800000}"/>
    <cellStyle name="SAPBEXHLevel3X 5 5 2" xfId="3781" xr:uid="{00000000-0005-0000-0000-00006380000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6" xfId="3634" xr:uid="{00000000-0005-0000-0000-00007A800000}"/>
    <cellStyle name="SAPBEXHLevel3X 5 6 2" xfId="3961" xr:uid="{00000000-0005-0000-0000-00007B800000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7" xfId="3635" xr:uid="{00000000-0005-0000-0000-000092800000}"/>
    <cellStyle name="SAPBEXHLevel3X 5 7 2" xfId="3960" xr:uid="{00000000-0005-0000-0000-000093800000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8" xfId="3636" xr:uid="{00000000-0005-0000-0000-0000AA800000}"/>
    <cellStyle name="SAPBEXHLevel3X 5 8 2" xfId="3959" xr:uid="{00000000-0005-0000-0000-0000AB800000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9" xfId="3637" xr:uid="{00000000-0005-0000-0000-0000C2800000}"/>
    <cellStyle name="SAPBEXHLevel3X 5 9 2" xfId="3958" xr:uid="{00000000-0005-0000-0000-0000C3800000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2" xfId="1900" xr:uid="{00000000-0005-0000-0000-0000DE80000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2" xfId="3639" xr:uid="{00000000-0005-0000-0000-000013810000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2" xfId="3955" xr:uid="{00000000-0005-0000-0000-00003B810000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9" xfId="1902" xr:uid="{00000000-0005-0000-0000-000052810000}"/>
    <cellStyle name="SAPBEXHLevel3X 9 2" xfId="3954" xr:uid="{00000000-0005-0000-0000-00005381000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2" xfId="931" xr:uid="{00000000-0005-0000-0000-000078810000}"/>
    <cellStyle name="SAPBEXinputData 2 2" xfId="1907" xr:uid="{00000000-0005-0000-0000-000079810000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3" xfId="932" xr:uid="{00000000-0005-0000-0000-000085810000}"/>
    <cellStyle name="SAPBEXinputData 3 2" xfId="933" xr:uid="{00000000-0005-0000-0000-000086810000}"/>
    <cellStyle name="SAPBEXinputData 3 2 2" xfId="7574" xr:uid="{00000000-0005-0000-0000-000087810000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3" xfId="5966" xr:uid="{00000000-0005-0000-0000-00008D810000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4" xfId="934" xr:uid="{00000000-0005-0000-0000-000093810000}"/>
    <cellStyle name="SAPBEXinputData 4 2" xfId="1908" xr:uid="{00000000-0005-0000-0000-000094810000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5" xfId="935" xr:uid="{00000000-0005-0000-0000-0000A0810000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6" xfId="1909" xr:uid="{00000000-0005-0000-0000-0000A7810000}"/>
    <cellStyle name="SAPBEXinputData 6 2" xfId="6411" xr:uid="{00000000-0005-0000-0000-0000A8810000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2" xfId="4894" xr:uid="{00000000-0005-0000-0000-0000AE810000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resData" xfId="101" xr:uid="{00000000-0005-0000-0000-0000C5810000}"/>
    <cellStyle name="SAPBEXresData 10" xfId="3642" xr:uid="{00000000-0005-0000-0000-0000C6810000}"/>
    <cellStyle name="SAPBEXresData 10 2" xfId="3953" xr:uid="{00000000-0005-0000-0000-0000C7810000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1" xfId="3643" xr:uid="{00000000-0005-0000-0000-0000DE810000}"/>
    <cellStyle name="SAPBEXresData 11 2" xfId="3952" xr:uid="{00000000-0005-0000-0000-0000DF810000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2" xfId="3644" xr:uid="{00000000-0005-0000-0000-0000F6810000}"/>
    <cellStyle name="SAPBEXresData 12 2" xfId="3951" xr:uid="{00000000-0005-0000-0000-0000F7810000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3" xfId="3645" xr:uid="{00000000-0005-0000-0000-00000E820000}"/>
    <cellStyle name="SAPBEXresData 13 2" xfId="3950" xr:uid="{00000000-0005-0000-0000-00000F820000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4" xfId="3646" xr:uid="{00000000-0005-0000-0000-000026820000}"/>
    <cellStyle name="SAPBEXresData 14 2" xfId="3949" xr:uid="{00000000-0005-0000-0000-000027820000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5" xfId="3647" xr:uid="{00000000-0005-0000-0000-00003E820000}"/>
    <cellStyle name="SAPBEXresData 15 2" xfId="3948" xr:uid="{00000000-0005-0000-0000-00003F820000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6" xfId="3648" xr:uid="{00000000-0005-0000-0000-000056820000}"/>
    <cellStyle name="SAPBEXresData 16 2" xfId="3947" xr:uid="{00000000-0005-0000-0000-000057820000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7" xfId="4893" xr:uid="{00000000-0005-0000-0000-00006E82000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2" xfId="937" xr:uid="{00000000-0005-0000-0000-000085820000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3" xfId="938" xr:uid="{00000000-0005-0000-0000-0000C0820000}"/>
    <cellStyle name="SAPBEXresData 3 10" xfId="5114" xr:uid="{00000000-0005-0000-0000-0000C1820000}"/>
    <cellStyle name="SAPBEXresData 3 2" xfId="939" xr:uid="{00000000-0005-0000-0000-0000C2820000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3" xfId="3945" xr:uid="{00000000-0005-0000-0000-0000D0820000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4" xfId="5334" xr:uid="{00000000-0005-0000-0000-0000DD820000}"/>
    <cellStyle name="SAPBEXresData 3 4 2" xfId="22614" xr:uid="{00000000-0005-0000-0000-0000DE820000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2" xfId="3651" xr:uid="{00000000-0005-0000-0000-0000EC820000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3" xfId="3944" xr:uid="{00000000-0005-0000-0000-0000FA820000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2" xfId="3652" xr:uid="{00000000-0005-0000-0000-000015830000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2" xfId="3942" xr:uid="{00000000-0005-0000-0000-00003D830000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7" xfId="3654" xr:uid="{00000000-0005-0000-0000-000054830000}"/>
    <cellStyle name="SAPBEXresData 7 2" xfId="3941" xr:uid="{00000000-0005-0000-0000-000055830000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8" xfId="3655" xr:uid="{00000000-0005-0000-0000-00006C830000}"/>
    <cellStyle name="SAPBEXresData 8 2" xfId="3940" xr:uid="{00000000-0005-0000-0000-00006D830000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9" xfId="3656" xr:uid="{00000000-0005-0000-0000-000084830000}"/>
    <cellStyle name="SAPBEXresData 9 2" xfId="3939" xr:uid="{00000000-0005-0000-0000-000085830000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2" xfId="3938" xr:uid="{00000000-0005-0000-0000-00009F830000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1" xfId="3658" xr:uid="{00000000-0005-0000-0000-0000B6830000}"/>
    <cellStyle name="SAPBEXresDataEmph 11 2" xfId="3937" xr:uid="{00000000-0005-0000-0000-0000B7830000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2" xfId="3659" xr:uid="{00000000-0005-0000-0000-0000CE830000}"/>
    <cellStyle name="SAPBEXresDataEmph 12 2" xfId="3936" xr:uid="{00000000-0005-0000-0000-0000CF830000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3" xfId="3660" xr:uid="{00000000-0005-0000-0000-0000E6830000}"/>
    <cellStyle name="SAPBEXresDataEmph 13 2" xfId="3935" xr:uid="{00000000-0005-0000-0000-0000E7830000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4" xfId="3661" xr:uid="{00000000-0005-0000-0000-0000FE830000}"/>
    <cellStyle name="SAPBEXresDataEmph 14 2" xfId="3934" xr:uid="{00000000-0005-0000-0000-0000FF830000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5" xfId="3662" xr:uid="{00000000-0005-0000-0000-000016840000}"/>
    <cellStyle name="SAPBEXresDataEmph 15 2" xfId="3933" xr:uid="{00000000-0005-0000-0000-000017840000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6" xfId="3663" xr:uid="{00000000-0005-0000-0000-00002E840000}"/>
    <cellStyle name="SAPBEXresDataEmph 16 2" xfId="3932" xr:uid="{00000000-0005-0000-0000-00002F840000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7" xfId="4892" xr:uid="{00000000-0005-0000-0000-000046840000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2" xfId="3664" xr:uid="{00000000-0005-0000-0000-00005B840000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3" xfId="943" xr:uid="{00000000-0005-0000-0000-000089840000}"/>
    <cellStyle name="SAPBEXresDataEmph 3 2" xfId="2025" xr:uid="{00000000-0005-0000-0000-00008A840000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3" xfId="3930" xr:uid="{00000000-0005-0000-0000-00009884000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2" xfId="3666" xr:uid="{00000000-0005-0000-0000-0000AD840000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2" xfId="3928" xr:uid="{00000000-0005-0000-0000-0000D5840000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6" xfId="3668" xr:uid="{00000000-0005-0000-0000-0000EC840000}"/>
    <cellStyle name="SAPBEXresDataEmph 6 2" xfId="3927" xr:uid="{00000000-0005-0000-0000-0000ED840000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7" xfId="3669" xr:uid="{00000000-0005-0000-0000-000004850000}"/>
    <cellStyle name="SAPBEXresDataEmph 7 2" xfId="3926" xr:uid="{00000000-0005-0000-0000-000005850000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8" xfId="3670" xr:uid="{00000000-0005-0000-0000-00001C850000}"/>
    <cellStyle name="SAPBEXresDataEmph 8 2" xfId="3925" xr:uid="{00000000-0005-0000-0000-00001D850000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9" xfId="3671" xr:uid="{00000000-0005-0000-0000-000034850000}"/>
    <cellStyle name="SAPBEXresDataEmph 9 2" xfId="3924" xr:uid="{00000000-0005-0000-0000-000035850000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2" xfId="3923" xr:uid="{00000000-0005-0000-0000-00004F850000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1" xfId="3673" xr:uid="{00000000-0005-0000-0000-000066850000}"/>
    <cellStyle name="SAPBEXresItem 11 2" xfId="3922" xr:uid="{00000000-0005-0000-0000-000067850000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2" xfId="3674" xr:uid="{00000000-0005-0000-0000-00007E850000}"/>
    <cellStyle name="SAPBEXresItem 12 2" xfId="3921" xr:uid="{00000000-0005-0000-0000-00007F850000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3" xfId="3675" xr:uid="{00000000-0005-0000-0000-000096850000}"/>
    <cellStyle name="SAPBEXresItem 13 2" xfId="3920" xr:uid="{00000000-0005-0000-0000-000097850000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4" xfId="3676" xr:uid="{00000000-0005-0000-0000-0000AE850000}"/>
    <cellStyle name="SAPBEXresItem 14 2" xfId="3919" xr:uid="{00000000-0005-0000-0000-0000AF850000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5" xfId="3677" xr:uid="{00000000-0005-0000-0000-0000C6850000}"/>
    <cellStyle name="SAPBEXresItem 15 2" xfId="3918" xr:uid="{00000000-0005-0000-0000-0000C785000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6" xfId="3678" xr:uid="{00000000-0005-0000-0000-0000DE850000}"/>
    <cellStyle name="SAPBEXresItem 16 2" xfId="3917" xr:uid="{00000000-0005-0000-0000-0000DF850000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7" xfId="4891" xr:uid="{00000000-0005-0000-0000-0000F6850000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2" xfId="946" xr:uid="{00000000-0005-0000-0000-00000D860000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3" xfId="947" xr:uid="{00000000-0005-0000-0000-000048860000}"/>
    <cellStyle name="SAPBEXresItem 3 10" xfId="5123" xr:uid="{00000000-0005-0000-0000-000049860000}"/>
    <cellStyle name="SAPBEXresItem 3 2" xfId="948" xr:uid="{00000000-0005-0000-0000-00004A860000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3" xfId="3915" xr:uid="{00000000-0005-0000-0000-000058860000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4" xfId="5325" xr:uid="{00000000-0005-0000-0000-000065860000}"/>
    <cellStyle name="SAPBEXresItem 3 4 2" xfId="22606" xr:uid="{00000000-0005-0000-0000-000066860000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2" xfId="3681" xr:uid="{00000000-0005-0000-0000-000074860000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3" xfId="3914" xr:uid="{00000000-0005-0000-0000-000082860000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2" xfId="3682" xr:uid="{00000000-0005-0000-0000-00009D860000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2" xfId="3912" xr:uid="{00000000-0005-0000-0000-0000C5860000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7" xfId="3684" xr:uid="{00000000-0005-0000-0000-0000DC860000}"/>
    <cellStyle name="SAPBEXresItem 7 2" xfId="3911" xr:uid="{00000000-0005-0000-0000-0000DD860000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8" xfId="3685" xr:uid="{00000000-0005-0000-0000-0000F4860000}"/>
    <cellStyle name="SAPBEXresItem 8 2" xfId="3910" xr:uid="{00000000-0005-0000-0000-0000F5860000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9" xfId="3686" xr:uid="{00000000-0005-0000-0000-00000C870000}"/>
    <cellStyle name="SAPBEXresItem 9 2" xfId="3909" xr:uid="{00000000-0005-0000-0000-00000D870000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2" xfId="3908" xr:uid="{00000000-0005-0000-0000-000027870000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1" xfId="3688" xr:uid="{00000000-0005-0000-0000-00003E870000}"/>
    <cellStyle name="SAPBEXresItemX 11 2" xfId="3907" xr:uid="{00000000-0005-0000-0000-00003F87000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2" xfId="3689" xr:uid="{00000000-0005-0000-0000-000056870000}"/>
    <cellStyle name="SAPBEXresItemX 12 2" xfId="3906" xr:uid="{00000000-0005-0000-0000-00005787000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3" xfId="3690" xr:uid="{00000000-0005-0000-0000-00006E870000}"/>
    <cellStyle name="SAPBEXresItemX 13 2" xfId="3905" xr:uid="{00000000-0005-0000-0000-00006F870000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4" xfId="3691" xr:uid="{00000000-0005-0000-0000-000086870000}"/>
    <cellStyle name="SAPBEXresItemX 14 2" xfId="3904" xr:uid="{00000000-0005-0000-0000-000087870000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5" xfId="3692" xr:uid="{00000000-0005-0000-0000-00009E870000}"/>
    <cellStyle name="SAPBEXresItemX 15 2" xfId="3903" xr:uid="{00000000-0005-0000-0000-00009F870000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6" xfId="4890" xr:uid="{00000000-0005-0000-0000-0000B6870000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2" xfId="952" xr:uid="{00000000-0005-0000-0000-0000CF870000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3" xfId="953" xr:uid="{00000000-0005-0000-0000-000008880000}"/>
    <cellStyle name="SAPBEXresItemX 3 10" xfId="5129" xr:uid="{00000000-0005-0000-0000-000009880000}"/>
    <cellStyle name="SAPBEXresItemX 3 2" xfId="954" xr:uid="{00000000-0005-0000-0000-00000A88000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3" xfId="3901" xr:uid="{00000000-0005-0000-0000-000018880000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4" xfId="5319" xr:uid="{00000000-0005-0000-0000-000025880000}"/>
    <cellStyle name="SAPBEXresItemX 3 4 2" xfId="22600" xr:uid="{00000000-0005-0000-0000-00002688000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2" xfId="3695" xr:uid="{00000000-0005-0000-0000-000034880000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3" xfId="3900" xr:uid="{00000000-0005-0000-0000-000042880000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2" xfId="3899" xr:uid="{00000000-0005-0000-0000-00005C880000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6" xfId="3697" xr:uid="{00000000-0005-0000-0000-000073880000}"/>
    <cellStyle name="SAPBEXresItemX 6 2" xfId="3898" xr:uid="{00000000-0005-0000-0000-000074880000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7" xfId="3698" xr:uid="{00000000-0005-0000-0000-00008B880000}"/>
    <cellStyle name="SAPBEXresItemX 7 2" xfId="3897" xr:uid="{00000000-0005-0000-0000-00008C880000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8" xfId="3699" xr:uid="{00000000-0005-0000-0000-0000A3880000}"/>
    <cellStyle name="SAPBEXresItemX 8 2" xfId="3896" xr:uid="{00000000-0005-0000-0000-0000A4880000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9" xfId="3700" xr:uid="{00000000-0005-0000-0000-0000BB880000}"/>
    <cellStyle name="SAPBEXresItemX 9 2" xfId="3895" xr:uid="{00000000-0005-0000-0000-0000BC880000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2" xfId="1918" xr:uid="{00000000-0005-0000-0000-0000D7880000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2" xfId="3702" xr:uid="{00000000-0005-0000-0000-000000890000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2" xfId="3703" xr:uid="{00000000-0005-0000-0000-000024890000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2" xfId="3891" xr:uid="{00000000-0005-0000-0000-000047890000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4" xfId="3705" xr:uid="{00000000-0005-0000-0000-00005E890000}"/>
    <cellStyle name="SAPBEXstdData 14 2" xfId="3890" xr:uid="{00000000-0005-0000-0000-00005F890000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5" xfId="3706" xr:uid="{00000000-0005-0000-0000-000076890000}"/>
    <cellStyle name="SAPBEXstdData 15 2" xfId="3889" xr:uid="{00000000-0005-0000-0000-000077890000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6" xfId="3707" xr:uid="{00000000-0005-0000-0000-00008E890000}"/>
    <cellStyle name="SAPBEXstdData 16 2" xfId="3888" xr:uid="{00000000-0005-0000-0000-00008F890000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7" xfId="4889" xr:uid="{00000000-0005-0000-0000-0000A6890000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8" xfId="5985" xr:uid="{00000000-0005-0000-0000-0000B3890000}"/>
    <cellStyle name="SAPBEXstdData 18 2" xfId="22954" xr:uid="{00000000-0005-0000-0000-0000B4890000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2" xfId="959" xr:uid="{00000000-0005-0000-0000-0000BA890000}"/>
    <cellStyle name="SAPBEXstdData 2 2 10" xfId="5133" xr:uid="{00000000-0005-0000-0000-0000BB890000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2" xfId="963" xr:uid="{00000000-0005-0000-0000-0000078A0000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4" xfId="3886" xr:uid="{00000000-0005-0000-0000-0000248A0000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2" xfId="965" xr:uid="{00000000-0005-0000-0000-00003F8A0000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3" xfId="3710" xr:uid="{00000000-0005-0000-0000-00004D8A0000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4" xfId="3885" xr:uid="{00000000-0005-0000-0000-00005B8A0000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2" xfId="967" xr:uid="{00000000-0005-0000-0000-0000758A0000}"/>
    <cellStyle name="SAPBEXstdData 5 2 2" xfId="5305" xr:uid="{00000000-0005-0000-0000-0000768A0000}"/>
    <cellStyle name="SAPBEXstdData 5 2 2 2" xfId="37095" xr:uid="{00000000-0005-0000-0000-0000778A0000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3" xfId="1922" xr:uid="{00000000-0005-0000-0000-00007E8A0000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2" xfId="3712" xr:uid="{00000000-0005-0000-0000-0000A28A0000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3" xfId="3883" xr:uid="{00000000-0005-0000-0000-0000B08A0000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2" xfId="970" xr:uid="{00000000-0005-0000-0000-0000CC8A0000}"/>
    <cellStyle name="SAPBEXstdData 7 2 2" xfId="5302" xr:uid="{00000000-0005-0000-0000-0000CD8A0000}"/>
    <cellStyle name="SAPBEXstdData 7 2 2 2" xfId="37093" xr:uid="{00000000-0005-0000-0000-0000CE8A0000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3" xfId="1923" xr:uid="{00000000-0005-0000-0000-0000D58A0000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2" xfId="972" xr:uid="{00000000-0005-0000-0000-0000F98A0000}"/>
    <cellStyle name="SAPBEXstdData 8 2 2" xfId="5300" xr:uid="{00000000-0005-0000-0000-0000FA8A0000}"/>
    <cellStyle name="SAPBEXstdData 8 2 2 2" xfId="37091" xr:uid="{00000000-0005-0000-0000-0000FB8A0000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3" xfId="3714" xr:uid="{00000000-0005-0000-0000-0000028B0000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2" xfId="974" xr:uid="{00000000-0005-0000-0000-0000268B0000}"/>
    <cellStyle name="SAPBEXstdData 9 2 2" xfId="5298" xr:uid="{00000000-0005-0000-0000-0000278B0000}"/>
    <cellStyle name="SAPBEXstdData 9 2 2 2" xfId="37089" xr:uid="{00000000-0005-0000-0000-0000288B0000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3" xfId="3715" xr:uid="{00000000-0005-0000-0000-00002F8B00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2" xfId="3879" xr:uid="{00000000-0005-0000-0000-0000538B0000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1" xfId="3718" xr:uid="{00000000-0005-0000-0000-00006A8B0000}"/>
    <cellStyle name="SAPBEXstdDataEmph 11 2" xfId="3878" xr:uid="{00000000-0005-0000-0000-00006B8B0000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2" xfId="3719" xr:uid="{00000000-0005-0000-0000-0000828B0000}"/>
    <cellStyle name="SAPBEXstdDataEmph 12 2" xfId="3877" xr:uid="{00000000-0005-0000-0000-0000838B0000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3" xfId="3720" xr:uid="{00000000-0005-0000-0000-00009A8B0000}"/>
    <cellStyle name="SAPBEXstdDataEmph 13 2" xfId="3876" xr:uid="{00000000-0005-0000-0000-00009B8B0000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4" xfId="3721" xr:uid="{00000000-0005-0000-0000-0000B28B0000}"/>
    <cellStyle name="SAPBEXstdDataEmph 14 2" xfId="3875" xr:uid="{00000000-0005-0000-0000-0000B38B0000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5" xfId="3722" xr:uid="{00000000-0005-0000-0000-0000CA8B0000}"/>
    <cellStyle name="SAPBEXstdDataEmph 15 2" xfId="3874" xr:uid="{00000000-0005-0000-0000-0000CB8B0000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6" xfId="3723" xr:uid="{00000000-0005-0000-0000-0000E28B0000}"/>
    <cellStyle name="SAPBEXstdDataEmph 16 2" xfId="3873" xr:uid="{00000000-0005-0000-0000-0000E38B0000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7" xfId="4888" xr:uid="{00000000-0005-0000-0000-0000FA8B0000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2" xfId="3724" xr:uid="{00000000-0005-0000-0000-0000108C0000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3" xfId="976" xr:uid="{00000000-0005-0000-0000-00003E8C0000}"/>
    <cellStyle name="SAPBEXstdDataEmph 3 10" xfId="22504" xr:uid="{00000000-0005-0000-0000-00003F8C0000}"/>
    <cellStyle name="SAPBEXstdDataEmph 3 2" xfId="2006" xr:uid="{00000000-0005-0000-0000-0000408C0000}"/>
    <cellStyle name="SAPBEXstdDataEmph 3 2 2" xfId="7251" xr:uid="{00000000-0005-0000-0000-0000418C0000}"/>
    <cellStyle name="SAPBEXstdDataEmph 3 2 2 2" xfId="23506" xr:uid="{00000000-0005-0000-0000-0000428C0000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3" xfId="3871" xr:uid="{00000000-0005-0000-0000-00004E8C0000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2" xfId="3726" xr:uid="{00000000-0005-0000-0000-0000658C0000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2" xfId="3869" xr:uid="{00000000-0005-0000-0000-00008D8C0000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6" xfId="3728" xr:uid="{00000000-0005-0000-0000-0000A48C0000}"/>
    <cellStyle name="SAPBEXstdDataEmph 6 2" xfId="3868" xr:uid="{00000000-0005-0000-0000-0000A58C0000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7" xfId="3729" xr:uid="{00000000-0005-0000-0000-0000BC8C0000}"/>
    <cellStyle name="SAPBEXstdDataEmph 7 2" xfId="3867" xr:uid="{00000000-0005-0000-0000-0000BD8C0000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8" xfId="3730" xr:uid="{00000000-0005-0000-0000-0000D48C0000}"/>
    <cellStyle name="SAPBEXstdDataEmph 8 2" xfId="3866" xr:uid="{00000000-0005-0000-0000-0000D58C0000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9" xfId="3731" xr:uid="{00000000-0005-0000-0000-0000EC8C0000}"/>
    <cellStyle name="SAPBEXstdDataEmph 9 2" xfId="3865" xr:uid="{00000000-0005-0000-0000-0000ED8C0000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2" xfId="1925" xr:uid="{00000000-0005-0000-0000-0000088D0000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2" xfId="3733" xr:uid="{00000000-0005-0000-0000-0000318D0000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2" xfId="3734" xr:uid="{00000000-0005-0000-0000-0000558D0000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2" xfId="3861" xr:uid="{00000000-0005-0000-0000-0000788D0000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4" xfId="3736" xr:uid="{00000000-0005-0000-0000-00008F8D0000}"/>
    <cellStyle name="SAPBEXstdItem 14 2" xfId="3860" xr:uid="{00000000-0005-0000-0000-0000908D0000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5" xfId="3737" xr:uid="{00000000-0005-0000-0000-0000A78D0000}"/>
    <cellStyle name="SAPBEXstdItem 15 2" xfId="2152" xr:uid="{00000000-0005-0000-0000-0000A88D0000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6" xfId="2127" xr:uid="{00000000-0005-0000-0000-0000BF8D0000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7" xfId="5983" xr:uid="{00000000-0005-0000-0000-0000CC8D0000}"/>
    <cellStyle name="SAPBEXstdItem 17 2" xfId="22952" xr:uid="{00000000-0005-0000-0000-0000CD8D0000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2" xfId="982" xr:uid="{00000000-0005-0000-0000-0000DB8D0000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2" xfId="5289" xr:uid="{00000000-0005-0000-0000-0000158E0000}"/>
    <cellStyle name="SAPBEXstdItem 2 3 2 2" xfId="37085" xr:uid="{00000000-0005-0000-0000-0000168E0000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4" xfId="2294" xr:uid="{00000000-0005-0000-0000-00001D8E0000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2" xfId="985" xr:uid="{00000000-0005-0000-0000-00003E8E0000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2" xfId="987" xr:uid="{00000000-0005-0000-0000-0000788E0000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3" xfId="3740" xr:uid="{00000000-0005-0000-0000-0000868E0000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2" xfId="989" xr:uid="{00000000-0005-0000-0000-0000B08E0000}"/>
    <cellStyle name="SAPBEXstdItem 5 2 2" xfId="5286" xr:uid="{00000000-0005-0000-0000-0000B18E0000}"/>
    <cellStyle name="SAPBEXstdItem 5 2 2 2" xfId="37083" xr:uid="{00000000-0005-0000-0000-0000B28E0000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3" xfId="1929" xr:uid="{00000000-0005-0000-0000-0000B98E0000}"/>
    <cellStyle name="SAPBEXstdItem 5 3 10" xfId="37919" xr:uid="{00000000-0005-0000-0000-0000BA8E0000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2" xfId="991" xr:uid="{00000000-0005-0000-0000-0000E38E0000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2" xfId="994" xr:uid="{00000000-0005-0000-0000-0000278F0000}"/>
    <cellStyle name="SAPBEXstdItem 7 2 2" xfId="5281" xr:uid="{00000000-0005-0000-0000-0000288F0000}"/>
    <cellStyle name="SAPBEXstdItem 7 2 2 2" xfId="37081" xr:uid="{00000000-0005-0000-0000-0000298F0000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3" xfId="3743" xr:uid="{00000000-0005-0000-0000-0000308F0000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2" xfId="996" xr:uid="{00000000-0005-0000-0000-0000548F0000}"/>
    <cellStyle name="SAPBEXstdItem 8 2 2" xfId="5279" xr:uid="{00000000-0005-0000-0000-0000558F0000}"/>
    <cellStyle name="SAPBEXstdItem 8 2 2 2" xfId="37079" xr:uid="{00000000-0005-0000-0000-0000568F0000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3" xfId="1930" xr:uid="{00000000-0005-0000-0000-00005D8F0000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2" xfId="998" xr:uid="{00000000-0005-0000-0000-0000818F0000}"/>
    <cellStyle name="SAPBEXstdItem 9 2 2" xfId="5277" xr:uid="{00000000-0005-0000-0000-0000828F0000}"/>
    <cellStyle name="SAPBEXstdItem 9 2 2 2" xfId="37077" xr:uid="{00000000-0005-0000-0000-0000838F0000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3" xfId="1931" xr:uid="{00000000-0005-0000-0000-00008A8F0000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2" xfId="2106" xr:uid="{00000000-0005-0000-0000-0000AE8F0000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1" xfId="3748" xr:uid="{00000000-0005-0000-0000-0000C58F0000}"/>
    <cellStyle name="SAPBEXstdItemX 11 2" xfId="2104" xr:uid="{00000000-0005-0000-0000-0000C68F0000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2" xfId="3749" xr:uid="{00000000-0005-0000-0000-0000DD8F0000}"/>
    <cellStyle name="SAPBEXstdItemX 12 2" xfId="2095" xr:uid="{00000000-0005-0000-0000-0000DE8F0000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3" xfId="3750" xr:uid="{00000000-0005-0000-0000-0000F58F0000}"/>
    <cellStyle name="SAPBEXstdItemX 13 2" xfId="2108" xr:uid="{00000000-0005-0000-0000-0000F68F000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4" xfId="3751" xr:uid="{00000000-0005-0000-0000-00000D900000}"/>
    <cellStyle name="SAPBEXstdItemX 14 2" xfId="2102" xr:uid="{00000000-0005-0000-0000-00000E900000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5" xfId="3752" xr:uid="{00000000-0005-0000-0000-000025900000}"/>
    <cellStyle name="SAPBEXstdItemX 15 2" xfId="2094" xr:uid="{00000000-0005-0000-0000-000026900000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6" xfId="4887" xr:uid="{00000000-0005-0000-0000-00003D900000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2" xfId="1000" xr:uid="{00000000-0005-0000-0000-000055900000}"/>
    <cellStyle name="SAPBEXstdItemX 2 2 2" xfId="5275" xr:uid="{00000000-0005-0000-0000-000056900000}"/>
    <cellStyle name="SAPBEXstdItemX 2 2 2 2" xfId="22580" xr:uid="{00000000-0005-0000-0000-000057900000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3" xfId="3753" xr:uid="{00000000-0005-0000-0000-000063900000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3" xfId="1001" xr:uid="{00000000-0005-0000-0000-00008C900000}"/>
    <cellStyle name="SAPBEXstdItemX 3 10" xfId="5153" xr:uid="{00000000-0005-0000-0000-00008D900000}"/>
    <cellStyle name="SAPBEXstdItemX 3 2" xfId="1002" xr:uid="{00000000-0005-0000-0000-00008E900000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3" xfId="2105" xr:uid="{00000000-0005-0000-0000-00009C900000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2" xfId="1004" xr:uid="{00000000-0005-0000-0000-0000BC900000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2" xfId="2101" xr:uid="{00000000-0005-0000-0000-0000FE900000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6" xfId="3757" xr:uid="{00000000-0005-0000-0000-000016910000}"/>
    <cellStyle name="SAPBEXstdItemX 6 2" xfId="2092" xr:uid="{00000000-0005-0000-0000-000017910000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7" xfId="3758" xr:uid="{00000000-0005-0000-0000-00002E910000}"/>
    <cellStyle name="SAPBEXstdItemX 7 2" xfId="2097" xr:uid="{00000000-0005-0000-0000-00002F910000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8" xfId="3759" xr:uid="{00000000-0005-0000-0000-000046910000}"/>
    <cellStyle name="SAPBEXstdItemX 8 2" xfId="2110" xr:uid="{00000000-0005-0000-0000-000047910000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9" xfId="3760" xr:uid="{00000000-0005-0000-0000-00005E910000}"/>
    <cellStyle name="SAPBEXstdItemX 9 2" xfId="2405" xr:uid="{00000000-0005-0000-0000-00005F910000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2" xfId="2026" xr:uid="{00000000-0005-0000-0000-000098910000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2" xfId="1013" xr:uid="{00000000-0005-0000-0000-0000BD910000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3" xfId="1015" xr:uid="{00000000-0005-0000-0000-0000CB910000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4" xfId="1017" xr:uid="{00000000-0005-0000-0000-0000D9910000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5" xfId="1019" xr:uid="{00000000-0005-0000-0000-0000E7910000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6" xfId="1021" xr:uid="{00000000-0005-0000-0000-0000F5910000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2" xfId="3858" xr:uid="{00000000-0005-0000-0000-00001292000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1" xfId="3762" xr:uid="{00000000-0005-0000-0000-000029920000}"/>
    <cellStyle name="SAPBEXundefined 11 2" xfId="2111" xr:uid="{00000000-0005-0000-0000-00002A920000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2" xfId="3763" xr:uid="{00000000-0005-0000-0000-000041920000}"/>
    <cellStyle name="SAPBEXundefined 12 2" xfId="2112" xr:uid="{00000000-0005-0000-0000-000042920000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3" xfId="3764" xr:uid="{00000000-0005-0000-0000-000059920000}"/>
    <cellStyle name="SAPBEXundefined 13 2" xfId="2113" xr:uid="{00000000-0005-0000-0000-00005A920000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4" xfId="3765" xr:uid="{00000000-0005-0000-0000-000071920000}"/>
    <cellStyle name="SAPBEXundefined 14 2" xfId="2424" xr:uid="{00000000-0005-0000-0000-000072920000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5" xfId="3766" xr:uid="{00000000-0005-0000-0000-000089920000}"/>
    <cellStyle name="SAPBEXundefined 15 2" xfId="2114" xr:uid="{00000000-0005-0000-0000-00008A920000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6" xfId="3767" xr:uid="{00000000-0005-0000-0000-0000A1920000}"/>
    <cellStyle name="SAPBEXundefined 16 2" xfId="2115" xr:uid="{00000000-0005-0000-0000-0000A2920000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7" xfId="4884" xr:uid="{00000000-0005-0000-0000-0000B9920000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2" xfId="3768" xr:uid="{00000000-0005-0000-0000-0000CF920000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3" xfId="1023" xr:uid="{00000000-0005-0000-0000-0000FD920000}"/>
    <cellStyle name="SAPBEXundefined 3 10" xfId="22517" xr:uid="{00000000-0005-0000-0000-0000FE920000}"/>
    <cellStyle name="SAPBEXundefined 3 2" xfId="1985" xr:uid="{00000000-0005-0000-0000-0000FF920000}"/>
    <cellStyle name="SAPBEXundefined 3 2 2" xfId="7231" xr:uid="{00000000-0005-0000-0000-000000930000}"/>
    <cellStyle name="SAPBEXundefined 3 2 2 2" xfId="23492" xr:uid="{00000000-0005-0000-0000-000001930000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3" xfId="2437" xr:uid="{00000000-0005-0000-0000-00000D930000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2" xfId="3770" xr:uid="{00000000-0005-0000-0000-000024930000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2" xfId="2118" xr:uid="{00000000-0005-0000-0000-00004C930000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6" xfId="3772" xr:uid="{00000000-0005-0000-0000-000063930000}"/>
    <cellStyle name="SAPBEXundefined 6 2" xfId="2119" xr:uid="{00000000-0005-0000-0000-000064930000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7" xfId="3773" xr:uid="{00000000-0005-0000-0000-00007B930000}"/>
    <cellStyle name="SAPBEXundefined 7 2" xfId="2120" xr:uid="{00000000-0005-0000-0000-00007C93000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8" xfId="3774" xr:uid="{00000000-0005-0000-0000-000093930000}"/>
    <cellStyle name="SAPBEXundefined 8 2" xfId="3833" xr:uid="{00000000-0005-0000-0000-000094930000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9" xfId="3775" xr:uid="{00000000-0005-0000-0000-0000AB930000}"/>
    <cellStyle name="SAPBEXundefined 9 2" xfId="2121" xr:uid="{00000000-0005-0000-0000-0000AC930000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2" xfId="1942" xr:uid="{00000000-0005-0000-0000-000047940000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2" xfId="3812" xr:uid="{00000000-0005-0000-0000-000070940000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externalLink" Target="externalLinks/externalLink9.xml"/><Relationship Id="rId84" Type="http://schemas.openxmlformats.org/officeDocument/2006/relationships/externalLink" Target="externalLinks/externalLink25.xml"/><Relationship Id="rId89" Type="http://schemas.openxmlformats.org/officeDocument/2006/relationships/externalLink" Target="externalLinks/externalLink30.xml"/><Relationship Id="rId112" Type="http://schemas.openxmlformats.org/officeDocument/2006/relationships/externalLink" Target="externalLinks/externalLink5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5.xml"/><Relationship Id="rId79" Type="http://schemas.openxmlformats.org/officeDocument/2006/relationships/externalLink" Target="externalLinks/externalLink20.xml"/><Relationship Id="rId102" Type="http://schemas.openxmlformats.org/officeDocument/2006/relationships/externalLink" Target="externalLinks/externalLink43.xml"/><Relationship Id="rId123" Type="http://schemas.openxmlformats.org/officeDocument/2006/relationships/externalLink" Target="externalLinks/externalLink64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1.xml"/><Relationship Id="rId95" Type="http://schemas.openxmlformats.org/officeDocument/2006/relationships/externalLink" Target="externalLinks/externalLink3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externalLink" Target="externalLinks/externalLink10.xml"/><Relationship Id="rId77" Type="http://schemas.openxmlformats.org/officeDocument/2006/relationships/externalLink" Target="externalLinks/externalLink18.xml"/><Relationship Id="rId100" Type="http://schemas.openxmlformats.org/officeDocument/2006/relationships/externalLink" Target="externalLinks/externalLink41.xml"/><Relationship Id="rId105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59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3.xml"/><Relationship Id="rId80" Type="http://schemas.openxmlformats.org/officeDocument/2006/relationships/externalLink" Target="externalLinks/externalLink21.xml"/><Relationship Id="rId85" Type="http://schemas.openxmlformats.org/officeDocument/2006/relationships/externalLink" Target="externalLinks/externalLink26.xml"/><Relationship Id="rId93" Type="http://schemas.openxmlformats.org/officeDocument/2006/relationships/externalLink" Target="externalLinks/externalLink34.xml"/><Relationship Id="rId98" Type="http://schemas.openxmlformats.org/officeDocument/2006/relationships/externalLink" Target="externalLinks/externalLink39.xml"/><Relationship Id="rId121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8.xml"/><Relationship Id="rId103" Type="http://schemas.openxmlformats.org/officeDocument/2006/relationships/externalLink" Target="externalLinks/externalLink44.xml"/><Relationship Id="rId108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57.xml"/><Relationship Id="rId124" Type="http://schemas.openxmlformats.org/officeDocument/2006/relationships/externalLink" Target="externalLinks/externalLink65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externalLink" Target="externalLinks/externalLink11.xml"/><Relationship Id="rId75" Type="http://schemas.openxmlformats.org/officeDocument/2006/relationships/externalLink" Target="externalLinks/externalLink16.xml"/><Relationship Id="rId83" Type="http://schemas.openxmlformats.org/officeDocument/2006/relationships/externalLink" Target="externalLinks/externalLink24.xml"/><Relationship Id="rId88" Type="http://schemas.openxmlformats.org/officeDocument/2006/relationships/externalLink" Target="externalLinks/externalLink29.xml"/><Relationship Id="rId91" Type="http://schemas.openxmlformats.org/officeDocument/2006/relationships/externalLink" Target="externalLinks/externalLink32.xml"/><Relationship Id="rId96" Type="http://schemas.openxmlformats.org/officeDocument/2006/relationships/externalLink" Target="externalLinks/externalLink37.xml"/><Relationship Id="rId111" Type="http://schemas.openxmlformats.org/officeDocument/2006/relationships/externalLink" Target="externalLinks/externalLink52.xml"/><Relationship Id="rId13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55.xml"/><Relationship Id="rId119" Type="http://schemas.openxmlformats.org/officeDocument/2006/relationships/externalLink" Target="externalLinks/externalLink60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externalLink" Target="externalLinks/externalLink14.xml"/><Relationship Id="rId78" Type="http://schemas.openxmlformats.org/officeDocument/2006/relationships/externalLink" Target="externalLinks/externalLink19.xml"/><Relationship Id="rId81" Type="http://schemas.openxmlformats.org/officeDocument/2006/relationships/externalLink" Target="externalLinks/externalLink22.xml"/><Relationship Id="rId86" Type="http://schemas.openxmlformats.org/officeDocument/2006/relationships/externalLink" Target="externalLinks/externalLink27.xml"/><Relationship Id="rId94" Type="http://schemas.openxmlformats.org/officeDocument/2006/relationships/externalLink" Target="externalLinks/externalLink35.xml"/><Relationship Id="rId99" Type="http://schemas.openxmlformats.org/officeDocument/2006/relationships/externalLink" Target="externalLinks/externalLink40.xml"/><Relationship Id="rId101" Type="http://schemas.openxmlformats.org/officeDocument/2006/relationships/externalLink" Target="externalLinks/externalLink42.xml"/><Relationship Id="rId122" Type="http://schemas.openxmlformats.org/officeDocument/2006/relationships/externalLink" Target="externalLinks/externalLink63.xml"/><Relationship Id="rId13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7.xml"/><Relationship Id="rId97" Type="http://schemas.openxmlformats.org/officeDocument/2006/relationships/externalLink" Target="externalLinks/externalLink38.xml"/><Relationship Id="rId104" Type="http://schemas.openxmlformats.org/officeDocument/2006/relationships/externalLink" Target="externalLinks/externalLink45.xml"/><Relationship Id="rId120" Type="http://schemas.openxmlformats.org/officeDocument/2006/relationships/externalLink" Target="externalLinks/externalLink61.xml"/><Relationship Id="rId125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2.xml"/><Relationship Id="rId92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7.xml"/><Relationship Id="rId87" Type="http://schemas.openxmlformats.org/officeDocument/2006/relationships/externalLink" Target="externalLinks/externalLink28.xml"/><Relationship Id="rId110" Type="http://schemas.openxmlformats.org/officeDocument/2006/relationships/externalLink" Target="externalLinks/externalLink51.xml"/><Relationship Id="rId115" Type="http://schemas.openxmlformats.org/officeDocument/2006/relationships/externalLink" Target="externalLinks/externalLink56.xml"/><Relationship Id="rId131" Type="http://schemas.openxmlformats.org/officeDocument/2006/relationships/customXml" Target="../customXml/item2.xml"/><Relationship Id="rId61" Type="http://schemas.openxmlformats.org/officeDocument/2006/relationships/externalLink" Target="externalLinks/externalLink2.xml"/><Relationship Id="rId82" Type="http://schemas.openxmlformats.org/officeDocument/2006/relationships/externalLink" Target="externalLinks/externalLink2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50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3%20YEAR%20AVERAG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PMALIN/Local%20Settings/Temporary%20Internet%20Files/OLKDE/RB030212B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PMALIN/Local%20Settings/Temporary%20Internet%20Files/OLKDE/RB030212B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&amp;M%20-%202013\WIN95\TEMP\WIN95\TEMP\SDGBUD9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O&amp;M%20-%202013/WIN95/TEMP/WIN95/TEMP/SDGBUD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GE%20EVA%20BUDGE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ocuments%20and%20Settings/bbjohnso/Local%20Settings/Temporary%20Internet%20Files/OLK144/4163%202009-12-31%20PCR%20-%20All%20Projects%20(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ward\Desktop\sps.sempra.com@SSL\TAX\DATA\TaxProvision\2001\4th%20Qtr\SE%20Provision%202001%204th%20Qtr%20-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1/4th%20Qtr/SE%20Provision%202001%204th%20Qtr%20-%20FIN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93CAPADJ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ATA/EXCEL/93CAPADJ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1%2520-%25205%2520YR%2520OUTLOOK\1%2520-%2520SEPT%2520FORECAST\1%2520-%2520FORECAST\Excel%2520Files\Financial%2520Planning%2520Model\Rate%2520Base%2520Mod\RODNE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ATA/EXCEL/93CAPADJ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FERC%20STMTS/2002/06-02/SDGE%2006_2002%20YTD%20FERC%20I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GE\FERC%20STMTS\2002\06-02\SDGE%2006_2002%20YTD%20FERC%20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DGE\ROR\2002\6-02\RB060212BU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Rate%2520design%25202001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chad.g.grey/Local%20Settings/Temporary%20Internet%20Files/OLK4B0C/T&amp;D%20Sempra%20Benefits%20Model%20v29%202-13-2006%20-%20PHAS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chad.g.grey/Local%20Settings/Temporary%20Internet%20Files/OLK4B0C/T&amp;D%20Sempra%20Benefits%20Model%20v29%202-13-2006%20-%20PHAS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ad.g.grey\Local%20Settings\Temporary%20Internet%20Files\OLK4B0C\T&amp;D%20Sempra%20Benefits%20Model%20v29%202-13-2006%20-%20PHAS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G\DATA\CORPACCT\Ragarwal\BalAcctAnalysi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ACTG/DATA/CORPACCT/Ragarwal/BalAcct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GE\ROR\2002\6-02\RB060212B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ACTG/DATA/CORPACCT/Ragarwal/BalAcctAnalysi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4155_LA_Check%20Request_LAS%2000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OR-1099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elissa\Excel\EDS%2520Planning\2003\Hyperion%2520Retrieve\SCG%2520Cash%2520Flow_Ma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P1TXC/My%20Documents/GRC/GRID/Cost_Benefit%20Sum%2010-2009%20TC/GRC%20Cost%20Estimate%20Consolidated%2009110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TP1TXC/My%20Documents/GRC/GRID/Orig%20Cost%20Forecasts%2010-2009/GRC%20Cost%20Estimate%20Consolidated%200911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1TXC\My%20Documents\GRC\GRID\Cost_Benefit%20Sum%2010-2009%20TC\GRC%20Cost%20Estimate%20Consolidated%200911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Users/EDMarler/AppData/Local/Microsoft/Windows/Temporary%20Internet%20Files/Content.Outlook/QCWZGD22/Excel_Template_2012-03-26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AX\DATA\TaxProvision\2001\4th%2520Qtr\SE%2520Provision%25202001%25204th%2520Qtr%2520-%25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i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ROR/2002/6-02/RB060212B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eritran\Local%20Settings\Temporary%20Internet%20Files\OLK4A\EmplClass&amp;Benefits%20Rev11_06_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eritran/Local%20Settings/Temporary%20Internet%20Files/OLK4A/EmplClass&amp;Benefits%20Rev11_06_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teritran/Local%20Settings/Temporary%20Internet%20Files/OLK4A/EmplClass&amp;Benefits%20Rev11_06_0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SDGE%202014%20Property%20Tax%20Accruals/2100_Property%20Tax%20Accruals_November%202014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EnergyMarkets\FINANCE\WURT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SOFFICE\EXCEL\REV97\P_D_EXP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o/hqtax/Transactional/Approval%20Library/2100_CA_Owned%20Prop%20Accrual_June%20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o\hqtax\Transactional\Approval%20Library\2100_CA_Owned%20Prop%20Accrual_June%2020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%20Income%20Statement%20Q2%2020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WILLIS\Local%20Settings\Temporary%20Internet%20Files\OLK43\SDGE%20Income%20Statement%20Q2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SDGE/ROR/2002/6-02/RB060212B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EXCEL_Files\Fin_Plan\Fin_Plan98\1198_BA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ReqEAM2005Jun1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EXCEL/DATA/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KTSRV\RTE_DSGN\00_1_1RT\2000PBR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egoldman/Local%20Settings/Temporary%20Internet%20Files/OLK210/PMO%20GRC%20Cost%20Estimate%20Consolidated%200911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Steele\Documents\SharePoint%20Drafts\2100_CA_Owned%20Prop%20Accrual%20Calculations_2012-2013_Dec%202012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DSteele/Documents/SharePoint%20Drafts/2100_CA_Owned%20Prop%20Accrual%20Calculations_2012-2013_Dec%202012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_ferc_12-99%20-%2009-02_form1_fs1_12MTDI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WILLIS\Local%20Settings\Temporary%20Internet%20Files\OLK43\sdge_ferc_12-99%20-%2009-02_form1_fs1_12MTDI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TAX/DATA/Utility%20Tax/SDGE/2005/Tax%20Provision/TB(as%20of%2001_11_06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ward\Desktop\sps.sempra.com@SSL\windows\TEMP\Ajaz%20Projections%203-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TB(as%20of%2001_11_06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DATA\Utility%20Tax\SDGE\2005\Tax%20Provision\TB(as%20of%2001_11_06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2\4th%2520QTR\Provision%25202002%25204th%2520Qtr_SETOP%2520II_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NHDinh/My%20Documents/Book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HDinh\My%20Documents\Book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ward\Desktop\sps.sempra.com@SSL\TAX\DATA\TaxProvision\2000\4th%20Qtr\SEI&amp;Subs\SEI%20Provision%202000%20Adjustment%204thQt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0/4th%20Qtr/SEI&amp;Subs/SEI%20Provision%202000%20Adjustment%204thQ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windows/TEMP/Ajaz%20Projections%203-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1\4th%2520Qtr\SE%2520Provision%25202001%25204th%2520Qtr%2520-%25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MALIN\Local%20Settings\Temporary%20Internet%20Files\OLKDE\RB030212B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3 YEAR AVERAGE"/>
      <sheetName val="CALIFIA"/>
      <sheetName val="EFI"/>
      <sheetName val="ETECH"/>
      <sheetName val="EINTERN"/>
      <sheetName val="EMSERVICE"/>
      <sheetName val="PDCC"/>
      <sheetName val="POD"/>
      <sheetName val="EENERGY"/>
      <sheetName val="ENOVA CORP"/>
      <sheetName val="EPOWER"/>
      <sheetName val="EMEXIC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map"/>
      <sheetName val="21503 Summary"/>
      <sheetName val="21504 Summary"/>
      <sheetName val="21505 Summary"/>
      <sheetName val="21703 Summary"/>
      <sheetName val="21503 Variance"/>
      <sheetName val="21504 Variance"/>
      <sheetName val="21505 Variance"/>
      <sheetName val="21703 Variance"/>
      <sheetName val="Ph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>
            <v>0</v>
          </cell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/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data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"/>
      <sheetName val="I"/>
      <sheetName val="C"/>
      <sheetName val="D2_Bal_Act"/>
      <sheetName val="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Assumptions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Request"/>
      <sheetName val="Drop Down List"/>
      <sheetName val="Abbreviations"/>
    </sheetNames>
    <sheetDataSet>
      <sheetData sheetId="0"/>
      <sheetData sheetId="1">
        <row r="1">
          <cell r="B1" t="str">
            <v>Cameron LNG, LLC 4198</v>
          </cell>
        </row>
        <row r="2">
          <cell r="B2" t="str">
            <v>Bangor Gas 4111</v>
          </cell>
        </row>
        <row r="3">
          <cell r="B3" t="str">
            <v>Barney M. Davis, LP 4933</v>
          </cell>
        </row>
        <row r="4">
          <cell r="B4" t="str">
            <v>CES Way Capital 1 5810</v>
          </cell>
        </row>
        <row r="5">
          <cell r="B5" t="str">
            <v>CES Way Capital 2 5811</v>
          </cell>
        </row>
        <row r="6">
          <cell r="B6" t="str">
            <v>CES Way Capital 3 5812</v>
          </cell>
        </row>
        <row r="7">
          <cell r="B7" t="str">
            <v>Coleto Creek WLE, LP 4923</v>
          </cell>
        </row>
        <row r="8">
          <cell r="B8" t="str">
            <v>DAS 5710</v>
          </cell>
        </row>
        <row r="9">
          <cell r="B9" t="str">
            <v>E.S. Joslin, LP 4935</v>
          </cell>
        </row>
        <row r="10">
          <cell r="B10" t="str">
            <v>Eagle Pass, LP 4934</v>
          </cell>
        </row>
        <row r="11">
          <cell r="B11" t="str">
            <v>Elk Hills 5610</v>
          </cell>
        </row>
        <row r="12">
          <cell r="B12" t="str">
            <v>Energy Facility MGT 5012</v>
          </cell>
        </row>
        <row r="13">
          <cell r="B13" t="str">
            <v>Frontier 4121</v>
          </cell>
        </row>
        <row r="14">
          <cell r="B14" t="str">
            <v>Glendale (Dreamworks) 5016</v>
          </cell>
        </row>
        <row r="15">
          <cell r="B15" t="str">
            <v>Global 4190</v>
          </cell>
        </row>
        <row r="16">
          <cell r="B16" t="str">
            <v>Gulf Port, MS 5735</v>
          </cell>
        </row>
        <row r="17">
          <cell r="B17" t="str">
            <v>Hollywood-Highland 5715</v>
          </cell>
        </row>
        <row r="18">
          <cell r="B18" t="str">
            <v>J.L. Bates, LP 4936</v>
          </cell>
        </row>
        <row r="19">
          <cell r="B19" t="str">
            <v>La Palma, LP 4938</v>
          </cell>
        </row>
        <row r="20">
          <cell r="B20" t="str">
            <v>Laredo, LP 4937</v>
          </cell>
        </row>
        <row r="21">
          <cell r="B21" t="str">
            <v>LA Storage, 4155</v>
          </cell>
        </row>
        <row r="22">
          <cell r="B22" t="str">
            <v>Lon C. Hill, LP 4939</v>
          </cell>
        </row>
        <row r="23">
          <cell r="B23" t="str">
            <v>Mesquite 5533</v>
          </cell>
        </row>
        <row r="24">
          <cell r="B24" t="str">
            <v>Nueces Bay, LP 4941</v>
          </cell>
        </row>
        <row r="25">
          <cell r="B25" t="str">
            <v>Pacific Enterprises Oil Co 5030</v>
          </cell>
        </row>
        <row r="26">
          <cell r="B26" t="str">
            <v>Queen Mary 5720</v>
          </cell>
        </row>
        <row r="27">
          <cell r="B27" t="str">
            <v>Sempra Commodity 4800</v>
          </cell>
        </row>
        <row r="28">
          <cell r="B28" t="str">
            <v>Sempra Energy Partnets 4910</v>
          </cell>
        </row>
        <row r="29">
          <cell r="B29" t="str">
            <v>Sempra Energy Production Co 5031</v>
          </cell>
        </row>
        <row r="30">
          <cell r="B30" t="str">
            <v>Sempra Energy Sales, LLC 4195</v>
          </cell>
        </row>
        <row r="31">
          <cell r="B31" t="str">
            <v>Sempra Facilities Management 5010</v>
          </cell>
        </row>
        <row r="32">
          <cell r="B32" t="str">
            <v>Sempra Generation 5000</v>
          </cell>
        </row>
        <row r="33">
          <cell r="B33" t="str">
            <v>Sempra LNG 4197</v>
          </cell>
        </row>
        <row r="34">
          <cell r="B34" t="str">
            <v>Sempra Pipelines and Storage 4290</v>
          </cell>
        </row>
        <row r="35">
          <cell r="B35" t="str">
            <v>Sempra Services 5800</v>
          </cell>
        </row>
        <row r="36">
          <cell r="B36" t="str">
            <v>Sempra Texas Services 4917</v>
          </cell>
        </row>
        <row r="37">
          <cell r="B37" t="str">
            <v>Sempra Ventrues 4950</v>
          </cell>
        </row>
        <row r="38">
          <cell r="B38" t="str">
            <v>Topaz Power Group, LLC 4930</v>
          </cell>
        </row>
        <row r="39">
          <cell r="B39" t="str">
            <v>Topaz Power Partners, LLC 4920</v>
          </cell>
        </row>
        <row r="40">
          <cell r="B40" t="str">
            <v>Twin Oaks 5572</v>
          </cell>
        </row>
        <row r="41">
          <cell r="B41" t="str">
            <v>Venetian, Las Vegas 5021</v>
          </cell>
        </row>
        <row r="42">
          <cell r="B42" t="str">
            <v>Victoria, LP 4940</v>
          </cell>
        </row>
        <row r="43">
          <cell r="B43" t="str">
            <v>White Oak, MD 5725</v>
          </cell>
        </row>
        <row r="45">
          <cell r="B45" t="str">
            <v>Check Requisition</v>
          </cell>
        </row>
        <row r="46">
          <cell r="B46" t="str">
            <v>Wire Requisition</v>
          </cell>
        </row>
        <row r="47">
          <cell r="B47" t="str">
            <v>EFT Requisition-ACH Credit</v>
          </cell>
        </row>
        <row r="48">
          <cell r="B48" t="str">
            <v>EFT Requisition-ACH Debit</v>
          </cell>
        </row>
        <row r="50">
          <cell r="B50" t="str">
            <v>XXX</v>
          </cell>
        </row>
        <row r="51">
          <cell r="B51" t="str">
            <v>INC</v>
          </cell>
        </row>
        <row r="52">
          <cell r="B52" t="str">
            <v>FRA</v>
          </cell>
        </row>
        <row r="53">
          <cell r="B53" t="str">
            <v>AST</v>
          </cell>
        </row>
        <row r="54">
          <cell r="B54" t="str">
            <v>FRW</v>
          </cell>
        </row>
        <row r="55">
          <cell r="B55" t="str">
            <v>SUT</v>
          </cell>
        </row>
        <row r="56">
          <cell r="B56" t="str">
            <v>FFE</v>
          </cell>
        </row>
        <row r="57">
          <cell r="B57" t="str">
            <v>UUT</v>
          </cell>
        </row>
        <row r="58">
          <cell r="B58" t="str">
            <v>PTX</v>
          </cell>
        </row>
        <row r="59">
          <cell r="B59" t="str">
            <v>GRT</v>
          </cell>
        </row>
        <row r="60">
          <cell r="B60" t="str">
            <v>BLC</v>
          </cell>
        </row>
        <row r="61">
          <cell r="B61" t="str">
            <v>EXE</v>
          </cell>
        </row>
        <row r="62">
          <cell r="B62" t="str">
            <v>WTH</v>
          </cell>
        </row>
        <row r="63">
          <cell r="B63" t="str">
            <v>VAT</v>
          </cell>
        </row>
        <row r="65">
          <cell r="B65" t="str">
            <v>XXX</v>
          </cell>
        </row>
        <row r="66">
          <cell r="B66" t="str">
            <v>ETP</v>
          </cell>
        </row>
        <row r="67">
          <cell r="B67" t="str">
            <v>EXT</v>
          </cell>
        </row>
        <row r="68">
          <cell r="B68" t="str">
            <v>RET</v>
          </cell>
        </row>
        <row r="69">
          <cell r="B69" t="str">
            <v>AUD</v>
          </cell>
        </row>
        <row r="70">
          <cell r="B70" t="str">
            <v>INT</v>
          </cell>
        </row>
        <row r="71">
          <cell r="B71" t="str">
            <v>PEN</v>
          </cell>
        </row>
        <row r="72">
          <cell r="B72" t="str">
            <v>AMD</v>
          </cell>
        </row>
        <row r="73">
          <cell r="B73" t="str">
            <v>SHR</v>
          </cell>
        </row>
        <row r="74">
          <cell r="B74" t="str">
            <v>PTB</v>
          </cell>
        </row>
        <row r="75">
          <cell r="B75" t="str">
            <v>RTP</v>
          </cell>
        </row>
        <row r="76">
          <cell r="B76" t="str">
            <v>PYO</v>
          </cell>
        </row>
        <row r="77">
          <cell r="B77" t="str">
            <v>BLR</v>
          </cell>
        </row>
        <row r="93">
          <cell r="B93" t="str">
            <v>XX</v>
          </cell>
        </row>
        <row r="94">
          <cell r="B94" t="str">
            <v>1Q</v>
          </cell>
        </row>
        <row r="95">
          <cell r="B95" t="str">
            <v>2Q</v>
          </cell>
        </row>
        <row r="96">
          <cell r="B96" t="str">
            <v>3Q</v>
          </cell>
        </row>
        <row r="97">
          <cell r="B97" t="str">
            <v>4Q</v>
          </cell>
        </row>
        <row r="98">
          <cell r="B98" t="str">
            <v>01</v>
          </cell>
        </row>
        <row r="99">
          <cell r="B99" t="str">
            <v>02</v>
          </cell>
        </row>
        <row r="100">
          <cell r="B100" t="str">
            <v>03</v>
          </cell>
        </row>
        <row r="101">
          <cell r="B101" t="str">
            <v>04</v>
          </cell>
        </row>
        <row r="102">
          <cell r="B102" t="str">
            <v>05</v>
          </cell>
        </row>
        <row r="103">
          <cell r="B103" t="str">
            <v>06</v>
          </cell>
        </row>
        <row r="104">
          <cell r="B104" t="str">
            <v>07</v>
          </cell>
        </row>
        <row r="105">
          <cell r="B105" t="str">
            <v>08</v>
          </cell>
        </row>
        <row r="106">
          <cell r="B106" t="str">
            <v>09</v>
          </cell>
        </row>
        <row r="107">
          <cell r="B107" t="str">
            <v>10</v>
          </cell>
        </row>
        <row r="108">
          <cell r="B108">
            <v>11</v>
          </cell>
        </row>
        <row r="109">
          <cell r="B109">
            <v>12</v>
          </cell>
        </row>
        <row r="110">
          <cell r="B110" t="str">
            <v>AN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"/>
      <sheetName val="Op Inc recon"/>
      <sheetName val="074 Report"/>
      <sheetName val="Elec Dist"/>
      <sheetName val="GAS"/>
      <sheetName val="Report Old"/>
      <sheetName val="Elec"/>
      <sheetName val="Gas Old"/>
      <sheetName val="Debt-PStock"/>
      <sheetName val="Adjust. 5.0 Old"/>
      <sheetName val="Adjust. 5.0"/>
      <sheetName val="MiscAnlys 6.0"/>
      <sheetName val="Gas Fuel"/>
      <sheetName val="Electric NonSh"/>
      <sheetName val="FF&amp;U"/>
      <sheetName val="A&amp;G 12mtd"/>
      <sheetName val="Merger Final (2)"/>
      <sheetName val="Nuc Ins"/>
      <sheetName val="Steam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G CF_actual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C3" t="str">
            <v>AIS</v>
          </cell>
          <cell r="D3" t="str">
            <v>SDGE</v>
          </cell>
          <cell r="E3" t="str">
            <v>O&amp;M</v>
          </cell>
          <cell r="F3" t="str">
            <v>Labor</v>
          </cell>
        </row>
        <row r="4">
          <cell r="B4" t="str">
            <v>Smart Grid</v>
          </cell>
          <cell r="C4" t="str">
            <v>GIS</v>
          </cell>
          <cell r="D4" t="str">
            <v>SCG</v>
          </cell>
          <cell r="E4" t="str">
            <v>Refundable</v>
          </cell>
          <cell r="F4" t="str">
            <v>Nonlabor</v>
          </cell>
        </row>
        <row r="5">
          <cell r="B5" t="str">
            <v>Customer Care</v>
          </cell>
          <cell r="C5" t="str">
            <v>OMS/DMS</v>
          </cell>
          <cell r="E5" t="str">
            <v>Capital</v>
          </cell>
        </row>
        <row r="6">
          <cell r="B6" t="str">
            <v>Field Force</v>
          </cell>
          <cell r="C6" t="str">
            <v>CBM</v>
          </cell>
        </row>
        <row r="7">
          <cell r="B7" t="str">
            <v>IT Initiatives</v>
          </cell>
          <cell r="C7" t="str">
            <v xml:space="preserve">Operational Insight Analytics </v>
          </cell>
        </row>
        <row r="8">
          <cell r="B8" t="str">
            <v>PMO</v>
          </cell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C3" t="str">
            <v>AIS</v>
          </cell>
          <cell r="D3" t="str">
            <v>SDGE</v>
          </cell>
          <cell r="E3" t="str">
            <v>O&amp;M</v>
          </cell>
          <cell r="F3" t="str">
            <v>Labor</v>
          </cell>
        </row>
        <row r="4">
          <cell r="B4" t="str">
            <v>Smart Grid</v>
          </cell>
          <cell r="C4" t="str">
            <v>GIS</v>
          </cell>
          <cell r="D4" t="str">
            <v>SCG</v>
          </cell>
          <cell r="E4" t="str">
            <v>Refundable</v>
          </cell>
          <cell r="F4" t="str">
            <v>Nonlabor</v>
          </cell>
        </row>
        <row r="5">
          <cell r="B5" t="str">
            <v>Customer Care</v>
          </cell>
          <cell r="C5" t="str">
            <v>OMS/DMS</v>
          </cell>
          <cell r="E5" t="str">
            <v>Capital</v>
          </cell>
        </row>
        <row r="6">
          <cell r="B6" t="str">
            <v>Field Force</v>
          </cell>
          <cell r="C6" t="str">
            <v>CBM</v>
          </cell>
        </row>
        <row r="7">
          <cell r="B7" t="str">
            <v>IT Initiatives</v>
          </cell>
          <cell r="C7" t="str">
            <v xml:space="preserve">Operational Insight Analytics </v>
          </cell>
        </row>
        <row r="8">
          <cell r="B8" t="str">
            <v>PMO</v>
          </cell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Screen"/>
      <sheetName val="P_Intro"/>
      <sheetName val="P_Index"/>
      <sheetName val="Index"/>
      <sheetName val="P_Review"/>
      <sheetName val="Review_Notes"/>
      <sheetName val="P_PL"/>
      <sheetName val="Portrait_Footer"/>
      <sheetName val="Landscape_Footer"/>
      <sheetName val="P_WBP"/>
      <sheetName val="Sample - Current Year"/>
      <sheetName val="Sample - Prior Year"/>
      <sheetName val="P_Read"/>
      <sheetName val="Read_Me"/>
      <sheetName val="Data_Criteria"/>
      <sheetName val="P_End1"/>
      <sheetName val="P_End2"/>
      <sheetName val="PE Ret-SS-T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7">
          <cell r="D27">
            <v>2318</v>
          </cell>
        </row>
      </sheetData>
      <sheetData sheetId="12" refreshError="1"/>
      <sheetData sheetId="13" refreshError="1"/>
      <sheetData sheetId="14">
        <row r="5">
          <cell r="C5" t="str">
            <v>2012_SDGE_Annual_FERC.xlsx</v>
          </cell>
        </row>
        <row r="8">
          <cell r="C8">
            <v>41280.430684490741</v>
          </cell>
        </row>
        <row r="9">
          <cell r="C9" t="str">
            <v>rsumida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i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&amp;Benefit Data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Outlook"/>
      <sheetName val="June Outlook"/>
      <sheetName val="2014 Plan"/>
      <sheetName val="A1 - Owned j.e."/>
      <sheetName val="A2 - Leased j.e."/>
      <sheetName val="A3 - NV j.e."/>
      <sheetName val="Owned Deferred j.e."/>
      <sheetName val="Leased Deferred j.e."/>
      <sheetName val="NV Deferred j.e."/>
      <sheetName val="2013 Appeal j.e."/>
      <sheetName val="2012 Appeal j.e."/>
      <sheetName val="lookup tables"/>
      <sheetName val="A4 - EST Expense"/>
      <sheetName val="AZ j.e."/>
      <sheetName val=" A5 - EST Leased Expense"/>
      <sheetName val="A6 - EST AZ Expense"/>
      <sheetName val="A6 - EST NV Expense"/>
      <sheetName val="13-14 2nd install"/>
      <sheetName val="A7 - PY Owned je"/>
      <sheetName val="A8 - PY leased je"/>
      <sheetName val="A9 - PY NV je"/>
      <sheetName val="Maricopa Calcs-2nd Install"/>
      <sheetName val="E1 - Desert Star support"/>
      <sheetName val="F - 2013 Appeal"/>
      <sheetName val="B - 2nd install"/>
      <sheetName val="G - 2013 SAPD Analysis"/>
      <sheetName val="ver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Month</v>
          </cell>
          <cell r="B5" t="str">
            <v>Credit</v>
          </cell>
          <cell r="C5" t="str">
            <v>Category</v>
          </cell>
          <cell r="I5" t="str">
            <v>Month</v>
          </cell>
          <cell r="J5" t="str">
            <v>Credit</v>
          </cell>
          <cell r="K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  <cell r="I6" t="str">
            <v>January</v>
          </cell>
          <cell r="J6">
            <v>2163021</v>
          </cell>
          <cell r="K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  <cell r="I7" t="str">
            <v>February</v>
          </cell>
          <cell r="J7">
            <v>2163021</v>
          </cell>
          <cell r="K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  <cell r="I8" t="str">
            <v>March</v>
          </cell>
          <cell r="J8">
            <v>2163021</v>
          </cell>
          <cell r="K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  <cell r="I9" t="str">
            <v>April</v>
          </cell>
          <cell r="J9">
            <v>2163021</v>
          </cell>
          <cell r="K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  <cell r="I10" t="str">
            <v>May</v>
          </cell>
          <cell r="J10">
            <v>1110034</v>
          </cell>
          <cell r="K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  <cell r="I11" t="str">
            <v>June</v>
          </cell>
          <cell r="J11">
            <v>1110034</v>
          </cell>
          <cell r="K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  <cell r="I12" t="str">
            <v>July</v>
          </cell>
          <cell r="J12">
            <v>2163021</v>
          </cell>
          <cell r="K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  <cell r="I13" t="str">
            <v>August</v>
          </cell>
          <cell r="J13">
            <v>2163021</v>
          </cell>
          <cell r="K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  <cell r="I14" t="str">
            <v>September</v>
          </cell>
          <cell r="J14">
            <v>2163021</v>
          </cell>
          <cell r="K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  <cell r="I15" t="str">
            <v>October</v>
          </cell>
          <cell r="J15">
            <v>2163021</v>
          </cell>
          <cell r="K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  <cell r="I16" t="str">
            <v>November</v>
          </cell>
          <cell r="J16">
            <v>2163021</v>
          </cell>
          <cell r="K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  <cell r="I17" t="str">
            <v>December</v>
          </cell>
          <cell r="J17">
            <v>2163021</v>
          </cell>
          <cell r="K17" t="str">
            <v>December</v>
          </cell>
        </row>
        <row r="32">
          <cell r="A32" t="str">
            <v>Electric - NV</v>
          </cell>
        </row>
        <row r="33">
          <cell r="A33" t="str">
            <v>Month</v>
          </cell>
          <cell r="B33" t="str">
            <v>Credit</v>
          </cell>
          <cell r="C33" t="str">
            <v>Category</v>
          </cell>
        </row>
        <row r="34">
          <cell r="A34" t="str">
            <v>January</v>
          </cell>
          <cell r="B34">
            <v>1110033</v>
          </cell>
          <cell r="C34" t="str">
            <v>January-June</v>
          </cell>
        </row>
        <row r="35">
          <cell r="A35" t="str">
            <v>February</v>
          </cell>
          <cell r="B35">
            <v>1110033</v>
          </cell>
          <cell r="C35" t="str">
            <v>January-June</v>
          </cell>
        </row>
        <row r="36">
          <cell r="A36" t="str">
            <v>March</v>
          </cell>
          <cell r="B36">
            <v>1110033</v>
          </cell>
          <cell r="C36" t="str">
            <v>January-June</v>
          </cell>
        </row>
        <row r="37">
          <cell r="A37" t="str">
            <v>April</v>
          </cell>
          <cell r="B37">
            <v>1110033</v>
          </cell>
          <cell r="C37" t="str">
            <v>January-June</v>
          </cell>
        </row>
        <row r="38">
          <cell r="A38" t="str">
            <v>May</v>
          </cell>
          <cell r="B38">
            <v>1110033</v>
          </cell>
          <cell r="C38" t="str">
            <v>January-June</v>
          </cell>
        </row>
        <row r="39">
          <cell r="A39" t="str">
            <v>June</v>
          </cell>
          <cell r="B39">
            <v>1110033</v>
          </cell>
          <cell r="C39" t="str">
            <v>January-June</v>
          </cell>
        </row>
        <row r="40">
          <cell r="A40" t="str">
            <v>July</v>
          </cell>
          <cell r="B40">
            <v>2163018</v>
          </cell>
          <cell r="C40" t="str">
            <v>July-September</v>
          </cell>
        </row>
        <row r="41">
          <cell r="A41" t="str">
            <v>August</v>
          </cell>
          <cell r="B41">
            <v>2163018</v>
          </cell>
          <cell r="C41" t="str">
            <v>July-September</v>
          </cell>
        </row>
        <row r="42">
          <cell r="A42" t="str">
            <v>September</v>
          </cell>
          <cell r="B42">
            <v>2163018</v>
          </cell>
          <cell r="C42" t="str">
            <v>July-September</v>
          </cell>
        </row>
        <row r="43">
          <cell r="A43" t="str">
            <v>October</v>
          </cell>
          <cell r="B43">
            <v>2163018</v>
          </cell>
          <cell r="C43" t="str">
            <v>October</v>
          </cell>
        </row>
        <row r="44">
          <cell r="A44" t="str">
            <v>November</v>
          </cell>
          <cell r="B44">
            <v>1110033</v>
          </cell>
          <cell r="C44" t="str">
            <v>November-December</v>
          </cell>
        </row>
        <row r="45">
          <cell r="A45" t="str">
            <v>December</v>
          </cell>
          <cell r="B45">
            <v>1110033</v>
          </cell>
          <cell r="C45" t="str">
            <v>November-December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Accrual"/>
      <sheetName val="lookup tables"/>
    </sheetNames>
    <sheetDataSet>
      <sheetData sheetId="0" refreshError="1"/>
      <sheetData sheetId="1">
        <row r="5">
          <cell r="A5" t="str">
            <v>Month</v>
          </cell>
          <cell r="B5" t="str">
            <v>Credit</v>
          </cell>
          <cell r="C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Accrual"/>
      <sheetName val="lookup tables"/>
    </sheetNames>
    <sheetDataSet>
      <sheetData sheetId="0" refreshError="1"/>
      <sheetData sheetId="1">
        <row r="5">
          <cell r="A5" t="str">
            <v>Month</v>
          </cell>
          <cell r="B5" t="str">
            <v>Credit</v>
          </cell>
          <cell r="C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>
        <row r="6"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</row>
        <row r="7">
          <cell r="G7" t="str">
            <v>(07.2003-06.2004)</v>
          </cell>
          <cell r="J7" t="str">
            <v>(07.2003-06.2004)</v>
          </cell>
        </row>
        <row r="9">
          <cell r="E9" t="str">
            <v>Operating Revenues:</v>
          </cell>
        </row>
        <row r="10">
          <cell r="E10" t="str">
            <v>F41160C</v>
          </cell>
          <cell r="F10" t="str">
            <v>GAIN FROM DISP UT PLANT</v>
          </cell>
          <cell r="G10">
            <v>0</v>
          </cell>
          <cell r="J10">
            <v>0</v>
          </cell>
        </row>
        <row r="11">
          <cell r="E11" t="str">
            <v>F41160E</v>
          </cell>
          <cell r="F11" t="str">
            <v>GAIN FROM DISP UT PLANT</v>
          </cell>
          <cell r="G11">
            <v>-448759.02</v>
          </cell>
          <cell r="J11">
            <v>-448759.02</v>
          </cell>
        </row>
        <row r="12">
          <cell r="E12" t="str">
            <v>F41170E</v>
          </cell>
          <cell r="F12" t="str">
            <v>LOSSES FROM DISP UT PLANT</v>
          </cell>
          <cell r="G12">
            <v>0</v>
          </cell>
          <cell r="J12">
            <v>0</v>
          </cell>
        </row>
        <row r="13">
          <cell r="E13" t="str">
            <v>F44000C</v>
          </cell>
          <cell r="F13" t="str">
            <v>RESIDENTIAL SALES</v>
          </cell>
          <cell r="G13">
            <v>0</v>
          </cell>
          <cell r="J13">
            <v>0</v>
          </cell>
        </row>
        <row r="14">
          <cell r="E14" t="str">
            <v>F44000E</v>
          </cell>
          <cell r="F14" t="str">
            <v>RESIDENTIAL SALES</v>
          </cell>
          <cell r="G14">
            <v>-703916009</v>
          </cell>
          <cell r="J14">
            <v>-703916009</v>
          </cell>
        </row>
        <row r="15">
          <cell r="E15" t="str">
            <v>F44200C</v>
          </cell>
          <cell r="F15" t="str">
            <v>COMMERCIAL AND INDUSTRIAL SALES</v>
          </cell>
          <cell r="G15">
            <v>0</v>
          </cell>
          <cell r="J15">
            <v>0</v>
          </cell>
        </row>
        <row r="16">
          <cell r="E16" t="str">
            <v>F44200E</v>
          </cell>
          <cell r="F16" t="str">
            <v>COMMERCIAL AND INDUSTRIAL SALES</v>
          </cell>
          <cell r="G16">
            <v>-788157888</v>
          </cell>
          <cell r="J16">
            <v>-788157888</v>
          </cell>
        </row>
        <row r="17">
          <cell r="E17" t="str">
            <v>F44400C</v>
          </cell>
          <cell r="F17" t="str">
            <v>PUBLIC STREET AND HIGHWAY LIGHTING</v>
          </cell>
          <cell r="G17">
            <v>0</v>
          </cell>
          <cell r="J17">
            <v>0</v>
          </cell>
        </row>
        <row r="18">
          <cell r="E18" t="str">
            <v>F44400E</v>
          </cell>
          <cell r="F18" t="str">
            <v>PUBLIC STREET AND HIGHWAY LIGHTING</v>
          </cell>
          <cell r="G18">
            <v>-10675969</v>
          </cell>
          <cell r="J18">
            <v>-10675969</v>
          </cell>
        </row>
        <row r="19">
          <cell r="E19" t="str">
            <v>F44700C</v>
          </cell>
          <cell r="F19" t="str">
            <v>SALES FOR RESALE</v>
          </cell>
          <cell r="G19">
            <v>0</v>
          </cell>
          <cell r="J19">
            <v>0</v>
          </cell>
        </row>
        <row r="20">
          <cell r="E20" t="str">
            <v>F44700E</v>
          </cell>
          <cell r="F20" t="str">
            <v>SALES FOR RESALE</v>
          </cell>
          <cell r="G20">
            <v>747753.91</v>
          </cell>
          <cell r="J20">
            <v>747753.91</v>
          </cell>
        </row>
        <row r="21">
          <cell r="E21" t="str">
            <v>F45100C</v>
          </cell>
          <cell r="F21" t="str">
            <v>MISCELLANEOUS SERVICE REVENUES</v>
          </cell>
          <cell r="G21">
            <v>0</v>
          </cell>
          <cell r="J21">
            <v>0</v>
          </cell>
        </row>
        <row r="22">
          <cell r="E22" t="str">
            <v>F45100E</v>
          </cell>
          <cell r="F22" t="str">
            <v>MISCELLANEOUS SERVICE REVENUES</v>
          </cell>
          <cell r="G22">
            <v>-49680000.890000001</v>
          </cell>
          <cell r="J22">
            <v>-49680000.890000001</v>
          </cell>
        </row>
        <row r="23">
          <cell r="E23" t="str">
            <v>F45400C</v>
          </cell>
          <cell r="F23" t="str">
            <v>RENT FROM ELECTRIC PROPERTY</v>
          </cell>
          <cell r="G23">
            <v>0</v>
          </cell>
          <cell r="J23">
            <v>0</v>
          </cell>
        </row>
        <row r="24">
          <cell r="E24" t="str">
            <v>F45400E</v>
          </cell>
          <cell r="F24" t="str">
            <v>RENT FROM ELECTRIC PROPERTY</v>
          </cell>
          <cell r="G24">
            <v>-4668559.6899999995</v>
          </cell>
          <cell r="J24">
            <v>-4668559.6899999995</v>
          </cell>
        </row>
        <row r="25">
          <cell r="E25" t="str">
            <v>F45600C</v>
          </cell>
          <cell r="F25" t="str">
            <v>OTHER ELECTRIC REVENUES</v>
          </cell>
          <cell r="G25">
            <v>0</v>
          </cell>
          <cell r="J25">
            <v>0</v>
          </cell>
        </row>
        <row r="26">
          <cell r="E26" t="str">
            <v>F45601C</v>
          </cell>
          <cell r="F26" t="str">
            <v>OTHER ELECTRIC REVENUES</v>
          </cell>
          <cell r="G26">
            <v>0</v>
          </cell>
          <cell r="J26">
            <v>0</v>
          </cell>
        </row>
        <row r="27">
          <cell r="E27" t="str">
            <v>F45601E</v>
          </cell>
          <cell r="F27" t="str">
            <v>OTHER ELECTRIC REVENUES</v>
          </cell>
          <cell r="G27">
            <v>-11052.840000000084</v>
          </cell>
          <cell r="J27">
            <v>-11052.840000000084</v>
          </cell>
        </row>
        <row r="28">
          <cell r="E28" t="str">
            <v>F45600E</v>
          </cell>
          <cell r="F28" t="str">
            <v>OTHER ELECTRIC REVENUES</v>
          </cell>
          <cell r="G28">
            <v>-238130416.90000001</v>
          </cell>
          <cell r="J28">
            <v>-238130416.90000001</v>
          </cell>
        </row>
        <row r="29">
          <cell r="E29" t="str">
            <v xml:space="preserve">  Electric</v>
          </cell>
          <cell r="G29">
            <v>-1794940901.4300001</v>
          </cell>
          <cell r="H29">
            <v>0</v>
          </cell>
          <cell r="J29">
            <v>-1794940901.4300001</v>
          </cell>
        </row>
        <row r="31">
          <cell r="E31" t="str">
            <v>F44701C</v>
          </cell>
          <cell r="F31" t="str">
            <v>COST RECOVERY FROM ISO/PX</v>
          </cell>
          <cell r="G31">
            <v>0</v>
          </cell>
          <cell r="J31">
            <v>0</v>
          </cell>
        </row>
        <row r="32">
          <cell r="E32" t="str">
            <v xml:space="preserve"> Cost recovery from PX</v>
          </cell>
          <cell r="G32">
            <v>0</v>
          </cell>
          <cell r="H32">
            <v>0</v>
          </cell>
          <cell r="J32">
            <v>0</v>
          </cell>
        </row>
        <row r="34">
          <cell r="E34" t="str">
            <v xml:space="preserve">     Total Electric Revenues</v>
          </cell>
          <cell r="G34">
            <v>-1794940901.4300001</v>
          </cell>
          <cell r="H34">
            <v>0</v>
          </cell>
          <cell r="J34">
            <v>-1794940901.4300001</v>
          </cell>
        </row>
        <row r="36">
          <cell r="E36" t="str">
            <v>F48000C</v>
          </cell>
          <cell r="F36" t="str">
            <v>RESIDENTIAL SALES</v>
          </cell>
          <cell r="G36">
            <v>0</v>
          </cell>
          <cell r="J36">
            <v>0</v>
          </cell>
        </row>
        <row r="37">
          <cell r="E37" t="str">
            <v>F48000G</v>
          </cell>
          <cell r="F37" t="str">
            <v>RESIDENTIAL SALES</v>
          </cell>
          <cell r="G37">
            <v>-306094902</v>
          </cell>
          <cell r="J37">
            <v>-306094902</v>
          </cell>
        </row>
        <row r="38">
          <cell r="E38" t="str">
            <v>F48100C</v>
          </cell>
          <cell r="F38" t="str">
            <v>COMMERCIAL AND INDUSTRIAL SALES</v>
          </cell>
          <cell r="G38">
            <v>0</v>
          </cell>
          <cell r="J38">
            <v>0</v>
          </cell>
        </row>
        <row r="39">
          <cell r="E39" t="str">
            <v>F48100G</v>
          </cell>
          <cell r="F39" t="str">
            <v>COMMERCIAL AND INDUSTRIAL SALES</v>
          </cell>
          <cell r="G39">
            <v>-135519771</v>
          </cell>
          <cell r="J39">
            <v>-135519771</v>
          </cell>
        </row>
        <row r="40">
          <cell r="E40" t="str">
            <v>F48300C</v>
          </cell>
          <cell r="F40" t="str">
            <v>SALES FOR RESALE</v>
          </cell>
          <cell r="G40">
            <v>0</v>
          </cell>
          <cell r="J40">
            <v>0</v>
          </cell>
        </row>
        <row r="41">
          <cell r="E41" t="str">
            <v>F48400C</v>
          </cell>
          <cell r="F41" t="str">
            <v>INTERDEPARTMENTAL SALES</v>
          </cell>
          <cell r="G41">
            <v>0</v>
          </cell>
          <cell r="J41">
            <v>0</v>
          </cell>
        </row>
        <row r="42">
          <cell r="E42" t="str">
            <v>F48800C</v>
          </cell>
          <cell r="F42" t="str">
            <v>MISCELLANEOUS SERVICE REVENUES</v>
          </cell>
          <cell r="G42">
            <v>0</v>
          </cell>
          <cell r="J42">
            <v>0</v>
          </cell>
        </row>
        <row r="43">
          <cell r="E43" t="str">
            <v>F48800G</v>
          </cell>
          <cell r="F43" t="str">
            <v>MISCELLANEOUS SERVICE REVENUES</v>
          </cell>
          <cell r="G43">
            <v>-4750991.45</v>
          </cell>
          <cell r="J43">
            <v>-4750991.45</v>
          </cell>
        </row>
        <row r="44">
          <cell r="E44" t="str">
            <v>F48900C</v>
          </cell>
          <cell r="F44" t="str">
            <v>REV. FROM TRANS. OF GAS OF OTHERS</v>
          </cell>
          <cell r="G44">
            <v>0</v>
          </cell>
          <cell r="J44">
            <v>0</v>
          </cell>
        </row>
        <row r="45">
          <cell r="E45" t="str">
            <v>F48930C</v>
          </cell>
          <cell r="F45" t="str">
            <v xml:space="preserve">REVENUE FM TRANS OF GAS FOR OTHER COMPANIES </v>
          </cell>
          <cell r="G45">
            <v>0</v>
          </cell>
          <cell r="J45">
            <v>0</v>
          </cell>
        </row>
        <row r="46">
          <cell r="E46" t="str">
            <v>F48930G</v>
          </cell>
          <cell r="F46" t="str">
            <v xml:space="preserve">REVENUE FM TRANS OF GAS FOR OTHER COMPANIES </v>
          </cell>
          <cell r="G46">
            <v>-38659343</v>
          </cell>
          <cell r="J46">
            <v>-38659343</v>
          </cell>
        </row>
        <row r="47">
          <cell r="E47" t="str">
            <v>F49300C</v>
          </cell>
          <cell r="F47" t="str">
            <v>RENT FROM GAS PROPERTY</v>
          </cell>
          <cell r="G47">
            <v>0</v>
          </cell>
          <cell r="J47">
            <v>0</v>
          </cell>
        </row>
        <row r="48">
          <cell r="E48" t="str">
            <v>F49300G</v>
          </cell>
          <cell r="F48" t="str">
            <v>RENT FROM GAS PROPERTY</v>
          </cell>
          <cell r="G48">
            <v>-114479.65000000001</v>
          </cell>
          <cell r="J48">
            <v>-114479.65000000001</v>
          </cell>
        </row>
        <row r="49">
          <cell r="E49" t="str">
            <v>F49500C</v>
          </cell>
          <cell r="F49" t="str">
            <v>OTHER GAS REVENUES</v>
          </cell>
          <cell r="G49">
            <v>0</v>
          </cell>
          <cell r="J49">
            <v>0</v>
          </cell>
        </row>
        <row r="50">
          <cell r="E50" t="str">
            <v>F49500G</v>
          </cell>
          <cell r="F50" t="str">
            <v>OTHER GAS REVENUES</v>
          </cell>
          <cell r="G50">
            <v>-44549402.340000004</v>
          </cell>
          <cell r="J50">
            <v>-44549402.340000004</v>
          </cell>
        </row>
        <row r="51">
          <cell r="E51" t="str">
            <v xml:space="preserve">  Gas</v>
          </cell>
          <cell r="G51">
            <v>-529688889.43999994</v>
          </cell>
          <cell r="H51">
            <v>0</v>
          </cell>
          <cell r="J51">
            <v>-529688889.43999994</v>
          </cell>
        </row>
        <row r="53">
          <cell r="E53" t="str">
            <v xml:space="preserve">        Total Operating Revenues</v>
          </cell>
          <cell r="G53">
            <v>-2324629790.8699999</v>
          </cell>
          <cell r="H53">
            <v>0</v>
          </cell>
          <cell r="J53">
            <v>-2324629790.8699999</v>
          </cell>
        </row>
        <row r="55">
          <cell r="E55" t="str">
            <v>Operating Expenses:</v>
          </cell>
        </row>
        <row r="56">
          <cell r="E56" t="str">
            <v>F50100E</v>
          </cell>
          <cell r="F56" t="str">
            <v>FUEL</v>
          </cell>
          <cell r="G56">
            <v>151.22</v>
          </cell>
          <cell r="J56">
            <v>151.22</v>
          </cell>
        </row>
        <row r="57">
          <cell r="E57" t="str">
            <v>F50100E</v>
          </cell>
          <cell r="H57">
            <v>-151.22</v>
          </cell>
          <cell r="J57">
            <v>-151.22</v>
          </cell>
        </row>
        <row r="58">
          <cell r="E58" t="str">
            <v>F50140E</v>
          </cell>
          <cell r="F58" t="str">
            <v>FUEL</v>
          </cell>
          <cell r="G58">
            <v>0</v>
          </cell>
          <cell r="J58">
            <v>0</v>
          </cell>
        </row>
        <row r="59">
          <cell r="E59" t="str">
            <v>F51800E</v>
          </cell>
          <cell r="F59" t="str">
            <v>FUEL</v>
          </cell>
          <cell r="G59">
            <v>14736164.959999997</v>
          </cell>
          <cell r="J59">
            <v>14736164.959999997</v>
          </cell>
        </row>
        <row r="60">
          <cell r="E60" t="str">
            <v>F54700E</v>
          </cell>
          <cell r="F60" t="str">
            <v>FUEL</v>
          </cell>
          <cell r="G60">
            <v>61996.810000000012</v>
          </cell>
          <cell r="J60">
            <v>61996.810000000012</v>
          </cell>
        </row>
        <row r="61">
          <cell r="E61" t="str">
            <v>F55500E</v>
          </cell>
          <cell r="F61" t="str">
            <v>PURCHASED POWER</v>
          </cell>
          <cell r="G61">
            <v>320059458.13999999</v>
          </cell>
          <cell r="J61">
            <v>320059458.13999999</v>
          </cell>
        </row>
        <row r="62">
          <cell r="E62" t="str">
            <v>F55501E</v>
          </cell>
          <cell r="F62" t="str">
            <v>PX POWER</v>
          </cell>
          <cell r="G62">
            <v>44626768.969999991</v>
          </cell>
          <cell r="J62">
            <v>44626768.969999991</v>
          </cell>
        </row>
        <row r="63">
          <cell r="E63" t="str">
            <v xml:space="preserve">  Electric Fuel, Purch Power and PX Power</v>
          </cell>
          <cell r="G63">
            <v>379484540.09999996</v>
          </cell>
          <cell r="H63">
            <v>-151.22</v>
          </cell>
          <cell r="J63">
            <v>379484388.87999994</v>
          </cell>
        </row>
        <row r="65">
          <cell r="E65" t="str">
            <v>F48401C</v>
          </cell>
          <cell r="F65" t="str">
            <v>GAS FUEL</v>
          </cell>
          <cell r="G65">
            <v>0</v>
          </cell>
          <cell r="J65">
            <v>0</v>
          </cell>
        </row>
        <row r="66">
          <cell r="E66" t="str">
            <v>F80300G</v>
          </cell>
          <cell r="F66" t="str">
            <v>NATURAL GAS TRANSMISSION LINE PURCHASES</v>
          </cell>
          <cell r="G66">
            <v>295977545.49000001</v>
          </cell>
          <cell r="J66">
            <v>295977545.49000001</v>
          </cell>
        </row>
        <row r="67">
          <cell r="E67" t="str">
            <v>F80400G</v>
          </cell>
          <cell r="F67" t="str">
            <v>NATURAL GAS TRANSMISSION LINE PURCHASES</v>
          </cell>
          <cell r="G67">
            <v>1028.5999999999999</v>
          </cell>
          <cell r="J67">
            <v>1028.5999999999999</v>
          </cell>
        </row>
        <row r="68">
          <cell r="E68" t="str">
            <v>F80400G</v>
          </cell>
          <cell r="H68">
            <v>-1028.5999999999999</v>
          </cell>
          <cell r="J68">
            <v>-1028.5999999999999</v>
          </cell>
        </row>
        <row r="69">
          <cell r="E69" t="str">
            <v>F80410G</v>
          </cell>
          <cell r="F69" t="str">
            <v>LNG PURCHASES</v>
          </cell>
          <cell r="G69">
            <v>97607.900000000009</v>
          </cell>
          <cell r="J69">
            <v>97607.900000000009</v>
          </cell>
        </row>
        <row r="70">
          <cell r="E70" t="str">
            <v>F80720G</v>
          </cell>
          <cell r="F70" t="str">
            <v>OPERATION OF PURCH GAS MEASURING STATIO</v>
          </cell>
          <cell r="G70">
            <v>0</v>
          </cell>
          <cell r="J70">
            <v>0</v>
          </cell>
        </row>
        <row r="71">
          <cell r="E71" t="str">
            <v>F80740G</v>
          </cell>
          <cell r="F71" t="str">
            <v>PURCHASED GAS CALCULATIONS EXPENSE</v>
          </cell>
          <cell r="G71">
            <v>0</v>
          </cell>
          <cell r="J71">
            <v>0</v>
          </cell>
        </row>
        <row r="72">
          <cell r="E72" t="str">
            <v>F80740G</v>
          </cell>
          <cell r="J72">
            <v>0</v>
          </cell>
        </row>
        <row r="73">
          <cell r="E73" t="str">
            <v>F80750G</v>
          </cell>
          <cell r="F73" t="str">
            <v>OTHER PURCHASED GAS EXPENSES</v>
          </cell>
          <cell r="G73">
            <v>1133390.6099999999</v>
          </cell>
          <cell r="J73">
            <v>1133390.6099999999</v>
          </cell>
        </row>
        <row r="74">
          <cell r="E74" t="str">
            <v>F80750G</v>
          </cell>
          <cell r="J74">
            <v>0</v>
          </cell>
        </row>
        <row r="75">
          <cell r="E75" t="str">
            <v>F80810G</v>
          </cell>
          <cell r="F75" t="str">
            <v>GAS WITHDRAWN FROM STORAGE - DEBIT</v>
          </cell>
          <cell r="G75">
            <v>66221.02</v>
          </cell>
          <cell r="J75">
            <v>66221.02</v>
          </cell>
        </row>
        <row r="76">
          <cell r="E76" t="str">
            <v>F80820G</v>
          </cell>
          <cell r="F76" t="str">
            <v>GAS DELIVERED TO STORAGE - CREDIT</v>
          </cell>
          <cell r="G76">
            <v>-68129</v>
          </cell>
          <cell r="J76">
            <v>-68129</v>
          </cell>
        </row>
        <row r="77">
          <cell r="E77" t="str">
            <v>F81000G</v>
          </cell>
          <cell r="F77" t="str">
            <v>GAS USED FOR COMPRESSOR STATION FUEL -</v>
          </cell>
          <cell r="G77">
            <v>-1050688.29</v>
          </cell>
          <cell r="J77">
            <v>-1050688.29</v>
          </cell>
        </row>
        <row r="78">
          <cell r="E78" t="str">
            <v>F81000G</v>
          </cell>
          <cell r="H78">
            <v>-21.71</v>
          </cell>
          <cell r="J78">
            <v>-21.71</v>
          </cell>
        </row>
        <row r="79">
          <cell r="E79" t="str">
            <v>F81200G</v>
          </cell>
          <cell r="F79" t="str">
            <v>GAS USED FOR OTHER UTILITY OPERATIONS -</v>
          </cell>
          <cell r="G79">
            <v>-173491.55999999997</v>
          </cell>
          <cell r="J79">
            <v>-173491.55999999997</v>
          </cell>
        </row>
        <row r="80">
          <cell r="E80" t="str">
            <v xml:space="preserve">  Gas Fuel</v>
          </cell>
          <cell r="G80">
            <v>295983484.76999998</v>
          </cell>
          <cell r="H80">
            <v>-1050.31</v>
          </cell>
          <cell r="J80">
            <v>295982434.45999998</v>
          </cell>
        </row>
        <row r="82">
          <cell r="E82" t="str">
            <v>Total Fuel Expenses</v>
          </cell>
          <cell r="G82">
            <v>675468024.86999989</v>
          </cell>
          <cell r="H82">
            <v>-1201.53</v>
          </cell>
          <cell r="J82">
            <v>675466823.33999991</v>
          </cell>
        </row>
        <row r="84">
          <cell r="E84" t="str">
            <v>F81400G</v>
          </cell>
          <cell r="F84" t="str">
            <v>OPERATION SUPERVISION &amp; ENGINEERING</v>
          </cell>
          <cell r="G84">
            <v>0</v>
          </cell>
          <cell r="J84">
            <v>0</v>
          </cell>
        </row>
        <row r="85">
          <cell r="E85" t="str">
            <v>F81700G</v>
          </cell>
          <cell r="F85" t="str">
            <v>LINES EXPENSE</v>
          </cell>
          <cell r="G85">
            <v>0</v>
          </cell>
          <cell r="J85">
            <v>0</v>
          </cell>
        </row>
        <row r="86">
          <cell r="E86" t="str">
            <v>F82000G</v>
          </cell>
          <cell r="F86" t="str">
            <v>MEASURING AND REGULATING STATION EXPENS</v>
          </cell>
          <cell r="G86">
            <v>0</v>
          </cell>
          <cell r="H86">
            <v>0</v>
          </cell>
          <cell r="J86">
            <v>0</v>
          </cell>
        </row>
        <row r="87">
          <cell r="E87" t="str">
            <v>F82100C</v>
          </cell>
          <cell r="F87" t="str">
            <v>PURIFICATION EXPENSES</v>
          </cell>
          <cell r="G87">
            <v>0</v>
          </cell>
          <cell r="H87">
            <v>0</v>
          </cell>
          <cell r="J87">
            <v>0</v>
          </cell>
        </row>
        <row r="88">
          <cell r="E88" t="str">
            <v>F82200G</v>
          </cell>
          <cell r="F88" t="str">
            <v>EXPLORATION AND DEVELOPMENT</v>
          </cell>
          <cell r="G88">
            <v>0</v>
          </cell>
          <cell r="J88">
            <v>0</v>
          </cell>
        </row>
        <row r="89">
          <cell r="E89" t="str">
            <v>F82300G</v>
          </cell>
          <cell r="F89" t="str">
            <v>GAS LOSSES</v>
          </cell>
          <cell r="G89">
            <v>0</v>
          </cell>
          <cell r="H89">
            <v>0</v>
          </cell>
          <cell r="J89">
            <v>0</v>
          </cell>
        </row>
        <row r="90">
          <cell r="E90" t="str">
            <v>F82400C</v>
          </cell>
          <cell r="F90" t="str">
            <v>OTHER EXPENSES</v>
          </cell>
          <cell r="G90">
            <v>0</v>
          </cell>
          <cell r="H90">
            <v>0</v>
          </cell>
          <cell r="J90">
            <v>0</v>
          </cell>
        </row>
        <row r="91">
          <cell r="E91" t="str">
            <v>F82500C</v>
          </cell>
          <cell r="F91" t="str">
            <v>STORAGE WELL ROYALTIES</v>
          </cell>
          <cell r="G91">
            <v>0</v>
          </cell>
          <cell r="H91">
            <v>0</v>
          </cell>
          <cell r="J91">
            <v>0</v>
          </cell>
        </row>
        <row r="92">
          <cell r="E92" t="str">
            <v xml:space="preserve">     Other Gas Supply</v>
          </cell>
          <cell r="G92">
            <v>0</v>
          </cell>
          <cell r="H92">
            <v>0</v>
          </cell>
          <cell r="J92">
            <v>0</v>
          </cell>
        </row>
        <row r="94">
          <cell r="E94" t="str">
            <v>F50000E</v>
          </cell>
          <cell r="F94" t="str">
            <v>OPERATION SUPERVISION AND ENGINEERING</v>
          </cell>
          <cell r="G94">
            <v>10661.65</v>
          </cell>
          <cell r="J94">
            <v>10661.65</v>
          </cell>
        </row>
        <row r="95">
          <cell r="E95" t="str">
            <v>F50000E</v>
          </cell>
          <cell r="H95">
            <v>113.18</v>
          </cell>
          <cell r="J95">
            <v>113.18</v>
          </cell>
        </row>
        <row r="96">
          <cell r="E96" t="str">
            <v>F50010E</v>
          </cell>
          <cell r="F96" t="str">
            <v>OPERATION SUPERVISION AND ENGINEERING</v>
          </cell>
          <cell r="G96">
            <v>113.06</v>
          </cell>
          <cell r="J96">
            <v>113.06</v>
          </cell>
        </row>
        <row r="97">
          <cell r="E97" t="str">
            <v>F50010E</v>
          </cell>
          <cell r="H97">
            <v>-113.06</v>
          </cell>
          <cell r="J97">
            <v>-113.06</v>
          </cell>
        </row>
        <row r="98">
          <cell r="E98" t="str">
            <v>F50020E</v>
          </cell>
          <cell r="F98" t="str">
            <v>OPERATION SUPERVISION AND ENGINEERING</v>
          </cell>
          <cell r="G98">
            <v>0</v>
          </cell>
          <cell r="J98">
            <v>0</v>
          </cell>
        </row>
        <row r="99">
          <cell r="E99" t="str">
            <v>F50040E</v>
          </cell>
          <cell r="F99" t="str">
            <v>OPERATION SUPERVISION AND ENGINEERING</v>
          </cell>
          <cell r="G99">
            <v>0.11999999999999744</v>
          </cell>
          <cell r="J99">
            <v>0.11999999999999744</v>
          </cell>
        </row>
        <row r="100">
          <cell r="E100" t="str">
            <v>F50040E</v>
          </cell>
          <cell r="H100">
            <v>-0.12</v>
          </cell>
          <cell r="J100">
            <v>-0.12</v>
          </cell>
        </row>
        <row r="101">
          <cell r="E101" t="str">
            <v>F50060E</v>
          </cell>
          <cell r="F101" t="str">
            <v>OPERATION SUPERVISION AND ENGINEERING</v>
          </cell>
          <cell r="G101">
            <v>0</v>
          </cell>
          <cell r="J101">
            <v>0</v>
          </cell>
        </row>
        <row r="102">
          <cell r="E102" t="str">
            <v>F50070E</v>
          </cell>
          <cell r="F102" t="str">
            <v>OPERATION SUPERVISION AND ENGINEERING</v>
          </cell>
          <cell r="G102">
            <v>0</v>
          </cell>
          <cell r="J102">
            <v>0</v>
          </cell>
        </row>
        <row r="103">
          <cell r="E103" t="str">
            <v>F50200E</v>
          </cell>
          <cell r="F103" t="str">
            <v>STEAM EXPENSES</v>
          </cell>
          <cell r="G103">
            <v>-1925.53</v>
          </cell>
          <cell r="J103">
            <v>-1925.53</v>
          </cell>
        </row>
        <row r="104">
          <cell r="E104" t="str">
            <v>F50200E</v>
          </cell>
          <cell r="H104">
            <v>1925.53</v>
          </cell>
          <cell r="J104">
            <v>1925.53</v>
          </cell>
        </row>
        <row r="105">
          <cell r="E105" t="str">
            <v>F50210E</v>
          </cell>
          <cell r="F105" t="str">
            <v>STEAM EXPENSES</v>
          </cell>
          <cell r="G105">
            <v>0</v>
          </cell>
          <cell r="J105">
            <v>0</v>
          </cell>
        </row>
        <row r="106">
          <cell r="E106" t="str">
            <v>F50210E</v>
          </cell>
          <cell r="H106">
            <v>0</v>
          </cell>
          <cell r="J106">
            <v>0</v>
          </cell>
        </row>
        <row r="107">
          <cell r="E107" t="str">
            <v>F50500E</v>
          </cell>
          <cell r="F107" t="str">
            <v>ELECTRIC EXPENSES</v>
          </cell>
          <cell r="G107">
            <v>1606.75</v>
          </cell>
          <cell r="J107">
            <v>1606.75</v>
          </cell>
        </row>
        <row r="108">
          <cell r="E108" t="str">
            <v>F50500E</v>
          </cell>
          <cell r="H108">
            <v>-1606.75</v>
          </cell>
          <cell r="J108">
            <v>-1606.75</v>
          </cell>
        </row>
        <row r="109">
          <cell r="E109" t="str">
            <v>F50510E</v>
          </cell>
          <cell r="F109" t="str">
            <v>ELECTRIC EXPENSES</v>
          </cell>
          <cell r="G109">
            <v>0</v>
          </cell>
          <cell r="J109">
            <v>0</v>
          </cell>
        </row>
        <row r="110">
          <cell r="E110" t="str">
            <v>F50510E</v>
          </cell>
          <cell r="H110">
            <v>0</v>
          </cell>
          <cell r="J110">
            <v>0</v>
          </cell>
        </row>
        <row r="111">
          <cell r="E111" t="str">
            <v>F50530E</v>
          </cell>
          <cell r="F111" t="str">
            <v>ELECTRIC EXPENSES</v>
          </cell>
          <cell r="G111">
            <v>0</v>
          </cell>
          <cell r="J111">
            <v>0</v>
          </cell>
        </row>
        <row r="112">
          <cell r="E112" t="str">
            <v>F50540E</v>
          </cell>
          <cell r="F112" t="str">
            <v>ELECTRIC EXPENSES</v>
          </cell>
          <cell r="G112">
            <v>0</v>
          </cell>
          <cell r="J112">
            <v>0</v>
          </cell>
        </row>
        <row r="113">
          <cell r="E113" t="str">
            <v>F50560E</v>
          </cell>
          <cell r="F113" t="str">
            <v>ELECTRIC EXPENSES</v>
          </cell>
          <cell r="G113">
            <v>0</v>
          </cell>
          <cell r="J113">
            <v>0</v>
          </cell>
        </row>
        <row r="114">
          <cell r="E114" t="str">
            <v>F50570E</v>
          </cell>
          <cell r="F114" t="str">
            <v>ELECTRIC EXPENSES</v>
          </cell>
          <cell r="G114">
            <v>0</v>
          </cell>
          <cell r="J114">
            <v>0</v>
          </cell>
        </row>
        <row r="115">
          <cell r="E115" t="str">
            <v>F50600E</v>
          </cell>
          <cell r="F115" t="str">
            <v>MISCELLANEOUS STEAM POWER EXPENSES</v>
          </cell>
          <cell r="G115">
            <v>797944.86</v>
          </cell>
          <cell r="H115">
            <v>-256.08</v>
          </cell>
          <cell r="J115">
            <v>797688.78</v>
          </cell>
        </row>
        <row r="116">
          <cell r="E116" t="str">
            <v>F50600E</v>
          </cell>
          <cell r="J116">
            <v>0</v>
          </cell>
        </row>
        <row r="117">
          <cell r="E117" t="str">
            <v>F50600E</v>
          </cell>
          <cell r="H117">
            <v>60.13</v>
          </cell>
          <cell r="J117">
            <v>60.13</v>
          </cell>
        </row>
        <row r="118">
          <cell r="E118" t="str">
            <v>F50600E</v>
          </cell>
          <cell r="H118">
            <v>-318.77999999999997</v>
          </cell>
          <cell r="J118">
            <v>-318.77999999999997</v>
          </cell>
        </row>
        <row r="119">
          <cell r="E119" t="str">
            <v>F50700E</v>
          </cell>
          <cell r="F119" t="str">
            <v>RENTS</v>
          </cell>
          <cell r="G119">
            <v>162472.13000000003</v>
          </cell>
          <cell r="J119">
            <v>162472.13000000003</v>
          </cell>
        </row>
        <row r="120">
          <cell r="E120" t="str">
            <v>F50900E</v>
          </cell>
          <cell r="F120" t="str">
            <v>RENTS</v>
          </cell>
          <cell r="G120">
            <v>0</v>
          </cell>
          <cell r="J120">
            <v>0</v>
          </cell>
        </row>
        <row r="121">
          <cell r="E121" t="str">
            <v xml:space="preserve">     Steam Generation Operations</v>
          </cell>
          <cell r="G121">
            <v>970873.04</v>
          </cell>
          <cell r="H121">
            <v>-195.95</v>
          </cell>
          <cell r="J121">
            <v>970677.09</v>
          </cell>
        </row>
        <row r="123">
          <cell r="E123" t="str">
            <v>F51700E</v>
          </cell>
          <cell r="F123" t="str">
            <v>OPERATION SUPERVISION AND ENGINEERING</v>
          </cell>
          <cell r="G123">
            <v>19038478.289999999</v>
          </cell>
          <cell r="J123">
            <v>19038478.289999999</v>
          </cell>
        </row>
        <row r="124">
          <cell r="E124" t="str">
            <v>F51900E</v>
          </cell>
          <cell r="F124" t="str">
            <v>COOLANTS AND WATER</v>
          </cell>
          <cell r="G124">
            <v>177667.75999999998</v>
          </cell>
          <cell r="J124">
            <v>177667.75999999998</v>
          </cell>
        </row>
        <row r="125">
          <cell r="E125" t="str">
            <v>F52000E</v>
          </cell>
          <cell r="F125" t="str">
            <v>STEAM EXPENSES</v>
          </cell>
          <cell r="G125">
            <v>7800569</v>
          </cell>
          <cell r="J125">
            <v>7800569</v>
          </cell>
        </row>
        <row r="126">
          <cell r="E126" t="str">
            <v>F52300E</v>
          </cell>
          <cell r="F126" t="str">
            <v>ELECTRIC EXPENSES</v>
          </cell>
          <cell r="G126">
            <v>1928937.47</v>
          </cell>
          <cell r="J126">
            <v>1928937.47</v>
          </cell>
        </row>
        <row r="127">
          <cell r="E127" t="str">
            <v>F52400E</v>
          </cell>
          <cell r="F127" t="str">
            <v>MISCELLANEOUS NUCLEAR POWER EXPENSES</v>
          </cell>
          <cell r="G127">
            <v>23932409.91</v>
          </cell>
          <cell r="J127">
            <v>23932409.91</v>
          </cell>
        </row>
        <row r="128">
          <cell r="E128" t="str">
            <v>F52500E</v>
          </cell>
          <cell r="F128" t="str">
            <v>RENTS</v>
          </cell>
          <cell r="G128">
            <v>267124.46999999997</v>
          </cell>
          <cell r="J128">
            <v>267124.46999999997</v>
          </cell>
        </row>
        <row r="129">
          <cell r="E129" t="str">
            <v xml:space="preserve">     Nuclear Operations</v>
          </cell>
          <cell r="G129">
            <v>53145186.899999999</v>
          </cell>
          <cell r="H129">
            <v>0</v>
          </cell>
          <cell r="J129">
            <v>53145186.899999999</v>
          </cell>
        </row>
        <row r="131">
          <cell r="E131" t="str">
            <v>F54600E</v>
          </cell>
          <cell r="F131" t="str">
            <v>OPERATION SUPERVISION AND ENGINEERING</v>
          </cell>
          <cell r="G131">
            <v>0</v>
          </cell>
          <cell r="J131">
            <v>0</v>
          </cell>
        </row>
        <row r="132">
          <cell r="E132" t="str">
            <v>F54610E</v>
          </cell>
          <cell r="F132" t="str">
            <v>OPERATION SUPERVISION AND ENGINEERING</v>
          </cell>
          <cell r="G132">
            <v>0</v>
          </cell>
          <cell r="J132">
            <v>0</v>
          </cell>
        </row>
        <row r="133">
          <cell r="E133" t="str">
            <v>F54800E</v>
          </cell>
          <cell r="F133" t="str">
            <v>GENERATION EXPENSES</v>
          </cell>
          <cell r="G133">
            <v>0</v>
          </cell>
          <cell r="J133">
            <v>0</v>
          </cell>
        </row>
        <row r="134">
          <cell r="E134" t="str">
            <v>F54900E</v>
          </cell>
          <cell r="F134" t="str">
            <v>MISCELLANEOUS OTHER POWER GENERATION EX</v>
          </cell>
          <cell r="G134">
            <v>48118.14</v>
          </cell>
          <cell r="H134">
            <v>0</v>
          </cell>
          <cell r="J134">
            <v>48118.14</v>
          </cell>
        </row>
        <row r="135">
          <cell r="E135" t="str">
            <v>F54900E</v>
          </cell>
          <cell r="J135">
            <v>0</v>
          </cell>
        </row>
        <row r="136">
          <cell r="E136" t="str">
            <v>F55000E</v>
          </cell>
          <cell r="F136" t="str">
            <v>RENTS</v>
          </cell>
          <cell r="G136">
            <v>17.38</v>
          </cell>
          <cell r="J136">
            <v>17.38</v>
          </cell>
        </row>
        <row r="137">
          <cell r="E137" t="str">
            <v>F55000E</v>
          </cell>
          <cell r="H137">
            <v>-17.38</v>
          </cell>
          <cell r="J137">
            <v>-17.38</v>
          </cell>
        </row>
        <row r="138">
          <cell r="E138" t="str">
            <v xml:space="preserve">     Other Generation Operations</v>
          </cell>
          <cell r="G138">
            <v>48135.519999999997</v>
          </cell>
          <cell r="H138">
            <v>-17.38</v>
          </cell>
          <cell r="J138">
            <v>48118.14</v>
          </cell>
        </row>
        <row r="140">
          <cell r="E140" t="str">
            <v>F55600E</v>
          </cell>
          <cell r="F140" t="str">
            <v>SYSTEM CONTROL AND LOAD DISPATCHING</v>
          </cell>
          <cell r="G140">
            <v>2681185.9200000004</v>
          </cell>
          <cell r="J140">
            <v>2681185.9200000004</v>
          </cell>
        </row>
        <row r="141">
          <cell r="E141" t="str">
            <v>F55700E</v>
          </cell>
          <cell r="F141" t="str">
            <v>OTHER EXPENSES</v>
          </cell>
          <cell r="G141">
            <v>4064426.4200000009</v>
          </cell>
          <cell r="J141">
            <v>4064426.4200000009</v>
          </cell>
        </row>
        <row r="142">
          <cell r="E142" t="str">
            <v>F55720E</v>
          </cell>
          <cell r="F142" t="str">
            <v>OTHER EXPENSES</v>
          </cell>
          <cell r="G142">
            <v>0</v>
          </cell>
          <cell r="J142">
            <v>0</v>
          </cell>
        </row>
        <row r="143">
          <cell r="E143" t="str">
            <v>F55780E</v>
          </cell>
          <cell r="F143" t="str">
            <v>OTHER EXPENSES</v>
          </cell>
          <cell r="G143">
            <v>0</v>
          </cell>
          <cell r="J143">
            <v>0</v>
          </cell>
        </row>
        <row r="144">
          <cell r="E144" t="str">
            <v>F55790E</v>
          </cell>
          <cell r="F144" t="str">
            <v>OTHER EXPENSES-PX ADMIN</v>
          </cell>
          <cell r="G144">
            <v>0</v>
          </cell>
          <cell r="J144">
            <v>0</v>
          </cell>
        </row>
        <row r="145">
          <cell r="E145" t="str">
            <v xml:space="preserve">     Other Power Supply Expenses</v>
          </cell>
          <cell r="G145">
            <v>6745612.3400000017</v>
          </cell>
          <cell r="H145">
            <v>0</v>
          </cell>
          <cell r="J145">
            <v>6745612.3400000017</v>
          </cell>
        </row>
        <row r="147">
          <cell r="E147" t="str">
            <v xml:space="preserve">     Electric Power Production Operation Exp</v>
          </cell>
          <cell r="G147">
            <v>60909807.800000004</v>
          </cell>
          <cell r="H147">
            <v>-213.32999999999998</v>
          </cell>
          <cell r="J147">
            <v>60909594.470000006</v>
          </cell>
        </row>
        <row r="149">
          <cell r="G149">
            <v>60909807.800000004</v>
          </cell>
          <cell r="H149">
            <v>-213.32999999999998</v>
          </cell>
          <cell r="J149">
            <v>60909594.470000006</v>
          </cell>
        </row>
        <row r="151">
          <cell r="E151" t="str">
            <v>F56000E</v>
          </cell>
          <cell r="F151" t="str">
            <v>OPERATION SUPERVISION AND ENGINEERING</v>
          </cell>
          <cell r="G151">
            <v>200534.95999999996</v>
          </cell>
          <cell r="J151">
            <v>200534.95999999996</v>
          </cell>
        </row>
        <row r="152">
          <cell r="E152" t="str">
            <v>F56010E</v>
          </cell>
          <cell r="F152" t="str">
            <v>OPERATION SUPERVISION AND ENGINEERING</v>
          </cell>
          <cell r="G152">
            <v>2411468.2400000002</v>
          </cell>
          <cell r="J152">
            <v>2411468.2400000002</v>
          </cell>
        </row>
        <row r="153">
          <cell r="E153" t="str">
            <v>F56020E</v>
          </cell>
          <cell r="F153" t="str">
            <v>OPERATION SUPERVISION AND ENGINEERING</v>
          </cell>
          <cell r="G153">
            <v>947663.95000000007</v>
          </cell>
          <cell r="J153">
            <v>947663.95000000007</v>
          </cell>
        </row>
        <row r="154">
          <cell r="E154" t="str">
            <v>F56100E</v>
          </cell>
          <cell r="F154" t="str">
            <v>LOAD DISPATCHING</v>
          </cell>
          <cell r="G154">
            <v>3333294.4899999998</v>
          </cell>
          <cell r="J154">
            <v>3333294.4899999998</v>
          </cell>
        </row>
        <row r="155">
          <cell r="E155" t="str">
            <v>F56100E</v>
          </cell>
          <cell r="H155">
            <v>91.09</v>
          </cell>
          <cell r="J155">
            <v>91.09</v>
          </cell>
        </row>
        <row r="156">
          <cell r="E156" t="str">
            <v>F56200E</v>
          </cell>
          <cell r="F156" t="str">
            <v>STATION EXPENSES</v>
          </cell>
          <cell r="G156">
            <v>44765.8</v>
          </cell>
          <cell r="J156">
            <v>44765.8</v>
          </cell>
        </row>
        <row r="157">
          <cell r="E157" t="str">
            <v>F56210E</v>
          </cell>
          <cell r="F157" t="str">
            <v>STATION EXPENSES</v>
          </cell>
          <cell r="G157">
            <v>213118.18</v>
          </cell>
          <cell r="H157">
            <v>-666.01</v>
          </cell>
          <cell r="J157">
            <v>212452.16999999998</v>
          </cell>
        </row>
        <row r="158">
          <cell r="E158" t="str">
            <v>F56210E</v>
          </cell>
          <cell r="J158">
            <v>0</v>
          </cell>
        </row>
        <row r="159">
          <cell r="E159" t="str">
            <v>F56220E</v>
          </cell>
          <cell r="F159" t="str">
            <v>STATION EXPENSES</v>
          </cell>
          <cell r="G159">
            <v>170.81</v>
          </cell>
          <cell r="J159">
            <v>170.81</v>
          </cell>
        </row>
        <row r="160">
          <cell r="E160" t="str">
            <v>F56300E</v>
          </cell>
          <cell r="F160" t="str">
            <v>OVERHEAD LINE EXPENSES</v>
          </cell>
          <cell r="G160">
            <v>14339.1</v>
          </cell>
          <cell r="J160">
            <v>14339.1</v>
          </cell>
        </row>
        <row r="161">
          <cell r="E161" t="str">
            <v>F56310E</v>
          </cell>
          <cell r="F161" t="str">
            <v>OVERHEAD LINE EXPENSES</v>
          </cell>
          <cell r="G161">
            <v>480109.59</v>
          </cell>
          <cell r="J161">
            <v>480109.59</v>
          </cell>
        </row>
        <row r="162">
          <cell r="E162" t="str">
            <v>F56320E</v>
          </cell>
          <cell r="F162" t="str">
            <v>OVERHEAD LINE EXPENSES</v>
          </cell>
          <cell r="G162">
            <v>13544.64</v>
          </cell>
          <cell r="J162">
            <v>13544.64</v>
          </cell>
        </row>
        <row r="163">
          <cell r="E163" t="str">
            <v>F56400E</v>
          </cell>
          <cell r="F163" t="str">
            <v>UNDERGROUND LINE EXPENSES</v>
          </cell>
          <cell r="G163">
            <v>0</v>
          </cell>
          <cell r="J163">
            <v>0</v>
          </cell>
        </row>
        <row r="164">
          <cell r="E164" t="str">
            <v>F56500E</v>
          </cell>
          <cell r="F164" t="str">
            <v>TRANSMISSION OF ELECTRICITY BY OTHERS</v>
          </cell>
          <cell r="G164">
            <v>7899647.4099999992</v>
          </cell>
          <cell r="J164">
            <v>7899647.4099999992</v>
          </cell>
        </row>
        <row r="165">
          <cell r="E165" t="str">
            <v>F56600E</v>
          </cell>
          <cell r="F165" t="str">
            <v>MISCELLANEOUS TRANSMISSION EXPENSES</v>
          </cell>
          <cell r="G165">
            <v>4810802.91</v>
          </cell>
          <cell r="H165">
            <v>-70.23</v>
          </cell>
          <cell r="J165">
            <v>4810732.68</v>
          </cell>
        </row>
        <row r="166">
          <cell r="E166" t="str">
            <v>F56600E</v>
          </cell>
          <cell r="F166" t="str">
            <v>MISCELLANEOUS TRANSMISSION EXPENSES</v>
          </cell>
          <cell r="J166">
            <v>0</v>
          </cell>
        </row>
        <row r="167">
          <cell r="E167" t="str">
            <v>F56620E</v>
          </cell>
          <cell r="F167" t="str">
            <v>MISCELLANEOUS TRANSMISSION EXPENSES</v>
          </cell>
          <cell r="G167">
            <v>0</v>
          </cell>
          <cell r="J167">
            <v>0</v>
          </cell>
        </row>
        <row r="168">
          <cell r="E168" t="str">
            <v>F56621E</v>
          </cell>
          <cell r="F168" t="str">
            <v>MISC TRANSMISSION EXPENSES-ISO GRID MANAGEMENT</v>
          </cell>
          <cell r="G168">
            <v>14887415</v>
          </cell>
          <cell r="J168">
            <v>14887415</v>
          </cell>
        </row>
        <row r="169">
          <cell r="E169" t="str">
            <v>F56622E</v>
          </cell>
          <cell r="F169" t="str">
            <v>MISC TRANSMISSION EXPENSES-ISO MUST RUN</v>
          </cell>
          <cell r="G169">
            <v>128218981.77</v>
          </cell>
          <cell r="J169">
            <v>128218981.77</v>
          </cell>
        </row>
        <row r="170">
          <cell r="E170" t="str">
            <v>F56623E</v>
          </cell>
          <cell r="F170" t="str">
            <v>MISC TRANSMISSION EXPENSES-ISO TRANSMISSION EXP</v>
          </cell>
          <cell r="G170">
            <v>13008722.849999998</v>
          </cell>
          <cell r="J170">
            <v>13008722.849999998</v>
          </cell>
        </row>
        <row r="171">
          <cell r="E171" t="str">
            <v>F56624E</v>
          </cell>
          <cell r="F171" t="str">
            <v>MISC TRANSM EXP-ISO 3RD PARTY SCHEDULE COORDINATOR</v>
          </cell>
          <cell r="G171">
            <v>133.84</v>
          </cell>
          <cell r="J171">
            <v>133.84</v>
          </cell>
        </row>
        <row r="172">
          <cell r="E172" t="str">
            <v>F56700E</v>
          </cell>
          <cell r="F172" t="str">
            <v>RENTS</v>
          </cell>
          <cell r="G172">
            <v>1162631.7099999997</v>
          </cell>
          <cell r="J172">
            <v>1162631.7099999997</v>
          </cell>
        </row>
        <row r="173">
          <cell r="E173" t="str">
            <v xml:space="preserve">     Electric Transmission Operations</v>
          </cell>
          <cell r="G173">
            <v>177647345.25</v>
          </cell>
          <cell r="H173">
            <v>-645.15</v>
          </cell>
          <cell r="J173">
            <v>177646700.09999999</v>
          </cell>
        </row>
        <row r="175">
          <cell r="E175" t="str">
            <v>F58000E</v>
          </cell>
          <cell r="F175" t="str">
            <v>OPERATION SUPERVISION AND ENGINEERING</v>
          </cell>
          <cell r="G175">
            <v>6124242.3199999994</v>
          </cell>
          <cell r="J175">
            <v>6124242.3199999994</v>
          </cell>
        </row>
        <row r="176">
          <cell r="E176" t="str">
            <v>F58010E</v>
          </cell>
          <cell r="F176" t="str">
            <v>OPERATION SUPERVISION AND ENGINEERING</v>
          </cell>
          <cell r="G176">
            <v>2948949.81</v>
          </cell>
          <cell r="J176">
            <v>2948949.81</v>
          </cell>
        </row>
        <row r="177">
          <cell r="E177" t="str">
            <v>F58020E</v>
          </cell>
          <cell r="F177" t="str">
            <v>OPERATION SUPERVISION AND ENGINEERING</v>
          </cell>
          <cell r="G177">
            <v>2837005.44</v>
          </cell>
          <cell r="J177">
            <v>2837005.44</v>
          </cell>
        </row>
        <row r="178">
          <cell r="E178" t="str">
            <v>F58040E</v>
          </cell>
          <cell r="F178" t="str">
            <v>OPERATION SUPERVISION AND ENGINEERING</v>
          </cell>
          <cell r="G178">
            <v>16458.27</v>
          </cell>
          <cell r="J178">
            <v>16458.27</v>
          </cell>
        </row>
        <row r="179">
          <cell r="E179" t="str">
            <v>F58100E</v>
          </cell>
          <cell r="F179" t="str">
            <v>LOAD DISPATCHING</v>
          </cell>
          <cell r="G179">
            <v>1919327.3800000001</v>
          </cell>
          <cell r="J179">
            <v>1919327.3800000001</v>
          </cell>
        </row>
        <row r="180">
          <cell r="E180" t="str">
            <v>F58200E</v>
          </cell>
          <cell r="F180" t="str">
            <v>STATION EXPENSES</v>
          </cell>
          <cell r="G180">
            <v>147077.24000000002</v>
          </cell>
          <cell r="J180">
            <v>147077.24000000002</v>
          </cell>
        </row>
        <row r="181">
          <cell r="E181" t="str">
            <v>F58210E</v>
          </cell>
          <cell r="F181" t="str">
            <v>STATION EXPENSES</v>
          </cell>
          <cell r="G181">
            <v>1301750.3199999998</v>
          </cell>
          <cell r="H181">
            <v>-4766.8100000000004</v>
          </cell>
          <cell r="J181">
            <v>1296983.5099999998</v>
          </cell>
        </row>
        <row r="182">
          <cell r="E182" t="str">
            <v>F58210E</v>
          </cell>
          <cell r="J182">
            <v>0</v>
          </cell>
        </row>
        <row r="183">
          <cell r="E183" t="str">
            <v>F58220E</v>
          </cell>
          <cell r="F183" t="str">
            <v>STATION EXPENSES</v>
          </cell>
          <cell r="G183">
            <v>3812.49</v>
          </cell>
          <cell r="J183">
            <v>3812.49</v>
          </cell>
        </row>
        <row r="184">
          <cell r="E184" t="str">
            <v>F58230E</v>
          </cell>
          <cell r="F184" t="str">
            <v>STATION EXPENSES</v>
          </cell>
          <cell r="G184">
            <v>504.13</v>
          </cell>
          <cell r="J184">
            <v>504.13</v>
          </cell>
        </row>
        <row r="185">
          <cell r="E185" t="str">
            <v>F58240E</v>
          </cell>
          <cell r="F185" t="str">
            <v>STATION EXPENSES</v>
          </cell>
          <cell r="G185">
            <v>1200.82</v>
          </cell>
          <cell r="J185">
            <v>1200.82</v>
          </cell>
        </row>
        <row r="186">
          <cell r="E186" t="str">
            <v>F58250E</v>
          </cell>
          <cell r="F186" t="str">
            <v>STATION EXPENSES</v>
          </cell>
          <cell r="G186">
            <v>13294.52</v>
          </cell>
          <cell r="J186">
            <v>13294.52</v>
          </cell>
        </row>
        <row r="187">
          <cell r="E187" t="str">
            <v>F58270E</v>
          </cell>
          <cell r="F187" t="str">
            <v>STATION EXPENSES</v>
          </cell>
          <cell r="G187">
            <v>2116737.96</v>
          </cell>
          <cell r="J187">
            <v>2116737.96</v>
          </cell>
        </row>
        <row r="188">
          <cell r="E188" t="str">
            <v>F58300E</v>
          </cell>
          <cell r="F188" t="str">
            <v>OVERHEAD LINE EXPENSES</v>
          </cell>
          <cell r="G188">
            <v>1546929.9900000002</v>
          </cell>
          <cell r="J188">
            <v>1546929.9900000002</v>
          </cell>
        </row>
        <row r="189">
          <cell r="E189" t="str">
            <v>F58301E</v>
          </cell>
          <cell r="F189" t="str">
            <v>OVERHEAD LINE EXPENSES</v>
          </cell>
          <cell r="G189">
            <v>0.41</v>
          </cell>
          <cell r="J189">
            <v>0.41</v>
          </cell>
        </row>
        <row r="190">
          <cell r="E190" t="str">
            <v>F58310E</v>
          </cell>
          <cell r="F190" t="str">
            <v>OVERHEAD LINE EXPENSES</v>
          </cell>
          <cell r="G190">
            <v>617058.59</v>
          </cell>
          <cell r="J190">
            <v>617058.59</v>
          </cell>
        </row>
        <row r="191">
          <cell r="E191" t="str">
            <v>F58330E</v>
          </cell>
          <cell r="F191" t="str">
            <v>OVERHEAD LINE EXPENSES</v>
          </cell>
          <cell r="G191">
            <v>-807004.01</v>
          </cell>
          <cell r="J191">
            <v>-807004.01</v>
          </cell>
        </row>
        <row r="192">
          <cell r="E192" t="str">
            <v>F58340E</v>
          </cell>
          <cell r="F192" t="str">
            <v>OVERHEAD LINE EXPENSES</v>
          </cell>
          <cell r="G192">
            <v>0</v>
          </cell>
          <cell r="J192">
            <v>0</v>
          </cell>
        </row>
        <row r="193">
          <cell r="E193" t="str">
            <v>F58350E</v>
          </cell>
          <cell r="F193" t="str">
            <v>OVERHEAD LINE EXPENSES</v>
          </cell>
          <cell r="G193">
            <v>558.64</v>
          </cell>
          <cell r="J193">
            <v>558.64</v>
          </cell>
        </row>
        <row r="194">
          <cell r="E194" t="str">
            <v>F58360E</v>
          </cell>
          <cell r="F194" t="str">
            <v>OVERHEAD LINE EXPENSES</v>
          </cell>
          <cell r="G194">
            <v>14263.82</v>
          </cell>
          <cell r="J194">
            <v>14263.82</v>
          </cell>
        </row>
        <row r="195">
          <cell r="E195" t="str">
            <v>F58400E</v>
          </cell>
          <cell r="F195" t="str">
            <v>UNDERGROUND LINE EXPENSES</v>
          </cell>
          <cell r="G195">
            <v>2684316.7500000005</v>
          </cell>
          <cell r="J195">
            <v>2684316.7500000005</v>
          </cell>
        </row>
        <row r="196">
          <cell r="E196" t="str">
            <v>F58401E</v>
          </cell>
          <cell r="F196" t="str">
            <v>UNDERGROUND LINE EXPENSES</v>
          </cell>
          <cell r="G196">
            <v>0.70000000000000018</v>
          </cell>
          <cell r="J196">
            <v>0.70000000000000018</v>
          </cell>
        </row>
        <row r="197">
          <cell r="E197" t="str">
            <v>F58410E</v>
          </cell>
          <cell r="F197" t="str">
            <v>UNDERGROUND LINE EXPENSES</v>
          </cell>
          <cell r="G197">
            <v>356504.79000000004</v>
          </cell>
          <cell r="J197">
            <v>356504.79000000004</v>
          </cell>
        </row>
        <row r="198">
          <cell r="E198" t="str">
            <v>F58420E</v>
          </cell>
          <cell r="F198" t="str">
            <v>UNDERGROUND LINE EXPENSES</v>
          </cell>
          <cell r="G198">
            <v>-1842617.1199999999</v>
          </cell>
          <cell r="J198">
            <v>-1842617.1199999999</v>
          </cell>
        </row>
        <row r="199">
          <cell r="E199" t="str">
            <v>F58430E</v>
          </cell>
          <cell r="F199" t="str">
            <v>UNDERGROUND LINE EXPENSES</v>
          </cell>
          <cell r="G199">
            <v>0</v>
          </cell>
          <cell r="J199">
            <v>0</v>
          </cell>
        </row>
        <row r="200">
          <cell r="E200" t="str">
            <v>F58440E</v>
          </cell>
          <cell r="F200" t="str">
            <v>UNDERGROUND LINE EXPENSES</v>
          </cell>
          <cell r="G200">
            <v>167478.89000000001</v>
          </cell>
          <cell r="J200">
            <v>167478.89000000001</v>
          </cell>
        </row>
        <row r="201">
          <cell r="E201" t="str">
            <v>F58450E</v>
          </cell>
          <cell r="F201" t="str">
            <v>UNDERGROUND LINE EXPENSES</v>
          </cell>
          <cell r="G201">
            <v>18764.289999999997</v>
          </cell>
          <cell r="J201">
            <v>18764.289999999997</v>
          </cell>
        </row>
        <row r="202">
          <cell r="E202" t="str">
            <v>F58460E</v>
          </cell>
          <cell r="F202" t="str">
            <v>UNDERGROUND LINE EXPENSES</v>
          </cell>
          <cell r="G202">
            <v>1474399.48</v>
          </cell>
          <cell r="J202">
            <v>1474399.48</v>
          </cell>
        </row>
        <row r="203">
          <cell r="E203" t="str">
            <v>F58500E</v>
          </cell>
          <cell r="F203" t="str">
            <v>STREET LIGHTING AND SIGNAL SYSTEM EXPEN</v>
          </cell>
          <cell r="G203">
            <v>14087.300000000001</v>
          </cell>
          <cell r="J203">
            <v>14087.300000000001</v>
          </cell>
        </row>
        <row r="204">
          <cell r="E204" t="str">
            <v>F58510E</v>
          </cell>
          <cell r="F204" t="str">
            <v>STREET LIGHTING AND SIGNAL SYSTEM EXPEN</v>
          </cell>
          <cell r="G204">
            <v>551363.18999999994</v>
          </cell>
          <cell r="H204">
            <v>-27.71</v>
          </cell>
          <cell r="J204">
            <v>551335.48</v>
          </cell>
        </row>
        <row r="205">
          <cell r="E205" t="str">
            <v>F58510E</v>
          </cell>
          <cell r="J205">
            <v>0</v>
          </cell>
        </row>
        <row r="206">
          <cell r="E206" t="str">
            <v>F58540E</v>
          </cell>
          <cell r="F206" t="str">
            <v>STREET LIGHTING AND SIGNAL SYSTEM EXPEN</v>
          </cell>
          <cell r="G206">
            <v>164837.78</v>
          </cell>
          <cell r="J206">
            <v>164837.78</v>
          </cell>
        </row>
        <row r="207">
          <cell r="E207" t="str">
            <v>F58560E</v>
          </cell>
          <cell r="F207" t="str">
            <v>STREET LIGHTING AND SIGNAL SYSTEM EXPEN</v>
          </cell>
          <cell r="G207">
            <v>24731.959999999995</v>
          </cell>
          <cell r="J207">
            <v>24731.959999999995</v>
          </cell>
        </row>
        <row r="208">
          <cell r="E208" t="str">
            <v>F58600E</v>
          </cell>
          <cell r="F208" t="str">
            <v>METER EXPENSES</v>
          </cell>
          <cell r="G208">
            <v>1886149.67</v>
          </cell>
          <cell r="J208">
            <v>1886149.67</v>
          </cell>
        </row>
        <row r="209">
          <cell r="E209" t="str">
            <v>F58610E</v>
          </cell>
          <cell r="F209" t="str">
            <v>METER EXPENSES</v>
          </cell>
          <cell r="G209">
            <v>802942.61999999988</v>
          </cell>
          <cell r="J209">
            <v>802942.61999999988</v>
          </cell>
        </row>
        <row r="210">
          <cell r="E210" t="str">
            <v>F58610E</v>
          </cell>
          <cell r="H210">
            <v>42.22</v>
          </cell>
          <cell r="J210">
            <v>42.22</v>
          </cell>
        </row>
        <row r="211">
          <cell r="E211" t="str">
            <v>F58620E</v>
          </cell>
          <cell r="F211" t="str">
            <v>METER EXPENSES</v>
          </cell>
          <cell r="G211">
            <v>1343400.1700000002</v>
          </cell>
          <cell r="J211">
            <v>1343400.1700000002</v>
          </cell>
        </row>
        <row r="212">
          <cell r="E212" t="str">
            <v>F58622E</v>
          </cell>
          <cell r="F212" t="str">
            <v>METER EXPENSES</v>
          </cell>
          <cell r="G212">
            <v>561081.87</v>
          </cell>
          <cell r="J212">
            <v>561081.87</v>
          </cell>
        </row>
        <row r="213">
          <cell r="E213" t="str">
            <v>F58630E</v>
          </cell>
          <cell r="F213" t="str">
            <v>METER EXPENSES</v>
          </cell>
          <cell r="G213">
            <v>0</v>
          </cell>
          <cell r="J213">
            <v>0</v>
          </cell>
        </row>
        <row r="214">
          <cell r="E214" t="str">
            <v>F58640E</v>
          </cell>
          <cell r="F214" t="str">
            <v>METER EXPENSES</v>
          </cell>
          <cell r="G214">
            <v>2421489.7399999998</v>
          </cell>
          <cell r="J214">
            <v>2421489.7399999998</v>
          </cell>
        </row>
        <row r="215">
          <cell r="E215" t="str">
            <v>F58650E</v>
          </cell>
          <cell r="F215" t="str">
            <v>METER EXPENSES</v>
          </cell>
          <cell r="G215">
            <v>440.88999999999993</v>
          </cell>
          <cell r="J215">
            <v>440.88999999999993</v>
          </cell>
        </row>
        <row r="216">
          <cell r="E216" t="str">
            <v>F58700E</v>
          </cell>
          <cell r="F216" t="str">
            <v>CUSTOMER INSTALLATIONS EXPENSES</v>
          </cell>
          <cell r="G216">
            <v>843627.51000000013</v>
          </cell>
          <cell r="J216">
            <v>843627.51000000013</v>
          </cell>
        </row>
        <row r="217">
          <cell r="E217" t="str">
            <v>F58710E</v>
          </cell>
          <cell r="F217" t="str">
            <v>CUSTOMER INSTALLATIONS EXPENSES</v>
          </cell>
          <cell r="G217">
            <v>20676.940000000006</v>
          </cell>
          <cell r="J217">
            <v>20676.940000000006</v>
          </cell>
        </row>
        <row r="218">
          <cell r="E218" t="str">
            <v>F58720E</v>
          </cell>
          <cell r="F218" t="str">
            <v>CUSTOMER INSTALLATIONS EXPENSES</v>
          </cell>
          <cell r="G218">
            <v>2310821.4899999998</v>
          </cell>
          <cell r="J218">
            <v>2310821.4899999998</v>
          </cell>
        </row>
        <row r="219">
          <cell r="E219" t="str">
            <v>F58740E</v>
          </cell>
          <cell r="F219" t="str">
            <v>CUSTOMER INSTALLATIONS EXPENSES</v>
          </cell>
          <cell r="G219">
            <v>116999.54000000001</v>
          </cell>
          <cell r="J219">
            <v>116999.54000000001</v>
          </cell>
        </row>
        <row r="220">
          <cell r="E220" t="str">
            <v>F58800E</v>
          </cell>
          <cell r="F220" t="str">
            <v>MISCELLANEOUS EXPENSES</v>
          </cell>
          <cell r="G220">
            <v>15691709.789999999</v>
          </cell>
          <cell r="H220">
            <v>0</v>
          </cell>
          <cell r="J220">
            <v>15691709.789999999</v>
          </cell>
        </row>
        <row r="221">
          <cell r="E221" t="str">
            <v>F58800E</v>
          </cell>
          <cell r="F221" t="str">
            <v>MISCELLANEOUS EXPENSES</v>
          </cell>
          <cell r="J221">
            <v>0</v>
          </cell>
        </row>
        <row r="222">
          <cell r="E222" t="str">
            <v>F58801E</v>
          </cell>
          <cell r="F222" t="str">
            <v>MISCELLANEOUS EXPENSES-ADJ</v>
          </cell>
          <cell r="G222">
            <v>0</v>
          </cell>
          <cell r="J222">
            <v>0</v>
          </cell>
        </row>
        <row r="223">
          <cell r="E223" t="str">
            <v>F58810E</v>
          </cell>
          <cell r="F223" t="str">
            <v>MISCELLANEOUS EXPENSES</v>
          </cell>
          <cell r="G223">
            <v>1516808.4000000001</v>
          </cell>
          <cell r="J223">
            <v>1516808.4000000001</v>
          </cell>
        </row>
        <row r="224">
          <cell r="E224" t="str">
            <v>F58840E</v>
          </cell>
          <cell r="F224" t="str">
            <v>MISCELLANEOUS EXPENSES</v>
          </cell>
          <cell r="G224">
            <v>2064022.5699999998</v>
          </cell>
          <cell r="J224">
            <v>2064022.5699999998</v>
          </cell>
        </row>
        <row r="225">
          <cell r="E225" t="str">
            <v>F58900E</v>
          </cell>
          <cell r="F225" t="str">
            <v>RENTS</v>
          </cell>
          <cell r="G225">
            <v>55806.789999999994</v>
          </cell>
          <cell r="J225">
            <v>55806.789999999994</v>
          </cell>
        </row>
        <row r="226">
          <cell r="E226" t="str">
            <v xml:space="preserve">     Electric Distribution Operations</v>
          </cell>
          <cell r="G226">
            <v>52052014.140000001</v>
          </cell>
          <cell r="H226">
            <v>-4752.3</v>
          </cell>
          <cell r="J226">
            <v>52047261.840000004</v>
          </cell>
        </row>
        <row r="228">
          <cell r="E228" t="str">
            <v xml:space="preserve">     Electric Transmission &amp; Distribution</v>
          </cell>
          <cell r="G228">
            <v>229699359.38999999</v>
          </cell>
          <cell r="H228">
            <v>-5397.45</v>
          </cell>
          <cell r="J228">
            <v>229693961.94</v>
          </cell>
        </row>
        <row r="230">
          <cell r="E230" t="str">
            <v>F84000C</v>
          </cell>
          <cell r="F230" t="str">
            <v>OPERATION SUPERVISION AND ENGINEERING</v>
          </cell>
          <cell r="G230">
            <v>0</v>
          </cell>
          <cell r="J230">
            <v>0</v>
          </cell>
        </row>
        <row r="231">
          <cell r="E231" t="str">
            <v>F84000G</v>
          </cell>
          <cell r="F231" t="str">
            <v>OPERATION SUPERVISION AND ENGINEERING</v>
          </cell>
          <cell r="G231">
            <v>0</v>
          </cell>
          <cell r="J231">
            <v>0</v>
          </cell>
        </row>
        <row r="232">
          <cell r="E232" t="str">
            <v>F84100G</v>
          </cell>
          <cell r="F232" t="str">
            <v>OPERATION LABOR AND EXPNESES</v>
          </cell>
          <cell r="G232">
            <v>21321.83</v>
          </cell>
          <cell r="J232">
            <v>21321.83</v>
          </cell>
        </row>
        <row r="233">
          <cell r="E233" t="str">
            <v>F84170G</v>
          </cell>
          <cell r="F233" t="str">
            <v>OPERATION LABOR AND EXPNESES</v>
          </cell>
          <cell r="G233">
            <v>0</v>
          </cell>
          <cell r="J233">
            <v>0</v>
          </cell>
        </row>
        <row r="234">
          <cell r="E234" t="str">
            <v xml:space="preserve">     Gas Other Storage Operations</v>
          </cell>
          <cell r="G234">
            <v>21321.83</v>
          </cell>
          <cell r="H234">
            <v>0</v>
          </cell>
          <cell r="J234">
            <v>21321.83</v>
          </cell>
        </row>
        <row r="236">
          <cell r="E236" t="str">
            <v>F85000G</v>
          </cell>
          <cell r="F236" t="str">
            <v>OPERATION SUPERVISION AND ENGINEERING</v>
          </cell>
          <cell r="G236">
            <v>834726.07</v>
          </cell>
          <cell r="J236">
            <v>834726.07</v>
          </cell>
        </row>
        <row r="237">
          <cell r="E237" t="str">
            <v>F85010G</v>
          </cell>
          <cell r="F237" t="str">
            <v>OPERATION SUPERVISION AND ENGINEERING</v>
          </cell>
          <cell r="G237">
            <v>183167.51</v>
          </cell>
          <cell r="J237">
            <v>183167.51</v>
          </cell>
        </row>
        <row r="238">
          <cell r="E238" t="str">
            <v>F85020G</v>
          </cell>
          <cell r="F238" t="str">
            <v>OPERATION SUPERVISIO</v>
          </cell>
          <cell r="G238">
            <v>142368.31</v>
          </cell>
          <cell r="J238">
            <v>142368.31</v>
          </cell>
        </row>
        <row r="239">
          <cell r="E239" t="str">
            <v>F85100G</v>
          </cell>
          <cell r="F239" t="str">
            <v>SYSTEM CONTROL AND LOAD DISPATCHING</v>
          </cell>
          <cell r="G239">
            <v>363008</v>
          </cell>
          <cell r="J239">
            <v>363008</v>
          </cell>
        </row>
        <row r="240">
          <cell r="E240" t="str">
            <v>F85200G</v>
          </cell>
          <cell r="F240" t="str">
            <v>COMMUNICATION SYSTEM EXPENSES</v>
          </cell>
          <cell r="G240">
            <v>0</v>
          </cell>
          <cell r="J240">
            <v>0</v>
          </cell>
        </row>
        <row r="241">
          <cell r="E241" t="str">
            <v>F85300G</v>
          </cell>
          <cell r="F241" t="str">
            <v>COMPRESSOR STATION LABOR AND EXPENSES</v>
          </cell>
          <cell r="G241">
            <v>30347.579999999998</v>
          </cell>
          <cell r="J241">
            <v>30347.579999999998</v>
          </cell>
        </row>
        <row r="242">
          <cell r="E242" t="str">
            <v>F85310G</v>
          </cell>
          <cell r="F242" t="str">
            <v>COMPRESSOR STATION LABOR AND EXPENSES</v>
          </cell>
          <cell r="G242">
            <v>625801.22999999986</v>
          </cell>
          <cell r="H242">
            <v>-279.5</v>
          </cell>
          <cell r="J242">
            <v>625521.72999999986</v>
          </cell>
        </row>
        <row r="243">
          <cell r="E243" t="str">
            <v>F85310G</v>
          </cell>
          <cell r="J243">
            <v>0</v>
          </cell>
        </row>
        <row r="244">
          <cell r="E244" t="str">
            <v>F85320G</v>
          </cell>
          <cell r="F244" t="str">
            <v>COMPRESSOR STATION LABOR AND EXPENSES</v>
          </cell>
          <cell r="G244">
            <v>201565.44999999998</v>
          </cell>
          <cell r="H244">
            <v>-2.39</v>
          </cell>
          <cell r="J244">
            <v>201563.05999999997</v>
          </cell>
        </row>
        <row r="245">
          <cell r="E245" t="str">
            <v>F85320G</v>
          </cell>
          <cell r="J245">
            <v>0</v>
          </cell>
        </row>
        <row r="246">
          <cell r="E246" t="str">
            <v>F85400G</v>
          </cell>
          <cell r="F246" t="str">
            <v>GAS FOR COMPRESSOR STATION FUEL</v>
          </cell>
          <cell r="G246">
            <v>1050710</v>
          </cell>
          <cell r="J246">
            <v>1050710</v>
          </cell>
        </row>
        <row r="247">
          <cell r="E247" t="str">
            <v>F85500G</v>
          </cell>
          <cell r="F247" t="str">
            <v>OTHER FUEL AND POWER FOR COMPRESSOR STA</v>
          </cell>
          <cell r="G247">
            <v>314.98</v>
          </cell>
          <cell r="J247">
            <v>314.98</v>
          </cell>
        </row>
        <row r="248">
          <cell r="E248" t="str">
            <v>F85510G</v>
          </cell>
          <cell r="F248" t="str">
            <v>OTHER FUEL AND POWER FOR COMPRESSOR STA</v>
          </cell>
          <cell r="G248">
            <v>178122.33</v>
          </cell>
          <cell r="J248">
            <v>178122.33</v>
          </cell>
        </row>
        <row r="249">
          <cell r="E249" t="str">
            <v>F85600G</v>
          </cell>
          <cell r="F249" t="str">
            <v>MAINS EXPENSES</v>
          </cell>
          <cell r="G249">
            <v>768756.62000000011</v>
          </cell>
          <cell r="J249">
            <v>768756.62000000011</v>
          </cell>
        </row>
        <row r="250">
          <cell r="E250" t="str">
            <v>F85610G</v>
          </cell>
          <cell r="F250" t="str">
            <v>MAINS EXPENSES</v>
          </cell>
          <cell r="G250">
            <v>0</v>
          </cell>
          <cell r="J250">
            <v>0</v>
          </cell>
        </row>
        <row r="251">
          <cell r="E251" t="str">
            <v>F85620G</v>
          </cell>
          <cell r="F251" t="str">
            <v>MAINS EXPENSES</v>
          </cell>
          <cell r="G251">
            <v>0</v>
          </cell>
          <cell r="J251">
            <v>0</v>
          </cell>
        </row>
        <row r="252">
          <cell r="E252" t="str">
            <v>F85660G</v>
          </cell>
          <cell r="F252" t="str">
            <v>MAINS EXPENSES</v>
          </cell>
          <cell r="G252">
            <v>0</v>
          </cell>
          <cell r="J252">
            <v>0</v>
          </cell>
        </row>
        <row r="253">
          <cell r="E253" t="str">
            <v>F85700G</v>
          </cell>
          <cell r="F253" t="str">
            <v>MEASURING AND REGULATING STATION EXPENS</v>
          </cell>
          <cell r="G253">
            <v>57998.100000000006</v>
          </cell>
          <cell r="J253">
            <v>57998.100000000006</v>
          </cell>
        </row>
        <row r="254">
          <cell r="E254" t="str">
            <v>F85800G</v>
          </cell>
          <cell r="F254" t="str">
            <v>TRANSMISSION AND COMPRESSION OF GAS BY OTHERS</v>
          </cell>
          <cell r="G254">
            <v>0</v>
          </cell>
          <cell r="J254">
            <v>0</v>
          </cell>
        </row>
        <row r="255">
          <cell r="E255" t="str">
            <v>F85900G</v>
          </cell>
          <cell r="F255" t="str">
            <v>OTHER EXPENSES</v>
          </cell>
          <cell r="G255">
            <v>700071.75</v>
          </cell>
          <cell r="J255">
            <v>700071.75</v>
          </cell>
        </row>
        <row r="256">
          <cell r="E256" t="str">
            <v>F85910G</v>
          </cell>
          <cell r="F256" t="str">
            <v>OTHER EXPENSES</v>
          </cell>
          <cell r="G256">
            <v>75976.83</v>
          </cell>
          <cell r="J256">
            <v>75976.83</v>
          </cell>
        </row>
        <row r="257">
          <cell r="E257" t="str">
            <v>F85920G</v>
          </cell>
          <cell r="F257" t="str">
            <v>OTHER EXPENSES</v>
          </cell>
          <cell r="G257">
            <v>0</v>
          </cell>
          <cell r="J257">
            <v>0</v>
          </cell>
        </row>
        <row r="258">
          <cell r="E258" t="str">
            <v>F85930G</v>
          </cell>
          <cell r="F258" t="str">
            <v>OTHER EXPENSES</v>
          </cell>
          <cell r="G258">
            <v>348378.28999999992</v>
          </cell>
          <cell r="J258">
            <v>348378.28999999992</v>
          </cell>
        </row>
        <row r="259">
          <cell r="E259" t="str">
            <v>F86000G</v>
          </cell>
          <cell r="F259" t="str">
            <v>RENTS</v>
          </cell>
          <cell r="G259">
            <v>399.57000000000005</v>
          </cell>
          <cell r="J259">
            <v>399.57000000000005</v>
          </cell>
        </row>
        <row r="260">
          <cell r="E260" t="str">
            <v xml:space="preserve">     Gas Transmission Operations</v>
          </cell>
          <cell r="G260">
            <v>5561712.6200000001</v>
          </cell>
          <cell r="H260">
            <v>-281.89</v>
          </cell>
          <cell r="J260">
            <v>5561430.7299999995</v>
          </cell>
        </row>
        <row r="262">
          <cell r="E262" t="str">
            <v>F87000G</v>
          </cell>
          <cell r="F262" t="str">
            <v>OPERATION SUPERVISION AND ENGINEERING</v>
          </cell>
          <cell r="G262">
            <v>304148.14999999997</v>
          </cell>
          <cell r="J262">
            <v>304148.14999999997</v>
          </cell>
        </row>
        <row r="263">
          <cell r="E263" t="str">
            <v>F87000G</v>
          </cell>
          <cell r="H263">
            <v>21.71</v>
          </cell>
          <cell r="J263">
            <v>21.71</v>
          </cell>
        </row>
        <row r="264">
          <cell r="E264" t="str">
            <v>F87010G</v>
          </cell>
          <cell r="F264" t="str">
            <v>OPERATION SUPERVISIO</v>
          </cell>
          <cell r="G264">
            <v>2371648.17</v>
          </cell>
          <cell r="J264">
            <v>2371648.17</v>
          </cell>
        </row>
        <row r="265">
          <cell r="E265" t="str">
            <v>F87020G</v>
          </cell>
          <cell r="F265" t="str">
            <v>OPERATION SUPERVISIO</v>
          </cell>
          <cell r="G265">
            <v>1242618.49</v>
          </cell>
          <cell r="J265">
            <v>1242618.49</v>
          </cell>
        </row>
        <row r="266">
          <cell r="E266" t="str">
            <v>F87020G</v>
          </cell>
          <cell r="H266">
            <v>27</v>
          </cell>
          <cell r="J266">
            <v>27</v>
          </cell>
        </row>
        <row r="267">
          <cell r="E267" t="str">
            <v>F87100G</v>
          </cell>
          <cell r="F267" t="str">
            <v>DISTRIBUTION LOAD DISPATCHING</v>
          </cell>
          <cell r="G267">
            <v>42.49</v>
          </cell>
          <cell r="J267">
            <v>42.49</v>
          </cell>
        </row>
        <row r="268">
          <cell r="E268" t="str">
            <v>F87200C</v>
          </cell>
          <cell r="F268" t="str">
            <v>COMPRESSOR STATION LABOR AND EXPENSES</v>
          </cell>
          <cell r="G268">
            <v>0</v>
          </cell>
          <cell r="J268">
            <v>0</v>
          </cell>
        </row>
        <row r="269">
          <cell r="E269" t="str">
            <v>F87200G</v>
          </cell>
          <cell r="F269" t="str">
            <v>COMPRESSOR STATION LABOR AND EXPENSES</v>
          </cell>
          <cell r="G269">
            <v>0</v>
          </cell>
          <cell r="J269">
            <v>0</v>
          </cell>
        </row>
        <row r="270">
          <cell r="E270" t="str">
            <v>F87300G</v>
          </cell>
          <cell r="F270" t="str">
            <v>COMPRESSOR STATION FUEL AND POWER</v>
          </cell>
          <cell r="G270">
            <v>0</v>
          </cell>
          <cell r="J270">
            <v>0</v>
          </cell>
        </row>
        <row r="271">
          <cell r="E271" t="str">
            <v>F87400G</v>
          </cell>
          <cell r="F271" t="str">
            <v>MAINS AND SERVICES EXPENSES</v>
          </cell>
          <cell r="G271">
            <v>319195.03999999998</v>
          </cell>
          <cell r="J271">
            <v>319195.03999999998</v>
          </cell>
        </row>
        <row r="272">
          <cell r="E272" t="str">
            <v>F87410G</v>
          </cell>
          <cell r="F272" t="str">
            <v>MAINS AND SERVICES E</v>
          </cell>
          <cell r="G272">
            <v>645912.88</v>
          </cell>
          <cell r="J272">
            <v>645912.88</v>
          </cell>
        </row>
        <row r="273">
          <cell r="E273" t="str">
            <v>F87430G</v>
          </cell>
          <cell r="F273" t="str">
            <v>MAINS AND SERVICES E</v>
          </cell>
          <cell r="G273">
            <v>1494378.83</v>
          </cell>
          <cell r="J273">
            <v>1494378.83</v>
          </cell>
        </row>
        <row r="274">
          <cell r="E274" t="str">
            <v>F87440G</v>
          </cell>
          <cell r="F274" t="str">
            <v>MAINS AND SERVICES E</v>
          </cell>
          <cell r="G274">
            <v>549122.35</v>
          </cell>
          <cell r="J274">
            <v>549122.35</v>
          </cell>
        </row>
        <row r="275">
          <cell r="E275" t="str">
            <v>F87450G</v>
          </cell>
          <cell r="F275" t="str">
            <v>MAINS AND SERVICES E</v>
          </cell>
          <cell r="G275">
            <v>32119.39</v>
          </cell>
          <cell r="J275">
            <v>32119.39</v>
          </cell>
        </row>
        <row r="276">
          <cell r="E276" t="str">
            <v>F87500G</v>
          </cell>
          <cell r="F276" t="str">
            <v>MEASURING AND REGULATING STATION EXPENS</v>
          </cell>
          <cell r="G276">
            <v>630480.99</v>
          </cell>
          <cell r="H276">
            <v>-11.47</v>
          </cell>
          <cell r="J276">
            <v>630469.52</v>
          </cell>
        </row>
        <row r="277">
          <cell r="E277" t="str">
            <v>F87500G</v>
          </cell>
          <cell r="J277">
            <v>0</v>
          </cell>
        </row>
        <row r="278">
          <cell r="E278" t="str">
            <v>F87800G</v>
          </cell>
          <cell r="F278" t="str">
            <v>METER AND HOUSE REGULATOR EXPENSES</v>
          </cell>
          <cell r="G278">
            <v>1708341.9</v>
          </cell>
          <cell r="J278">
            <v>1708341.9</v>
          </cell>
        </row>
        <row r="279">
          <cell r="E279" t="str">
            <v>F87810G</v>
          </cell>
          <cell r="F279" t="str">
            <v>METER AND HOUSE REGU</v>
          </cell>
          <cell r="G279">
            <v>277737.79000000004</v>
          </cell>
          <cell r="J279">
            <v>277737.79000000004</v>
          </cell>
        </row>
        <row r="280">
          <cell r="E280" t="str">
            <v>F87820G</v>
          </cell>
          <cell r="F280" t="str">
            <v>METER AND HOUSE REGU</v>
          </cell>
          <cell r="G280">
            <v>2072548.2599999998</v>
          </cell>
          <cell r="J280">
            <v>2072548.2599999998</v>
          </cell>
        </row>
        <row r="281">
          <cell r="E281" t="str">
            <v>F87830G</v>
          </cell>
          <cell r="F281" t="str">
            <v>METER AND HOUSE REGU</v>
          </cell>
          <cell r="G281">
            <v>52875.849999999991</v>
          </cell>
          <cell r="J281">
            <v>52875.849999999991</v>
          </cell>
        </row>
        <row r="282">
          <cell r="E282" t="str">
            <v>F87840G</v>
          </cell>
          <cell r="F282" t="str">
            <v>METER AND HOUSE REGU</v>
          </cell>
          <cell r="G282">
            <v>306501.96000000002</v>
          </cell>
          <cell r="J282">
            <v>306501.96000000002</v>
          </cell>
        </row>
        <row r="283">
          <cell r="E283" t="str">
            <v>F87850G</v>
          </cell>
          <cell r="F283" t="str">
            <v>METER AND HOUSE REGU</v>
          </cell>
          <cell r="G283">
            <v>30621.040000000001</v>
          </cell>
          <cell r="J283">
            <v>30621.040000000001</v>
          </cell>
        </row>
        <row r="284">
          <cell r="E284" t="str">
            <v>F87860G</v>
          </cell>
          <cell r="F284" t="str">
            <v>METER AND HOUSE REGU</v>
          </cell>
          <cell r="G284">
            <v>77956.38</v>
          </cell>
          <cell r="J284">
            <v>77956.38</v>
          </cell>
        </row>
        <row r="285">
          <cell r="E285" t="str">
            <v>F87900G</v>
          </cell>
          <cell r="F285" t="str">
            <v>CUSTOMER INSTALLATIONS EXPENSES</v>
          </cell>
          <cell r="G285">
            <v>3054698.76</v>
          </cell>
          <cell r="J285">
            <v>3054698.76</v>
          </cell>
        </row>
        <row r="286">
          <cell r="E286" t="str">
            <v>F87910G</v>
          </cell>
          <cell r="F286" t="str">
            <v>CUSTOMER INSTALLATIO</v>
          </cell>
          <cell r="G286">
            <v>4564229.0999999996</v>
          </cell>
          <cell r="J286">
            <v>4564229.0999999996</v>
          </cell>
        </row>
        <row r="287">
          <cell r="E287" t="str">
            <v>F87920G</v>
          </cell>
          <cell r="F287" t="str">
            <v>CUSTOMER INSTALLATIO</v>
          </cell>
          <cell r="G287">
            <v>136632.57</v>
          </cell>
          <cell r="J287">
            <v>136632.57</v>
          </cell>
        </row>
        <row r="288">
          <cell r="E288" t="str">
            <v>F87940G</v>
          </cell>
          <cell r="F288" t="str">
            <v>CUSTOMER INSTALLATIONS EXPENSES</v>
          </cell>
          <cell r="G288">
            <v>76.5</v>
          </cell>
          <cell r="J288">
            <v>76.5</v>
          </cell>
        </row>
        <row r="289">
          <cell r="E289" t="str">
            <v>F87950G</v>
          </cell>
          <cell r="F289" t="str">
            <v>CUSTOMER INSTALLATIO</v>
          </cell>
          <cell r="G289">
            <v>818885.59000000008</v>
          </cell>
          <cell r="J289">
            <v>818885.59000000008</v>
          </cell>
        </row>
        <row r="290">
          <cell r="E290" t="str">
            <v>F88000G</v>
          </cell>
          <cell r="F290" t="str">
            <v>OTHER EXPENSES</v>
          </cell>
          <cell r="G290">
            <v>3053374.0300000003</v>
          </cell>
          <cell r="J290">
            <v>3053374.0300000003</v>
          </cell>
        </row>
        <row r="291">
          <cell r="E291" t="str">
            <v>F88010G</v>
          </cell>
          <cell r="F291" t="str">
            <v>OTHER EXPENSES</v>
          </cell>
          <cell r="G291">
            <v>538202.63</v>
          </cell>
          <cell r="J291">
            <v>538202.63</v>
          </cell>
        </row>
        <row r="292">
          <cell r="E292" t="str">
            <v>F88030G</v>
          </cell>
          <cell r="F292" t="str">
            <v>OTHER EXPENSES</v>
          </cell>
          <cell r="G292">
            <v>268152.15999999997</v>
          </cell>
          <cell r="J292">
            <v>268152.15999999997</v>
          </cell>
        </row>
        <row r="293">
          <cell r="E293" t="str">
            <v>F88040G</v>
          </cell>
          <cell r="F293" t="str">
            <v>OTHER EXPENSES</v>
          </cell>
          <cell r="G293">
            <v>435773.7</v>
          </cell>
          <cell r="J293">
            <v>435773.7</v>
          </cell>
        </row>
        <row r="294">
          <cell r="E294" t="str">
            <v>F88040G</v>
          </cell>
          <cell r="H294">
            <v>1028.5999999999999</v>
          </cell>
          <cell r="J294">
            <v>1028.5999999999999</v>
          </cell>
        </row>
        <row r="295">
          <cell r="E295" t="str">
            <v>F88040G</v>
          </cell>
          <cell r="H295">
            <v>50.35</v>
          </cell>
          <cell r="J295">
            <v>50.35</v>
          </cell>
        </row>
        <row r="296">
          <cell r="E296" t="str">
            <v>F88100G</v>
          </cell>
          <cell r="F296" t="str">
            <v>RENTS</v>
          </cell>
          <cell r="G296">
            <v>17403.14</v>
          </cell>
          <cell r="J296">
            <v>17403.14</v>
          </cell>
        </row>
        <row r="297">
          <cell r="E297" t="str">
            <v xml:space="preserve">     Gas Distribution Operations</v>
          </cell>
          <cell r="G297">
            <v>25003678.140000001</v>
          </cell>
          <cell r="H297">
            <v>1116.1899999999998</v>
          </cell>
          <cell r="J297">
            <v>25004794.330000006</v>
          </cell>
        </row>
        <row r="299">
          <cell r="E299" t="str">
            <v xml:space="preserve">     Gas Transmission &amp; Distribution</v>
          </cell>
          <cell r="G299">
            <v>30586712.59</v>
          </cell>
          <cell r="H299">
            <v>834.29999999999984</v>
          </cell>
          <cell r="J299">
            <v>30587546.890000004</v>
          </cell>
        </row>
        <row r="301">
          <cell r="E301" t="str">
            <v>Transmission, Distribution &amp; Storage</v>
          </cell>
          <cell r="G301">
            <v>260286071.97999999</v>
          </cell>
          <cell r="H301">
            <v>-4563.1499999999996</v>
          </cell>
          <cell r="J301">
            <v>260281508.83000001</v>
          </cell>
        </row>
        <row r="303">
          <cell r="E303" t="str">
            <v xml:space="preserve">  Customer Accounting</v>
          </cell>
        </row>
        <row r="304">
          <cell r="E304" t="str">
            <v>F90100E</v>
          </cell>
          <cell r="F304" t="str">
            <v>SUPERVISION</v>
          </cell>
          <cell r="G304">
            <v>54.75</v>
          </cell>
          <cell r="J304">
            <v>54.75</v>
          </cell>
        </row>
        <row r="305">
          <cell r="E305" t="str">
            <v>F90100E</v>
          </cell>
          <cell r="H305">
            <v>-54.75</v>
          </cell>
          <cell r="J305">
            <v>-54.75</v>
          </cell>
        </row>
        <row r="306">
          <cell r="E306" t="str">
            <v>F90200E</v>
          </cell>
          <cell r="F306" t="str">
            <v>METER READING EXPENSES</v>
          </cell>
          <cell r="G306">
            <v>6745789.1500000004</v>
          </cell>
          <cell r="J306">
            <v>6745789.1500000004</v>
          </cell>
        </row>
        <row r="307">
          <cell r="E307" t="str">
            <v>F90200E</v>
          </cell>
          <cell r="H307">
            <v>49.5</v>
          </cell>
          <cell r="J307">
            <v>49.5</v>
          </cell>
        </row>
        <row r="308">
          <cell r="E308" t="str">
            <v>F90210E</v>
          </cell>
          <cell r="F308" t="str">
            <v>METER READING EXPENSES</v>
          </cell>
          <cell r="G308">
            <v>327.18</v>
          </cell>
          <cell r="J308">
            <v>327.18</v>
          </cell>
        </row>
        <row r="309">
          <cell r="E309" t="str">
            <v>F90220E</v>
          </cell>
          <cell r="F309" t="str">
            <v>MEASRMNT DATA SRV GEN EXP ELE</v>
          </cell>
          <cell r="G309">
            <v>1371001.04</v>
          </cell>
          <cell r="J309">
            <v>1371001.04</v>
          </cell>
        </row>
        <row r="310">
          <cell r="E310" t="str">
            <v>F90230E</v>
          </cell>
          <cell r="F310" t="str">
            <v>METER READING REMOTE</v>
          </cell>
          <cell r="G310">
            <v>294108.01</v>
          </cell>
          <cell r="J310">
            <v>294108.01</v>
          </cell>
        </row>
        <row r="311">
          <cell r="E311" t="str">
            <v>F90240E</v>
          </cell>
          <cell r="F311" t="str">
            <v>METER READING DATA</v>
          </cell>
          <cell r="G311">
            <v>13201.3</v>
          </cell>
          <cell r="J311">
            <v>13201.3</v>
          </cell>
        </row>
        <row r="312">
          <cell r="E312" t="str">
            <v>F90300E</v>
          </cell>
          <cell r="F312" t="str">
            <v>CUSTOMER RECORDS AND COLLECTION EXPENSE</v>
          </cell>
          <cell r="G312">
            <v>15116987.1</v>
          </cell>
          <cell r="H312">
            <v>-1124.22</v>
          </cell>
          <cell r="J312">
            <v>15115862.879999999</v>
          </cell>
        </row>
        <row r="313">
          <cell r="E313" t="str">
            <v>F90300E</v>
          </cell>
          <cell r="J313">
            <v>0</v>
          </cell>
        </row>
        <row r="314">
          <cell r="E314" t="str">
            <v>F90300E</v>
          </cell>
          <cell r="H314">
            <v>5.25</v>
          </cell>
          <cell r="J314">
            <v>5.25</v>
          </cell>
        </row>
        <row r="315">
          <cell r="E315" t="str">
            <v>F90310E</v>
          </cell>
          <cell r="F315" t="str">
            <v>CUSTOMER RECORDS AND</v>
          </cell>
          <cell r="G315">
            <v>15655105.189999998</v>
          </cell>
          <cell r="J315">
            <v>15655105.189999998</v>
          </cell>
        </row>
        <row r="316">
          <cell r="E316" t="str">
            <v>F90320E</v>
          </cell>
          <cell r="F316" t="str">
            <v>CUSTOMER RECORDS AND</v>
          </cell>
          <cell r="G316">
            <v>38823.47</v>
          </cell>
          <cell r="J316">
            <v>38823.47</v>
          </cell>
        </row>
        <row r="317">
          <cell r="E317" t="str">
            <v>F90330E</v>
          </cell>
          <cell r="F317" t="str">
            <v>CUSTOMER RECORDS AND</v>
          </cell>
          <cell r="G317">
            <v>2189625.7799999998</v>
          </cell>
          <cell r="J317">
            <v>2189625.7799999998</v>
          </cell>
        </row>
        <row r="318">
          <cell r="E318" t="str">
            <v>F90340E</v>
          </cell>
          <cell r="F318" t="str">
            <v>CUSTOMER RECORDS AND COLLECTION EXPENSE</v>
          </cell>
          <cell r="G318">
            <v>1954171.5199999998</v>
          </cell>
          <cell r="J318">
            <v>1954171.5199999998</v>
          </cell>
        </row>
        <row r="319">
          <cell r="E319" t="str">
            <v>F90350E</v>
          </cell>
          <cell r="F319" t="str">
            <v>CUSTOMER RECORDS AND</v>
          </cell>
          <cell r="G319">
            <v>2148497.9500000002</v>
          </cell>
          <cell r="J319">
            <v>2148497.9500000002</v>
          </cell>
        </row>
        <row r="320">
          <cell r="E320" t="str">
            <v>F90360E</v>
          </cell>
          <cell r="F320" t="str">
            <v>CUSTOMER RECORDS AND COLLECTION EXPENSE</v>
          </cell>
          <cell r="G320">
            <v>0</v>
          </cell>
          <cell r="J320">
            <v>0</v>
          </cell>
        </row>
        <row r="321">
          <cell r="E321" t="str">
            <v>F90370E</v>
          </cell>
          <cell r="F321" t="str">
            <v>CUSTOMER RECORDS AND COLLECTION EXPENSE</v>
          </cell>
          <cell r="G321">
            <v>3102011.46</v>
          </cell>
          <cell r="J321">
            <v>3102011.46</v>
          </cell>
        </row>
        <row r="322">
          <cell r="E322" t="str">
            <v>F90380E</v>
          </cell>
          <cell r="F322" t="str">
            <v>CUSTOMER RECORDS AND</v>
          </cell>
          <cell r="G322">
            <v>169872.34999999998</v>
          </cell>
          <cell r="J322">
            <v>169872.34999999998</v>
          </cell>
        </row>
        <row r="323">
          <cell r="E323" t="str">
            <v>F90390E</v>
          </cell>
          <cell r="F323" t="str">
            <v>CUSTOMER RECORDS AND COLLECTION EXPENSE</v>
          </cell>
          <cell r="G323">
            <v>0</v>
          </cell>
          <cell r="J323">
            <v>0</v>
          </cell>
        </row>
        <row r="324">
          <cell r="E324" t="str">
            <v>F90400E</v>
          </cell>
          <cell r="F324" t="str">
            <v>UNCOLLECTIBLE ACCOUNTS</v>
          </cell>
          <cell r="G324">
            <v>1058256.79</v>
          </cell>
          <cell r="J324">
            <v>1058256.79</v>
          </cell>
        </row>
        <row r="325">
          <cell r="E325" t="str">
            <v>F90500E</v>
          </cell>
          <cell r="F325" t="str">
            <v>MISCELLANEOUS CUSTOMER ACCOUNTS EXPENSE</v>
          </cell>
          <cell r="G325">
            <v>-25327.030000000002</v>
          </cell>
          <cell r="J325">
            <v>-25327.030000000002</v>
          </cell>
        </row>
        <row r="326">
          <cell r="E326" t="str">
            <v xml:space="preserve">   Electric Customer Accounting Expenses</v>
          </cell>
          <cell r="G326">
            <v>49832506.010000005</v>
          </cell>
          <cell r="H326">
            <v>-1124.22</v>
          </cell>
          <cell r="J326">
            <v>49831381.790000007</v>
          </cell>
        </row>
        <row r="328">
          <cell r="E328" t="str">
            <v>F90100G</v>
          </cell>
          <cell r="F328" t="str">
            <v>SUPERVISION</v>
          </cell>
          <cell r="G328">
            <v>146.72</v>
          </cell>
          <cell r="J328">
            <v>146.72</v>
          </cell>
        </row>
        <row r="329">
          <cell r="E329" t="str">
            <v>F90100G</v>
          </cell>
          <cell r="H329">
            <v>-62.739999999999995</v>
          </cell>
          <cell r="J329">
            <v>-62.739999999999995</v>
          </cell>
        </row>
        <row r="330">
          <cell r="E330" t="str">
            <v>F90200G</v>
          </cell>
          <cell r="F330" t="str">
            <v>METER READING EXPENSES</v>
          </cell>
          <cell r="G330">
            <v>3692634.3999999994</v>
          </cell>
          <cell r="J330">
            <v>3692634.3999999994</v>
          </cell>
        </row>
        <row r="331">
          <cell r="E331" t="str">
            <v>F90200G</v>
          </cell>
          <cell r="H331">
            <v>27.1</v>
          </cell>
          <cell r="J331">
            <v>27.1</v>
          </cell>
        </row>
        <row r="332">
          <cell r="E332" t="str">
            <v>F90210G</v>
          </cell>
          <cell r="F332" t="str">
            <v>METER READING EXPENSES</v>
          </cell>
          <cell r="G332">
            <v>5.89</v>
          </cell>
          <cell r="J332">
            <v>5.89</v>
          </cell>
        </row>
        <row r="333">
          <cell r="E333" t="str">
            <v>F90220G</v>
          </cell>
          <cell r="F333" t="str">
            <v>MEASRMNT DATA SRV GE</v>
          </cell>
          <cell r="G333">
            <v>1330.73</v>
          </cell>
          <cell r="J333">
            <v>1330.73</v>
          </cell>
        </row>
        <row r="334">
          <cell r="E334" t="str">
            <v>F90230G</v>
          </cell>
          <cell r="F334" t="str">
            <v>METER READING REMOTE</v>
          </cell>
          <cell r="G334">
            <v>39812.61</v>
          </cell>
          <cell r="J334">
            <v>39812.61</v>
          </cell>
        </row>
        <row r="335">
          <cell r="E335" t="str">
            <v>F90300G</v>
          </cell>
          <cell r="F335" t="str">
            <v>CUSTOMER RECORDS AND COLLECTION EXPENSE</v>
          </cell>
          <cell r="G335">
            <v>7371347.0999999987</v>
          </cell>
          <cell r="H335">
            <v>-615.45000000000005</v>
          </cell>
          <cell r="J335">
            <v>7370731.6499999985</v>
          </cell>
        </row>
        <row r="336">
          <cell r="E336" t="str">
            <v>F90300G</v>
          </cell>
          <cell r="J336">
            <v>0</v>
          </cell>
        </row>
        <row r="337">
          <cell r="E337" t="str">
            <v>F90300G</v>
          </cell>
          <cell r="H337">
            <v>35.64</v>
          </cell>
          <cell r="J337">
            <v>35.64</v>
          </cell>
        </row>
        <row r="338">
          <cell r="E338" t="str">
            <v>F90310G</v>
          </cell>
          <cell r="F338" t="str">
            <v>CUSTOMER RECORDS AND</v>
          </cell>
          <cell r="G338">
            <v>8681239.6699999999</v>
          </cell>
          <cell r="J338">
            <v>8681239.6699999999</v>
          </cell>
        </row>
        <row r="339">
          <cell r="E339" t="str">
            <v>F90320G</v>
          </cell>
          <cell r="F339" t="str">
            <v>CUSTOMER RECORDS AND</v>
          </cell>
          <cell r="G339">
            <v>21209.919999999998</v>
          </cell>
          <cell r="J339">
            <v>21209.919999999998</v>
          </cell>
        </row>
        <row r="340">
          <cell r="E340" t="str">
            <v>F90330G</v>
          </cell>
          <cell r="F340" t="str">
            <v>CUSTOMER RECORDS AND</v>
          </cell>
          <cell r="G340">
            <v>1198693.1299999999</v>
          </cell>
          <cell r="J340">
            <v>1198693.1299999999</v>
          </cell>
        </row>
        <row r="341">
          <cell r="E341" t="str">
            <v>F90340G</v>
          </cell>
          <cell r="F341" t="str">
            <v>CUSTOMER RECORDS AND</v>
          </cell>
          <cell r="G341">
            <v>1112600.27</v>
          </cell>
          <cell r="J341">
            <v>1112600.27</v>
          </cell>
        </row>
        <row r="342">
          <cell r="E342" t="str">
            <v>F90350G</v>
          </cell>
          <cell r="F342" t="str">
            <v>CUSTOMER RECORDS AND</v>
          </cell>
          <cell r="G342">
            <v>1175440.2799999998</v>
          </cell>
          <cell r="J342">
            <v>1175440.2799999998</v>
          </cell>
        </row>
        <row r="343">
          <cell r="E343" t="str">
            <v>F90360G</v>
          </cell>
          <cell r="F343" t="str">
            <v>CUSTOMER RECORDS AND</v>
          </cell>
          <cell r="G343">
            <v>0</v>
          </cell>
          <cell r="J343">
            <v>0</v>
          </cell>
        </row>
        <row r="344">
          <cell r="E344" t="str">
            <v>F90370G</v>
          </cell>
          <cell r="F344" t="str">
            <v>CUSTOMER RECORDS AND COLLECTION EXPENSE</v>
          </cell>
          <cell r="G344">
            <v>1698216.6600000001</v>
          </cell>
          <cell r="J344">
            <v>1698216.6600000001</v>
          </cell>
        </row>
        <row r="345">
          <cell r="E345" t="str">
            <v>F90380G</v>
          </cell>
          <cell r="F345" t="str">
            <v>CUSTOMER RECORDS AND</v>
          </cell>
          <cell r="G345">
            <v>92993.200000000012</v>
          </cell>
          <cell r="J345">
            <v>92993.200000000012</v>
          </cell>
        </row>
        <row r="346">
          <cell r="E346" t="str">
            <v>F90400G</v>
          </cell>
          <cell r="F346" t="str">
            <v>UNCOLLECTIBLE ACCOUNTS</v>
          </cell>
          <cell r="G346">
            <v>130023.23999999999</v>
          </cell>
          <cell r="J346">
            <v>130023.23999999999</v>
          </cell>
        </row>
        <row r="347">
          <cell r="E347" t="str">
            <v>F90500G</v>
          </cell>
          <cell r="F347" t="str">
            <v>MISCELLANEOUS CUSTOMER ACCOUNTS EXPENSE</v>
          </cell>
          <cell r="G347">
            <v>1358.46</v>
          </cell>
          <cell r="J347">
            <v>1358.46</v>
          </cell>
        </row>
        <row r="348">
          <cell r="E348" t="str">
            <v xml:space="preserve">   Gas Customer Accounting Expenses</v>
          </cell>
          <cell r="G348">
            <v>25217052.279999997</v>
          </cell>
          <cell r="H348">
            <v>-615.45000000000005</v>
          </cell>
          <cell r="J348">
            <v>25216436.829999998</v>
          </cell>
        </row>
        <row r="350">
          <cell r="E350" t="str">
            <v xml:space="preserve">  Customer Accounting</v>
          </cell>
          <cell r="G350">
            <v>75049558.290000007</v>
          </cell>
          <cell r="H350">
            <v>-1739.67</v>
          </cell>
          <cell r="J350">
            <v>75047818.620000005</v>
          </cell>
        </row>
        <row r="352">
          <cell r="E352" t="str">
            <v xml:space="preserve">  Customer Service, Info and Sales</v>
          </cell>
        </row>
        <row r="353">
          <cell r="E353" t="str">
            <v>F90700C</v>
          </cell>
          <cell r="F353" t="str">
            <v>SUPERVISION</v>
          </cell>
          <cell r="G353">
            <v>0</v>
          </cell>
          <cell r="J353">
            <v>0</v>
          </cell>
        </row>
        <row r="354">
          <cell r="E354" t="str">
            <v>F90710C</v>
          </cell>
          <cell r="F354" t="str">
            <v>SUPERVISION</v>
          </cell>
          <cell r="G354">
            <v>0</v>
          </cell>
          <cell r="J354">
            <v>0</v>
          </cell>
        </row>
        <row r="355">
          <cell r="E355" t="str">
            <v>F90800C</v>
          </cell>
          <cell r="F355" t="str">
            <v>CUSTOMER ASSISTANCE EXPENSES</v>
          </cell>
          <cell r="G355">
            <v>0</v>
          </cell>
          <cell r="J355">
            <v>0</v>
          </cell>
        </row>
        <row r="356">
          <cell r="E356" t="str">
            <v>F90900C</v>
          </cell>
          <cell r="F356" t="str">
            <v>INFORMATIONAL AND INSTRUCTIONAL EXPENSE</v>
          </cell>
          <cell r="G356">
            <v>0</v>
          </cell>
          <cell r="J356">
            <v>0</v>
          </cell>
        </row>
        <row r="357">
          <cell r="E357" t="str">
            <v>F91000C</v>
          </cell>
          <cell r="F357" t="str">
            <v>MISCELLANEOUS CUSTOMER SERV AND INFORMA</v>
          </cell>
          <cell r="G357">
            <v>0</v>
          </cell>
          <cell r="J357">
            <v>0</v>
          </cell>
        </row>
        <row r="358">
          <cell r="E358" t="str">
            <v>F91020C</v>
          </cell>
          <cell r="F358" t="str">
            <v>MISCELLANEOUS CUSTOMER SERV AND INFORMA</v>
          </cell>
          <cell r="G358">
            <v>0</v>
          </cell>
          <cell r="J358">
            <v>0</v>
          </cell>
        </row>
        <row r="359">
          <cell r="E359" t="str">
            <v>F91200C</v>
          </cell>
          <cell r="F359" t="str">
            <v>DEMONSTRATING AND SELLING EXPENSES</v>
          </cell>
          <cell r="G359">
            <v>0</v>
          </cell>
          <cell r="J359">
            <v>0</v>
          </cell>
        </row>
        <row r="360">
          <cell r="E360" t="str">
            <v>F91300C</v>
          </cell>
          <cell r="F360" t="str">
            <v>ADVERTISING EXPENSES</v>
          </cell>
          <cell r="G360">
            <v>0</v>
          </cell>
          <cell r="J360">
            <v>0</v>
          </cell>
        </row>
        <row r="361">
          <cell r="E361" t="str">
            <v xml:space="preserve">   Common Customer Service, Info and Sales</v>
          </cell>
          <cell r="G361">
            <v>0</v>
          </cell>
          <cell r="H361">
            <v>0</v>
          </cell>
          <cell r="J361">
            <v>0</v>
          </cell>
        </row>
        <row r="363">
          <cell r="E363" t="str">
            <v>F90700E</v>
          </cell>
          <cell r="F363" t="str">
            <v>SUPERVISION</v>
          </cell>
          <cell r="G363">
            <v>22520.03</v>
          </cell>
          <cell r="J363">
            <v>22520.03</v>
          </cell>
        </row>
        <row r="364">
          <cell r="E364" t="str">
            <v>F90710E</v>
          </cell>
          <cell r="F364" t="str">
            <v>SUPERVISION</v>
          </cell>
          <cell r="J364">
            <v>0</v>
          </cell>
        </row>
        <row r="365">
          <cell r="E365" t="str">
            <v>F90800E</v>
          </cell>
          <cell r="F365" t="str">
            <v>CUSTOMER ASSISTANCE EXPENSES</v>
          </cell>
          <cell r="G365">
            <v>49509233.479999997</v>
          </cell>
          <cell r="H365">
            <v>0</v>
          </cell>
          <cell r="J365">
            <v>49509233.479999997</v>
          </cell>
        </row>
        <row r="366">
          <cell r="E366" t="str">
            <v>F90800E</v>
          </cell>
          <cell r="J366">
            <v>0</v>
          </cell>
        </row>
        <row r="367">
          <cell r="E367" t="str">
            <v>F90820E</v>
          </cell>
          <cell r="F367" t="str">
            <v>CUSTOMER ASSISTANCE EXPENSES</v>
          </cell>
          <cell r="G367">
            <v>4729.9700000000012</v>
          </cell>
          <cell r="J367">
            <v>4729.9700000000012</v>
          </cell>
        </row>
        <row r="368">
          <cell r="E368" t="str">
            <v>F90900E</v>
          </cell>
          <cell r="F368" t="str">
            <v>INFORMATIONAL AND INSTRUCTIONAL EXPENSE</v>
          </cell>
          <cell r="G368">
            <v>0</v>
          </cell>
          <cell r="J368">
            <v>0</v>
          </cell>
        </row>
        <row r="369">
          <cell r="E369" t="str">
            <v>F91000E</v>
          </cell>
          <cell r="F369" t="str">
            <v>MISCELLANEOUS CUSTOMER SERV AND INFORMA</v>
          </cell>
          <cell r="G369">
            <v>3328776.1</v>
          </cell>
          <cell r="J369">
            <v>3328776.1</v>
          </cell>
        </row>
        <row r="370">
          <cell r="E370" t="str">
            <v>F91020E</v>
          </cell>
          <cell r="F370" t="str">
            <v>MISC CUSTOMER SERVIC</v>
          </cell>
          <cell r="G370">
            <v>0</v>
          </cell>
          <cell r="J370">
            <v>0</v>
          </cell>
        </row>
        <row r="371">
          <cell r="E371" t="str">
            <v>F91080E</v>
          </cell>
          <cell r="F371" t="str">
            <v>MISCELLANEOUS CUSTOMER SERV AND INFORMA</v>
          </cell>
          <cell r="G371">
            <v>64654.03</v>
          </cell>
          <cell r="J371">
            <v>64654.03</v>
          </cell>
        </row>
        <row r="372">
          <cell r="E372" t="str">
            <v>F91100E</v>
          </cell>
          <cell r="F372" t="str">
            <v>SUPERVISION</v>
          </cell>
          <cell r="G372">
            <v>38.36</v>
          </cell>
          <cell r="J372">
            <v>38.36</v>
          </cell>
        </row>
        <row r="373">
          <cell r="E373" t="str">
            <v>F91100E</v>
          </cell>
          <cell r="H373">
            <v>-38.36</v>
          </cell>
          <cell r="J373">
            <v>-38.36</v>
          </cell>
        </row>
        <row r="374">
          <cell r="E374" t="str">
            <v>F91200E</v>
          </cell>
          <cell r="F374" t="str">
            <v>DEMONSTRATING AND SELLING EXPENSES</v>
          </cell>
          <cell r="G374">
            <v>2362.77</v>
          </cell>
          <cell r="J374">
            <v>2362.77</v>
          </cell>
        </row>
        <row r="375">
          <cell r="E375" t="str">
            <v>F91200E</v>
          </cell>
          <cell r="H375">
            <v>-20.16</v>
          </cell>
          <cell r="J375">
            <v>-20.16</v>
          </cell>
        </row>
        <row r="376">
          <cell r="E376" t="str">
            <v>F91210E</v>
          </cell>
          <cell r="F376" t="str">
            <v>DEMONSTRATING AND SELLING EXPENSES</v>
          </cell>
          <cell r="G376">
            <v>0</v>
          </cell>
          <cell r="J376">
            <v>0</v>
          </cell>
        </row>
        <row r="377">
          <cell r="E377" t="str">
            <v>F91300E</v>
          </cell>
          <cell r="F377" t="str">
            <v>ADVERTISING EXPENSES</v>
          </cell>
          <cell r="G377">
            <v>114091.22</v>
          </cell>
          <cell r="J377">
            <v>114091.22</v>
          </cell>
        </row>
        <row r="378">
          <cell r="E378" t="str">
            <v>F91300E</v>
          </cell>
          <cell r="H378">
            <v>20.16</v>
          </cell>
          <cell r="J378">
            <v>20.16</v>
          </cell>
        </row>
        <row r="379">
          <cell r="E379" t="str">
            <v>F91600E</v>
          </cell>
          <cell r="F379" t="str">
            <v>MISCELLANEOUS SALES EXPENSES</v>
          </cell>
          <cell r="G379">
            <v>0</v>
          </cell>
          <cell r="J379">
            <v>0</v>
          </cell>
        </row>
        <row r="380">
          <cell r="E380" t="str">
            <v xml:space="preserve">   Electric Customer Service, Info and Sales</v>
          </cell>
          <cell r="G380">
            <v>53046405.960000001</v>
          </cell>
          <cell r="H380">
            <v>-38.36</v>
          </cell>
          <cell r="J380">
            <v>53046367.600000001</v>
          </cell>
        </row>
        <row r="382">
          <cell r="E382" t="str">
            <v>F90700G</v>
          </cell>
          <cell r="F382" t="str">
            <v>SUPERVISION</v>
          </cell>
          <cell r="G382">
            <v>8249.66</v>
          </cell>
          <cell r="J382">
            <v>8249.66</v>
          </cell>
        </row>
        <row r="383">
          <cell r="E383" t="str">
            <v>F90701G</v>
          </cell>
          <cell r="F383" t="str">
            <v>SUPERVISION</v>
          </cell>
          <cell r="J383">
            <v>0</v>
          </cell>
        </row>
        <row r="384">
          <cell r="E384" t="str">
            <v>F90800G</v>
          </cell>
          <cell r="F384" t="str">
            <v>CUSTOMER ASSISTANCE EXPENSES</v>
          </cell>
          <cell r="G384">
            <v>13203607.09</v>
          </cell>
          <cell r="H384">
            <v>0</v>
          </cell>
          <cell r="J384">
            <v>13203607.09</v>
          </cell>
        </row>
        <row r="385">
          <cell r="E385" t="str">
            <v>F90800G</v>
          </cell>
          <cell r="J385">
            <v>0</v>
          </cell>
        </row>
        <row r="386">
          <cell r="E386" t="str">
            <v>F90900G</v>
          </cell>
          <cell r="F386" t="str">
            <v>INFORMATIONAL AND INSTRUCTIONAL EXPENSE</v>
          </cell>
          <cell r="G386">
            <v>0</v>
          </cell>
          <cell r="J386">
            <v>0</v>
          </cell>
        </row>
        <row r="387">
          <cell r="E387" t="str">
            <v>F91000G</v>
          </cell>
          <cell r="F387" t="str">
            <v>MISCELLANEOUS CUSTOMER SERV AND INFORMA</v>
          </cell>
          <cell r="G387">
            <v>1166245.29</v>
          </cell>
          <cell r="J387">
            <v>1166245.29</v>
          </cell>
        </row>
        <row r="388">
          <cell r="E388" t="str">
            <v>F91100G</v>
          </cell>
          <cell r="F388" t="str">
            <v>SUPERVISION</v>
          </cell>
          <cell r="G388">
            <v>11.99</v>
          </cell>
          <cell r="J388">
            <v>11.99</v>
          </cell>
        </row>
        <row r="389">
          <cell r="E389" t="str">
            <v>F91100G</v>
          </cell>
          <cell r="H389">
            <v>-11.99</v>
          </cell>
          <cell r="J389">
            <v>-11.99</v>
          </cell>
        </row>
        <row r="390">
          <cell r="E390" t="str">
            <v>F91020G</v>
          </cell>
          <cell r="F390" t="str">
            <v>MISC CUSTOMER SERVIC</v>
          </cell>
          <cell r="G390">
            <v>0</v>
          </cell>
          <cell r="J390">
            <v>0</v>
          </cell>
        </row>
        <row r="391">
          <cell r="E391" t="str">
            <v>F91200G</v>
          </cell>
          <cell r="F391" t="str">
            <v>DEMONSTRATING AND SELLING EXPENSES</v>
          </cell>
          <cell r="G391">
            <v>867.55</v>
          </cell>
          <cell r="J391">
            <v>867.55</v>
          </cell>
        </row>
        <row r="392">
          <cell r="E392" t="str">
            <v>F91200G</v>
          </cell>
          <cell r="H392">
            <v>-6.8400000000000007</v>
          </cell>
          <cell r="J392">
            <v>-6.8400000000000007</v>
          </cell>
        </row>
        <row r="393">
          <cell r="E393" t="str">
            <v>F91300G</v>
          </cell>
          <cell r="F393" t="str">
            <v>ADVERTISING EXPENSES</v>
          </cell>
          <cell r="G393">
            <v>40347.570000000007</v>
          </cell>
          <cell r="J393">
            <v>40347.570000000007</v>
          </cell>
        </row>
        <row r="394">
          <cell r="E394" t="str">
            <v>F91300G</v>
          </cell>
          <cell r="H394">
            <v>6.8400000000000007</v>
          </cell>
          <cell r="J394">
            <v>6.8400000000000007</v>
          </cell>
        </row>
        <row r="395">
          <cell r="E395" t="str">
            <v>F91600G</v>
          </cell>
          <cell r="F395" t="str">
            <v>MISCELLANEOUS SALES EXPENSES</v>
          </cell>
          <cell r="G395">
            <v>0</v>
          </cell>
          <cell r="J395">
            <v>0</v>
          </cell>
        </row>
        <row r="396">
          <cell r="E396" t="str">
            <v xml:space="preserve">   Gas Customer Service, Info and Sales</v>
          </cell>
          <cell r="G396">
            <v>14419329.15</v>
          </cell>
          <cell r="H396">
            <v>-11.990000000000002</v>
          </cell>
          <cell r="J396">
            <v>14419317.16</v>
          </cell>
        </row>
        <row r="398">
          <cell r="E398" t="str">
            <v xml:space="preserve">  Customer Service, Info and Sales</v>
          </cell>
          <cell r="G398">
            <v>67465735.109999999</v>
          </cell>
          <cell r="H398">
            <v>-50.35</v>
          </cell>
          <cell r="J398">
            <v>67465684.760000005</v>
          </cell>
        </row>
        <row r="400">
          <cell r="E400" t="str">
            <v xml:space="preserve">  Administrative and General</v>
          </cell>
        </row>
        <row r="401">
          <cell r="E401" t="str">
            <v>F92000C</v>
          </cell>
          <cell r="F401" t="str">
            <v>ADMINISTRATIVE AND GENERAL SALARIES</v>
          </cell>
          <cell r="G401">
            <v>0</v>
          </cell>
          <cell r="J401">
            <v>0</v>
          </cell>
        </row>
        <row r="402">
          <cell r="E402" t="str">
            <v>F92100C</v>
          </cell>
          <cell r="F402" t="str">
            <v>OFFICE SUPPLIES AND EXPENSES</v>
          </cell>
          <cell r="G402">
            <v>0</v>
          </cell>
          <cell r="J402">
            <v>0</v>
          </cell>
        </row>
        <row r="403">
          <cell r="E403" t="str">
            <v>F92100C</v>
          </cell>
          <cell r="F403" t="str">
            <v>OFFICE SUPPLIES AND EXPENSES</v>
          </cell>
          <cell r="H403">
            <v>0</v>
          </cell>
          <cell r="J403">
            <v>0</v>
          </cell>
        </row>
        <row r="404">
          <cell r="E404" t="str">
            <v>F92100C</v>
          </cell>
          <cell r="F404" t="str">
            <v>OFFICE SUPPLIES AND EXPENSES</v>
          </cell>
          <cell r="H404">
            <v>0</v>
          </cell>
          <cell r="J404">
            <v>0</v>
          </cell>
        </row>
        <row r="405">
          <cell r="E405" t="str">
            <v>F92100C</v>
          </cell>
          <cell r="F405" t="str">
            <v>OFFICE SUPPLIES AND EXPENSES</v>
          </cell>
          <cell r="H405">
            <v>-506.55</v>
          </cell>
          <cell r="J405">
            <v>-506.55</v>
          </cell>
        </row>
        <row r="406">
          <cell r="E406" t="str">
            <v>F92100C</v>
          </cell>
          <cell r="F406" t="str">
            <v>OFFICE SUPPLIES AND EXPENSES</v>
          </cell>
          <cell r="H406">
            <v>506.55</v>
          </cell>
          <cell r="J406">
            <v>506.55</v>
          </cell>
        </row>
        <row r="407">
          <cell r="E407" t="str">
            <v>F9210AC</v>
          </cell>
          <cell r="F407" t="str">
            <v>ADMINISTRATIVE EXPENSES TRANSFERRED-CRE</v>
          </cell>
          <cell r="G407">
            <v>0</v>
          </cell>
          <cell r="J407">
            <v>0</v>
          </cell>
        </row>
        <row r="408">
          <cell r="E408" t="str">
            <v>F92101C</v>
          </cell>
          <cell r="F408" t="str">
            <v>OFFICE SUPPLIES AND EXPENSES - FLOW ADJ</v>
          </cell>
          <cell r="G408">
            <v>0</v>
          </cell>
          <cell r="H408">
            <v>0</v>
          </cell>
          <cell r="J408">
            <v>0</v>
          </cell>
        </row>
        <row r="409">
          <cell r="E409" t="str">
            <v>F9210YC</v>
          </cell>
          <cell r="F409" t="str">
            <v>OFFICE SUPPLIES AND EXPENSES - FLOW ADJ</v>
          </cell>
          <cell r="J409">
            <v>0</v>
          </cell>
        </row>
        <row r="410">
          <cell r="E410" t="str">
            <v>F92140C</v>
          </cell>
          <cell r="F410" t="str">
            <v>OFFICE SUPPLIES AND EXPENSES</v>
          </cell>
          <cell r="G410">
            <v>0</v>
          </cell>
          <cell r="J410">
            <v>0</v>
          </cell>
        </row>
        <row r="411">
          <cell r="E411" t="str">
            <v>F92200C</v>
          </cell>
          <cell r="F411" t="str">
            <v>ADMINISTRATIVE EXPENSES TRANSFERRED-CRE</v>
          </cell>
          <cell r="G411">
            <v>0</v>
          </cell>
          <cell r="J411">
            <v>0</v>
          </cell>
        </row>
        <row r="412">
          <cell r="E412" t="str">
            <v>F9220ZC</v>
          </cell>
          <cell r="F412" t="str">
            <v>ADMINISTRATIVE EXPENSES TRANSFERRED-CRE</v>
          </cell>
          <cell r="J412">
            <v>0</v>
          </cell>
        </row>
        <row r="413">
          <cell r="E413" t="str">
            <v>F92300C</v>
          </cell>
          <cell r="F413" t="str">
            <v>OUTSIDE SERVICES EMPLOYED</v>
          </cell>
          <cell r="G413">
            <v>0</v>
          </cell>
          <cell r="J413">
            <v>0</v>
          </cell>
        </row>
        <row r="414">
          <cell r="E414" t="str">
            <v>F92400C</v>
          </cell>
          <cell r="F414" t="str">
            <v>PROPERTY INSURANCE</v>
          </cell>
          <cell r="G414">
            <v>0</v>
          </cell>
          <cell r="J414">
            <v>0</v>
          </cell>
        </row>
        <row r="415">
          <cell r="E415" t="str">
            <v>F92500C</v>
          </cell>
          <cell r="F415" t="str">
            <v>INJURIES AND DAMAGES</v>
          </cell>
          <cell r="G415">
            <v>0</v>
          </cell>
          <cell r="J415">
            <v>0</v>
          </cell>
        </row>
        <row r="416">
          <cell r="E416" t="str">
            <v>F92510C</v>
          </cell>
          <cell r="F416" t="str">
            <v>INJURIES AND DAMAGES - PLPD</v>
          </cell>
          <cell r="G416">
            <v>0</v>
          </cell>
          <cell r="J416">
            <v>0</v>
          </cell>
        </row>
        <row r="417">
          <cell r="E417" t="str">
            <v>F92600C</v>
          </cell>
          <cell r="F417" t="str">
            <v>EMPLOYEE PENSIONS AND BENEFITS</v>
          </cell>
          <cell r="G417">
            <v>0</v>
          </cell>
          <cell r="J417">
            <v>0</v>
          </cell>
        </row>
        <row r="418">
          <cell r="E418" t="str">
            <v>F92800C</v>
          </cell>
          <cell r="F418" t="str">
            <v>REGULATORY COMMISSION EXPENSES</v>
          </cell>
          <cell r="G418">
            <v>0</v>
          </cell>
          <cell r="J418">
            <v>0</v>
          </cell>
        </row>
        <row r="419">
          <cell r="E419" t="str">
            <v>F93020C</v>
          </cell>
          <cell r="F419" t="str">
            <v>MISCELLANEOUS GENERAL EXPENSES</v>
          </cell>
          <cell r="G419">
            <v>0</v>
          </cell>
          <cell r="J419">
            <v>0</v>
          </cell>
        </row>
        <row r="420">
          <cell r="E420" t="str">
            <v>F9302ZC</v>
          </cell>
          <cell r="F420" t="str">
            <v>MISCELLANEOUS GENERAL EXPENSES</v>
          </cell>
          <cell r="J420">
            <v>0</v>
          </cell>
        </row>
        <row r="421">
          <cell r="E421" t="str">
            <v>F93021C</v>
          </cell>
          <cell r="F421" t="str">
            <v>MISCELLANEOUS GENERAL EXPENSES - ADJ</v>
          </cell>
          <cell r="G421">
            <v>0</v>
          </cell>
          <cell r="J421">
            <v>0</v>
          </cell>
        </row>
        <row r="422">
          <cell r="E422" t="str">
            <v>F93022C</v>
          </cell>
          <cell r="F422" t="str">
            <v>MISCELLANEOUS GENERAL EXPENSES - V&amp;S AD</v>
          </cell>
          <cell r="G422">
            <v>0</v>
          </cell>
          <cell r="J422">
            <v>0</v>
          </cell>
        </row>
        <row r="423">
          <cell r="E423" t="str">
            <v>F93100C</v>
          </cell>
          <cell r="F423" t="str">
            <v>RENTS</v>
          </cell>
          <cell r="G423">
            <v>0</v>
          </cell>
          <cell r="J423">
            <v>0</v>
          </cell>
        </row>
        <row r="424">
          <cell r="E424" t="str">
            <v xml:space="preserve">   Common Administrative and General</v>
          </cell>
          <cell r="G424">
            <v>0</v>
          </cell>
          <cell r="H424">
            <v>0</v>
          </cell>
          <cell r="J424">
            <v>0</v>
          </cell>
        </row>
        <row r="426">
          <cell r="E426" t="str">
            <v>F92000E</v>
          </cell>
          <cell r="F426" t="str">
            <v>ADMINISTRATIVE AND GENERAL SALARIES</v>
          </cell>
          <cell r="G426">
            <v>21344515.649999999</v>
          </cell>
          <cell r="H426">
            <v>-1178347.2</v>
          </cell>
          <cell r="I426">
            <v>0.74738000000000004</v>
          </cell>
          <cell r="J426">
            <v>20166168.449999999</v>
          </cell>
        </row>
        <row r="427">
          <cell r="E427" t="str">
            <v>F92000E</v>
          </cell>
          <cell r="J427">
            <v>0</v>
          </cell>
        </row>
        <row r="428">
          <cell r="E428" t="str">
            <v>F92000E</v>
          </cell>
          <cell r="H428">
            <v>-163673.52000000002</v>
          </cell>
          <cell r="J428">
            <v>-163673.52000000002</v>
          </cell>
        </row>
        <row r="429">
          <cell r="E429" t="str">
            <v>F9200AE</v>
          </cell>
          <cell r="F429" t="str">
            <v>ADMINISTRATIVE AND GENERAL SALARIES</v>
          </cell>
          <cell r="G429">
            <v>0</v>
          </cell>
          <cell r="H429">
            <v>0</v>
          </cell>
          <cell r="J429">
            <v>0</v>
          </cell>
        </row>
        <row r="430">
          <cell r="E430" t="str">
            <v>F9200AE</v>
          </cell>
          <cell r="J430">
            <v>0</v>
          </cell>
        </row>
        <row r="431">
          <cell r="E431" t="str">
            <v>F92090E</v>
          </cell>
          <cell r="F431" t="str">
            <v>ADMINISTRATIVE AND GENERAL SALARIES</v>
          </cell>
          <cell r="G431">
            <v>0</v>
          </cell>
          <cell r="I431">
            <v>0.74738000000000004</v>
          </cell>
          <cell r="J431">
            <v>0</v>
          </cell>
        </row>
        <row r="432">
          <cell r="E432" t="str">
            <v>F92100E</v>
          </cell>
          <cell r="F432" t="str">
            <v>OFFICE SUPPLIES AND EXPENSES</v>
          </cell>
          <cell r="G432">
            <v>7924130.9199999999</v>
          </cell>
          <cell r="I432">
            <v>0.74738000000000004</v>
          </cell>
          <cell r="J432">
            <v>7924130.9199999999</v>
          </cell>
        </row>
        <row r="433">
          <cell r="E433" t="str">
            <v>F92100E</v>
          </cell>
          <cell r="H433">
            <v>1178347.2</v>
          </cell>
          <cell r="J433">
            <v>1178347.2</v>
          </cell>
        </row>
        <row r="434">
          <cell r="E434" t="str">
            <v>F92100E</v>
          </cell>
          <cell r="H434">
            <v>-0.65000000000189173</v>
          </cell>
          <cell r="J434">
            <v>-0.65000000000189173</v>
          </cell>
        </row>
        <row r="435">
          <cell r="E435" t="str">
            <v>F92100E</v>
          </cell>
          <cell r="H435">
            <v>-378.58533900000003</v>
          </cell>
          <cell r="I435">
            <v>0.74738000000000004</v>
          </cell>
          <cell r="J435">
            <v>-378.58533900000003</v>
          </cell>
        </row>
        <row r="436">
          <cell r="E436" t="str">
            <v>F92100E</v>
          </cell>
          <cell r="H436">
            <v>163673.52000000002</v>
          </cell>
          <cell r="J436">
            <v>163673.52000000002</v>
          </cell>
        </row>
        <row r="437">
          <cell r="E437" t="str">
            <v>F92100E</v>
          </cell>
          <cell r="H437">
            <v>-6534830.3099999996</v>
          </cell>
          <cell r="J437">
            <v>-6534830.3099999996</v>
          </cell>
        </row>
        <row r="438">
          <cell r="E438" t="str">
            <v>F92100E</v>
          </cell>
          <cell r="H438">
            <v>105.50999999999999</v>
          </cell>
          <cell r="J438">
            <v>105.50999999999999</v>
          </cell>
        </row>
        <row r="439">
          <cell r="E439" t="str">
            <v>F92100E</v>
          </cell>
          <cell r="H439">
            <v>17.38</v>
          </cell>
          <cell r="J439">
            <v>17.38</v>
          </cell>
        </row>
        <row r="440">
          <cell r="E440" t="str">
            <v>F9210AE</v>
          </cell>
          <cell r="F440" t="str">
            <v>OFFICE SUPPLIES AND EXPENSES</v>
          </cell>
          <cell r="G440">
            <v>32832416.459999997</v>
          </cell>
          <cell r="I440">
            <v>0.74738000000000004</v>
          </cell>
          <cell r="J440">
            <v>32832416.459999997</v>
          </cell>
        </row>
        <row r="441">
          <cell r="E441" t="str">
            <v>F9210AE</v>
          </cell>
          <cell r="H441">
            <v>0</v>
          </cell>
          <cell r="J441">
            <v>0</v>
          </cell>
        </row>
        <row r="442">
          <cell r="E442" t="str">
            <v>F9210AE</v>
          </cell>
          <cell r="H442">
            <v>0</v>
          </cell>
          <cell r="J442">
            <v>0</v>
          </cell>
        </row>
        <row r="443">
          <cell r="E443" t="str">
            <v>F92101E</v>
          </cell>
          <cell r="F443" t="str">
            <v>OFFICE SUPPLIES AND EXPENSES - FLOW ADJ</v>
          </cell>
          <cell r="G443">
            <v>0.09</v>
          </cell>
          <cell r="H443">
            <v>0</v>
          </cell>
          <cell r="I443">
            <v>0.74738000000000004</v>
          </cell>
          <cell r="J443">
            <v>0.09</v>
          </cell>
        </row>
        <row r="444">
          <cell r="E444" t="str">
            <v>F92120E</v>
          </cell>
          <cell r="F444" t="str">
            <v>OFFICE SUPPLIES AND EXPENSES</v>
          </cell>
          <cell r="G444">
            <v>27.950000000000003</v>
          </cell>
          <cell r="J444">
            <v>27.950000000000003</v>
          </cell>
        </row>
        <row r="445">
          <cell r="E445" t="str">
            <v>F92140E</v>
          </cell>
          <cell r="F445" t="str">
            <v>OFFICE SUPPLIES AND EXPENSES</v>
          </cell>
          <cell r="G445">
            <v>-167160.67000000001</v>
          </cell>
          <cell r="H445">
            <v>0</v>
          </cell>
          <cell r="I445">
            <v>0.74738000000000004</v>
          </cell>
          <cell r="J445">
            <v>-167160.67000000001</v>
          </cell>
        </row>
        <row r="446">
          <cell r="E446" t="str">
            <v>F92170E</v>
          </cell>
          <cell r="F446" t="str">
            <v>OFFICE SUPPLIES AND EXPENSES-WA DOCS-EL</v>
          </cell>
          <cell r="G446">
            <v>0</v>
          </cell>
          <cell r="J446">
            <v>0</v>
          </cell>
        </row>
        <row r="447">
          <cell r="E447" t="str">
            <v>F92180E</v>
          </cell>
          <cell r="F447" t="str">
            <v>OFFICE SUPPLIES AND EXPENSES-MAT COST A</v>
          </cell>
          <cell r="G447">
            <v>0</v>
          </cell>
          <cell r="J447">
            <v>0</v>
          </cell>
        </row>
        <row r="448">
          <cell r="E448" t="str">
            <v>F92190E</v>
          </cell>
          <cell r="F448" t="str">
            <v>OFFICE SUPPLIES AND EXPENSES-OFFSET ADJ</v>
          </cell>
          <cell r="G448">
            <v>9170.43</v>
          </cell>
          <cell r="J448">
            <v>9170.43</v>
          </cell>
        </row>
        <row r="449">
          <cell r="E449" t="str">
            <v>F92200E</v>
          </cell>
          <cell r="F449" t="str">
            <v>ADMINISTRATIVE EXPENSES TRANSFERRED-CRE</v>
          </cell>
          <cell r="G449">
            <v>-2139419.77</v>
          </cell>
          <cell r="I449">
            <v>0.74738000000000004</v>
          </cell>
          <cell r="J449">
            <v>-2139419.77</v>
          </cell>
        </row>
        <row r="450">
          <cell r="E450" t="str">
            <v>F9220AE</v>
          </cell>
          <cell r="F450" t="str">
            <v>ADMINISTRATIVE EXPENSES TRANSFERRED-CRE</v>
          </cell>
          <cell r="G450">
            <v>0</v>
          </cell>
          <cell r="I450">
            <v>0.74738000000000004</v>
          </cell>
          <cell r="J450">
            <v>0</v>
          </cell>
        </row>
        <row r="451">
          <cell r="E451" t="str">
            <v>F922A0E</v>
          </cell>
          <cell r="F451" t="str">
            <v>ADMINISTRATIVE EXPENSES TRANSFERRED-CRE</v>
          </cell>
          <cell r="G451">
            <v>-4287682.58</v>
          </cell>
          <cell r="I451">
            <v>0.74738000000000004</v>
          </cell>
          <cell r="J451">
            <v>-4287682.58</v>
          </cell>
        </row>
        <row r="452">
          <cell r="E452" t="str">
            <v>F9220ZE</v>
          </cell>
          <cell r="F452" t="str">
            <v>ADMINISTRATIVE EXPENSES TRANSFERRED-CRE</v>
          </cell>
          <cell r="I452">
            <v>0.74738000000000004</v>
          </cell>
          <cell r="J452">
            <v>0</v>
          </cell>
        </row>
        <row r="453">
          <cell r="E453" t="str">
            <v>F92300E</v>
          </cell>
          <cell r="F453" t="str">
            <v>OUTSIDE SERVICES EMPLOYED</v>
          </cell>
          <cell r="G453">
            <v>1156664.7500000002</v>
          </cell>
          <cell r="I453">
            <v>0.74738000000000004</v>
          </cell>
          <cell r="J453">
            <v>1156664.7500000002</v>
          </cell>
        </row>
        <row r="454">
          <cell r="E454" t="str">
            <v>F9230AE</v>
          </cell>
          <cell r="F454" t="str">
            <v>OUTSIDE SERVICES EMPLOYED</v>
          </cell>
          <cell r="G454">
            <v>250132.36</v>
          </cell>
          <cell r="I454">
            <v>0.74738000000000004</v>
          </cell>
          <cell r="J454">
            <v>250132.36</v>
          </cell>
        </row>
        <row r="455">
          <cell r="E455" t="str">
            <v>F92400E</v>
          </cell>
          <cell r="F455" t="str">
            <v>PROPERTY INSURANCE</v>
          </cell>
          <cell r="G455">
            <v>-329708.23000000004</v>
          </cell>
          <cell r="I455">
            <v>0.74738000000000004</v>
          </cell>
          <cell r="J455">
            <v>-329708.23000000004</v>
          </cell>
        </row>
        <row r="456">
          <cell r="E456" t="str">
            <v>F92500E</v>
          </cell>
          <cell r="F456" t="str">
            <v>INJURIES AND DAMAGES</v>
          </cell>
          <cell r="G456">
            <v>5373752.5799999991</v>
          </cell>
          <cell r="H456">
            <v>0</v>
          </cell>
          <cell r="I456">
            <v>0.69545999999999997</v>
          </cell>
          <cell r="J456">
            <v>5373752.5799999991</v>
          </cell>
        </row>
        <row r="457">
          <cell r="E457" t="str">
            <v>F92500E</v>
          </cell>
          <cell r="J457">
            <v>0</v>
          </cell>
        </row>
        <row r="458">
          <cell r="E458" t="str">
            <v>F9250AE</v>
          </cell>
          <cell r="F458" t="str">
            <v>INJURIES AND DAMAGES CORPORATE SHARED SERV O&amp;M</v>
          </cell>
          <cell r="G458">
            <v>1357.98</v>
          </cell>
          <cell r="J458">
            <v>1357.98</v>
          </cell>
        </row>
        <row r="459">
          <cell r="E459" t="str">
            <v>F92510E</v>
          </cell>
          <cell r="F459" t="str">
            <v>INJURIES AND DAMAGES</v>
          </cell>
          <cell r="G459">
            <v>5695013.3500000015</v>
          </cell>
          <cell r="H459">
            <v>0</v>
          </cell>
          <cell r="I459">
            <v>0.69545999999999997</v>
          </cell>
          <cell r="J459">
            <v>5695013.3500000015</v>
          </cell>
        </row>
        <row r="460">
          <cell r="E460" t="str">
            <v>F92510E</v>
          </cell>
          <cell r="J460">
            <v>0</v>
          </cell>
        </row>
        <row r="461">
          <cell r="E461" t="str">
            <v>F92520E</v>
          </cell>
          <cell r="F461" t="str">
            <v>INJURIES AND DAMAGES</v>
          </cell>
          <cell r="G461">
            <v>347115.32</v>
          </cell>
          <cell r="J461">
            <v>347115.32</v>
          </cell>
        </row>
        <row r="462">
          <cell r="E462" t="str">
            <v>F92600E</v>
          </cell>
          <cell r="F462" t="str">
            <v>EMPLOYEE PENSIONS AND BENEFITS</v>
          </cell>
          <cell r="G462">
            <v>13030713.509999998</v>
          </cell>
          <cell r="H462">
            <v>-104222.59</v>
          </cell>
          <cell r="I462">
            <v>0.70125999999999999</v>
          </cell>
          <cell r="J462">
            <v>12926490.919999998</v>
          </cell>
        </row>
        <row r="463">
          <cell r="E463" t="str">
            <v>F92600E</v>
          </cell>
          <cell r="J463">
            <v>0</v>
          </cell>
        </row>
        <row r="464">
          <cell r="E464" t="str">
            <v>F9260AE</v>
          </cell>
          <cell r="F464" t="str">
            <v>EMPLOYEE PENSIONS AND BENEFITS</v>
          </cell>
          <cell r="G464">
            <v>7612063.7700000014</v>
          </cell>
          <cell r="J464">
            <v>7612063.7700000014</v>
          </cell>
        </row>
        <row r="465">
          <cell r="E465" t="str">
            <v>F9260AE</v>
          </cell>
          <cell r="H465">
            <v>0</v>
          </cell>
          <cell r="J465">
            <v>0</v>
          </cell>
        </row>
        <row r="466">
          <cell r="E466" t="str">
            <v>F9260AE</v>
          </cell>
          <cell r="H466">
            <v>0</v>
          </cell>
          <cell r="J466">
            <v>0</v>
          </cell>
        </row>
        <row r="467">
          <cell r="E467" t="str">
            <v>F92800E</v>
          </cell>
          <cell r="F467" t="str">
            <v>REGULATORY COMMISSION EXPENSES</v>
          </cell>
          <cell r="G467">
            <v>9738480.25</v>
          </cell>
          <cell r="H467">
            <v>0</v>
          </cell>
          <cell r="I467">
            <v>0.74738000000000004</v>
          </cell>
          <cell r="J467">
            <v>9738480.25</v>
          </cell>
        </row>
        <row r="468">
          <cell r="E468" t="str">
            <v>F92800E</v>
          </cell>
          <cell r="J468">
            <v>0</v>
          </cell>
        </row>
        <row r="469">
          <cell r="E469" t="str">
            <v>F9280AE</v>
          </cell>
          <cell r="F469" t="str">
            <v>REGULATORY COMMISSION EXPENSES</v>
          </cell>
          <cell r="G469">
            <v>6681833</v>
          </cell>
          <cell r="H469">
            <v>0</v>
          </cell>
          <cell r="J469">
            <v>6681833</v>
          </cell>
        </row>
        <row r="470">
          <cell r="E470" t="str">
            <v>F9280AE</v>
          </cell>
          <cell r="J470">
            <v>0</v>
          </cell>
        </row>
        <row r="471">
          <cell r="E471" t="str">
            <v>F9280AE</v>
          </cell>
          <cell r="H471">
            <v>-8343870.9299999997</v>
          </cell>
          <cell r="J471">
            <v>-8343870.9299999997</v>
          </cell>
        </row>
        <row r="472">
          <cell r="E472" t="str">
            <v>F92850E</v>
          </cell>
          <cell r="F472" t="str">
            <v>REGULATORY COMMISSION EXPENSES</v>
          </cell>
          <cell r="G472">
            <v>0</v>
          </cell>
          <cell r="J472">
            <v>0</v>
          </cell>
        </row>
        <row r="473">
          <cell r="E473" t="str">
            <v>F92900E</v>
          </cell>
          <cell r="F473" t="str">
            <v>DUPLICATE CHARGES-CR.</v>
          </cell>
          <cell r="G473">
            <v>-590663.17000000004</v>
          </cell>
          <cell r="J473">
            <v>-590663.17000000004</v>
          </cell>
        </row>
        <row r="474">
          <cell r="E474" t="str">
            <v>F93001E</v>
          </cell>
          <cell r="F474" t="str">
            <v xml:space="preserve">AFFIL BILLING - SE CORPORATE (1100)      </v>
          </cell>
          <cell r="G474">
            <v>-0.04</v>
          </cell>
          <cell r="H474">
            <v>0.04</v>
          </cell>
          <cell r="J474">
            <v>0</v>
          </cell>
        </row>
        <row r="475">
          <cell r="E475" t="str">
            <v>F93001E</v>
          </cell>
          <cell r="J475">
            <v>0</v>
          </cell>
        </row>
        <row r="476">
          <cell r="E476" t="str">
            <v>F93002E</v>
          </cell>
          <cell r="F476" t="str">
            <v xml:space="preserve">AFFIL BILLING - SE FINANCE (4600)        </v>
          </cell>
          <cell r="G476">
            <v>-826.51</v>
          </cell>
          <cell r="H476">
            <v>826.51</v>
          </cell>
          <cell r="J476">
            <v>0</v>
          </cell>
        </row>
        <row r="477">
          <cell r="E477" t="str">
            <v>F93002E</v>
          </cell>
          <cell r="J477">
            <v>0</v>
          </cell>
        </row>
        <row r="478">
          <cell r="E478" t="str">
            <v>F93003E</v>
          </cell>
          <cell r="F478" t="str">
            <v xml:space="preserve">AFFIL BILLING - SE CONNECTIONS (4900)    </v>
          </cell>
          <cell r="G478">
            <v>0</v>
          </cell>
          <cell r="H478">
            <v>0</v>
          </cell>
          <cell r="J478">
            <v>0</v>
          </cell>
        </row>
        <row r="479">
          <cell r="E479" t="str">
            <v>F93003E</v>
          </cell>
          <cell r="J479">
            <v>0</v>
          </cell>
        </row>
        <row r="480">
          <cell r="E480" t="str">
            <v>F93004E</v>
          </cell>
          <cell r="F480" t="str">
            <v xml:space="preserve">AFFIL BILLING - SE COMMUNICATIONS (4185) </v>
          </cell>
          <cell r="G480">
            <v>0</v>
          </cell>
          <cell r="H480">
            <v>0</v>
          </cell>
          <cell r="J480">
            <v>0</v>
          </cell>
        </row>
        <row r="481">
          <cell r="E481" t="str">
            <v>F93004E</v>
          </cell>
          <cell r="J481">
            <v>0</v>
          </cell>
        </row>
        <row r="482">
          <cell r="E482" t="str">
            <v>F93005E</v>
          </cell>
          <cell r="F482" t="str">
            <v xml:space="preserve">AFFIL BILLING - SE RESOURCES (5000)      </v>
          </cell>
          <cell r="G482">
            <v>-6370.08</v>
          </cell>
          <cell r="H482">
            <v>6370.079999999999</v>
          </cell>
          <cell r="J482">
            <v>0</v>
          </cell>
        </row>
        <row r="483">
          <cell r="E483" t="str">
            <v>F93005E</v>
          </cell>
          <cell r="J483">
            <v>0</v>
          </cell>
        </row>
        <row r="484">
          <cell r="E484" t="str">
            <v>F93006E</v>
          </cell>
          <cell r="F484" t="str">
            <v xml:space="preserve">AFFIL BILLING - SE INTERNATIONAL (4200)  </v>
          </cell>
          <cell r="G484">
            <v>-18577.61</v>
          </cell>
          <cell r="H484">
            <v>18577.61</v>
          </cell>
          <cell r="J484">
            <v>0</v>
          </cell>
        </row>
        <row r="485">
          <cell r="E485" t="str">
            <v>F93006E</v>
          </cell>
          <cell r="J485">
            <v>0</v>
          </cell>
        </row>
        <row r="486">
          <cell r="E486" t="str">
            <v>F93007E</v>
          </cell>
          <cell r="F486" t="str">
            <v xml:space="preserve">AFFIL BILLING - SE GLOBAL (4190)         </v>
          </cell>
          <cell r="G486">
            <v>0</v>
          </cell>
          <cell r="H486">
            <v>0</v>
          </cell>
          <cell r="J486">
            <v>0</v>
          </cell>
        </row>
        <row r="487">
          <cell r="E487" t="str">
            <v>F93007E</v>
          </cell>
          <cell r="J487">
            <v>0</v>
          </cell>
        </row>
        <row r="488">
          <cell r="E488" t="str">
            <v>F93008E</v>
          </cell>
          <cell r="F488" t="str">
            <v xml:space="preserve">AFFIL BILLING - SE VENTURE (4950)        </v>
          </cell>
          <cell r="G488">
            <v>-145.46</v>
          </cell>
          <cell r="H488">
            <v>145.46</v>
          </cell>
          <cell r="J488">
            <v>0</v>
          </cell>
        </row>
        <row r="489">
          <cell r="E489" t="str">
            <v>F93008E</v>
          </cell>
          <cell r="J489">
            <v>0</v>
          </cell>
        </row>
        <row r="490">
          <cell r="E490" t="str">
            <v>F93010E</v>
          </cell>
          <cell r="F490" t="str">
            <v>GENERAL ADVERTISING EXPENSES</v>
          </cell>
          <cell r="G490">
            <v>239.68</v>
          </cell>
          <cell r="J490">
            <v>239.68</v>
          </cell>
        </row>
        <row r="491">
          <cell r="E491" t="str">
            <v>F93011E</v>
          </cell>
          <cell r="F491" t="str">
            <v xml:space="preserve">AFFIL BILLING - SE INFORMATION SOLUTIONS (4500) </v>
          </cell>
          <cell r="G491">
            <v>0</v>
          </cell>
          <cell r="J491">
            <v>0</v>
          </cell>
        </row>
        <row r="492">
          <cell r="E492" t="str">
            <v>F93012E</v>
          </cell>
          <cell r="F492" t="str">
            <v>AFFIL BILLING - SE FIBER LINKS (4960)</v>
          </cell>
          <cell r="G492">
            <v>-3598.39</v>
          </cell>
          <cell r="H492">
            <v>3598.39</v>
          </cell>
          <cell r="J492">
            <v>0</v>
          </cell>
        </row>
        <row r="493">
          <cell r="E493" t="str">
            <v>F93012E</v>
          </cell>
          <cell r="J493">
            <v>0</v>
          </cell>
        </row>
        <row r="494">
          <cell r="E494" t="str">
            <v>F93013E</v>
          </cell>
          <cell r="F494" t="str">
            <v>AFFIL BILLING - SE TRADING (4370)</v>
          </cell>
          <cell r="G494">
            <v>-10261.799999999999</v>
          </cell>
          <cell r="H494">
            <v>10261.800000000001</v>
          </cell>
          <cell r="J494">
            <v>0</v>
          </cell>
        </row>
        <row r="495">
          <cell r="E495" t="str">
            <v>F93013E</v>
          </cell>
          <cell r="J495">
            <v>0</v>
          </cell>
        </row>
        <row r="496">
          <cell r="E496" t="str">
            <v>F93014E</v>
          </cell>
          <cell r="F496" t="str">
            <v>AFFIL BILLING - SE SOLUTIONS (4192)</v>
          </cell>
          <cell r="G496">
            <v>-72658.45</v>
          </cell>
          <cell r="H496">
            <v>72658.45</v>
          </cell>
          <cell r="J496">
            <v>0</v>
          </cell>
        </row>
        <row r="497">
          <cell r="E497" t="str">
            <v>F93014E</v>
          </cell>
          <cell r="J497">
            <v>0</v>
          </cell>
        </row>
        <row r="498">
          <cell r="E498" t="str">
            <v>F93019E</v>
          </cell>
          <cell r="F498" t="str">
            <v xml:space="preserve">SDGE FLOW CORR FOR BILLING $ STRANDED TO F93019E </v>
          </cell>
          <cell r="G498">
            <v>-1524.8600000000001</v>
          </cell>
          <cell r="H498">
            <v>2742.86</v>
          </cell>
          <cell r="J498">
            <v>1218</v>
          </cell>
        </row>
        <row r="499">
          <cell r="E499" t="str">
            <v>F93019E</v>
          </cell>
          <cell r="J499">
            <v>0</v>
          </cell>
        </row>
        <row r="500">
          <cell r="E500" t="str">
            <v>F93020E</v>
          </cell>
          <cell r="F500" t="str">
            <v>MISCELLANEOUS GENERAL EXPENSES</v>
          </cell>
          <cell r="G500">
            <v>27378184.98</v>
          </cell>
          <cell r="H500">
            <v>-1408.77</v>
          </cell>
          <cell r="I500">
            <v>0.74738000000000004</v>
          </cell>
          <cell r="J500">
            <v>27376776.210000001</v>
          </cell>
        </row>
        <row r="501">
          <cell r="E501" t="str">
            <v>F93020E</v>
          </cell>
          <cell r="J501">
            <v>0</v>
          </cell>
        </row>
        <row r="502">
          <cell r="E502" t="str">
            <v>F93020E</v>
          </cell>
          <cell r="H502">
            <v>5286050.32</v>
          </cell>
          <cell r="J502">
            <v>5286050.32</v>
          </cell>
        </row>
        <row r="503">
          <cell r="E503" t="str">
            <v>F93020E</v>
          </cell>
          <cell r="H503">
            <v>0</v>
          </cell>
          <cell r="J503">
            <v>0</v>
          </cell>
        </row>
        <row r="504">
          <cell r="E504" t="str">
            <v>F93021C</v>
          </cell>
          <cell r="F504" t="str">
            <v>MISCELLANEOUS GENERAL EXPENSES - ADJ</v>
          </cell>
          <cell r="G504">
            <v>0</v>
          </cell>
          <cell r="J504">
            <v>0</v>
          </cell>
        </row>
        <row r="505">
          <cell r="E505" t="str">
            <v>F93022E</v>
          </cell>
          <cell r="F505" t="str">
            <v>MISCELLANEOUS GENERAL EXPENSES</v>
          </cell>
          <cell r="G505">
            <v>0</v>
          </cell>
          <cell r="I505">
            <v>0.74738000000000004</v>
          </cell>
          <cell r="J505">
            <v>0</v>
          </cell>
        </row>
        <row r="506">
          <cell r="E506" t="str">
            <v>F93030E</v>
          </cell>
          <cell r="F506" t="str">
            <v>MISC GENERAL EXP-AFFIL. BILLING</v>
          </cell>
          <cell r="G506">
            <v>0</v>
          </cell>
          <cell r="H506">
            <v>0</v>
          </cell>
          <cell r="J506">
            <v>0</v>
          </cell>
        </row>
        <row r="507">
          <cell r="E507" t="str">
            <v>F93030E</v>
          </cell>
          <cell r="J507">
            <v>0</v>
          </cell>
        </row>
        <row r="508">
          <cell r="E508" t="str">
            <v>F93031E</v>
          </cell>
          <cell r="F508" t="str">
            <v>INTERCO BILLING - SCG TO SDGE</v>
          </cell>
          <cell r="G508">
            <v>0</v>
          </cell>
          <cell r="J508">
            <v>0</v>
          </cell>
        </row>
        <row r="509">
          <cell r="E509" t="str">
            <v>F93040E</v>
          </cell>
          <cell r="F509" t="str">
            <v>EMERGING BUSINESS ENT. COSTS</v>
          </cell>
          <cell r="G509">
            <v>0</v>
          </cell>
          <cell r="J509">
            <v>0</v>
          </cell>
        </row>
        <row r="510">
          <cell r="E510" t="str">
            <v>F93080E</v>
          </cell>
          <cell r="F510" t="str">
            <v>MISC A&amp;G- AFFILIATE IT SERVICES</v>
          </cell>
          <cell r="G510">
            <v>0</v>
          </cell>
          <cell r="J510">
            <v>0</v>
          </cell>
        </row>
        <row r="511">
          <cell r="E511" t="str">
            <v>F93100E</v>
          </cell>
          <cell r="F511" t="str">
            <v>RENTS</v>
          </cell>
          <cell r="G511">
            <v>4348570.3</v>
          </cell>
          <cell r="H511">
            <v>0</v>
          </cell>
          <cell r="J511">
            <v>4348570.3</v>
          </cell>
        </row>
        <row r="512">
          <cell r="E512" t="str">
            <v>F93100E</v>
          </cell>
          <cell r="J512">
            <v>0</v>
          </cell>
        </row>
        <row r="513">
          <cell r="E513" t="str">
            <v xml:space="preserve">   Electric Administrative and General</v>
          </cell>
          <cell r="G513">
            <v>136095785.71000001</v>
          </cell>
          <cell r="H513">
            <v>-9583357.4253389984</v>
          </cell>
          <cell r="J513">
            <v>126512428.28466098</v>
          </cell>
        </row>
        <row r="515">
          <cell r="E515" t="str">
            <v>F92000G</v>
          </cell>
          <cell r="F515" t="str">
            <v>ADMINISTRATIVE AND GENERAL SALARIES</v>
          </cell>
          <cell r="G515">
            <v>7127874.9299999997</v>
          </cell>
          <cell r="H515">
            <v>-396872.94</v>
          </cell>
          <cell r="I515">
            <v>0.25262000000000001</v>
          </cell>
          <cell r="J515">
            <v>6731001.9899999993</v>
          </cell>
        </row>
        <row r="516">
          <cell r="E516" t="str">
            <v>F92000G</v>
          </cell>
          <cell r="J516">
            <v>0</v>
          </cell>
        </row>
        <row r="517">
          <cell r="E517" t="str">
            <v>F92000G</v>
          </cell>
          <cell r="H517">
            <v>-55172.17</v>
          </cell>
          <cell r="J517">
            <v>-55172.17</v>
          </cell>
        </row>
        <row r="518">
          <cell r="E518" t="str">
            <v>F9200AG</v>
          </cell>
          <cell r="F518" t="str">
            <v>ADMINISTRATIVE AND GENERAL SALARIES</v>
          </cell>
          <cell r="G518">
            <v>0</v>
          </cell>
          <cell r="H518">
            <v>0</v>
          </cell>
          <cell r="J518">
            <v>0</v>
          </cell>
        </row>
        <row r="519">
          <cell r="E519" t="str">
            <v>F9200AG</v>
          </cell>
          <cell r="J519">
            <v>0</v>
          </cell>
        </row>
        <row r="520">
          <cell r="E520" t="str">
            <v>F92090G</v>
          </cell>
          <cell r="F520" t="str">
            <v>ADMINISTRATIVE AND GENERAL SALARIES</v>
          </cell>
          <cell r="G520">
            <v>0</v>
          </cell>
          <cell r="J520">
            <v>0</v>
          </cell>
        </row>
        <row r="521">
          <cell r="E521" t="str">
            <v>F92100G</v>
          </cell>
          <cell r="F521" t="str">
            <v>OFFICE SUPPLIES AND EXPENSES</v>
          </cell>
          <cell r="G521">
            <v>2670462.9300000002</v>
          </cell>
          <cell r="I521">
            <v>0.25262000000000001</v>
          </cell>
          <cell r="J521">
            <v>2670462.9300000002</v>
          </cell>
        </row>
        <row r="522">
          <cell r="E522" t="str">
            <v>F92100G</v>
          </cell>
          <cell r="H522">
            <v>396872.94</v>
          </cell>
          <cell r="J522">
            <v>396872.94</v>
          </cell>
        </row>
        <row r="523">
          <cell r="E523" t="str">
            <v>F92100G</v>
          </cell>
          <cell r="H523">
            <v>-127.96466100000001</v>
          </cell>
          <cell r="I523">
            <v>0.25262000000000001</v>
          </cell>
          <cell r="J523">
            <v>-127.96466100000001</v>
          </cell>
        </row>
        <row r="524">
          <cell r="E524" t="str">
            <v>F92100G</v>
          </cell>
          <cell r="H524">
            <v>-0.16</v>
          </cell>
          <cell r="J524">
            <v>-0.16</v>
          </cell>
        </row>
        <row r="525">
          <cell r="E525" t="str">
            <v>F92100G</v>
          </cell>
          <cell r="H525">
            <v>55172.17</v>
          </cell>
          <cell r="J525">
            <v>55172.17</v>
          </cell>
        </row>
        <row r="526">
          <cell r="E526" t="str">
            <v>F92100G</v>
          </cell>
          <cell r="H526">
            <v>-2208810.25</v>
          </cell>
          <cell r="J526">
            <v>-2208810.25</v>
          </cell>
        </row>
        <row r="527">
          <cell r="E527" t="str">
            <v>F9210AG</v>
          </cell>
          <cell r="F527" t="str">
            <v>OFFICE SUPPLIES AND EXPENSES</v>
          </cell>
          <cell r="G527">
            <v>10969685.1</v>
          </cell>
          <cell r="I527">
            <v>0.25262000000000001</v>
          </cell>
          <cell r="J527">
            <v>10969685.1</v>
          </cell>
        </row>
        <row r="528">
          <cell r="E528" t="str">
            <v>F9210AG</v>
          </cell>
          <cell r="H528">
            <v>0</v>
          </cell>
          <cell r="J528">
            <v>0</v>
          </cell>
        </row>
        <row r="529">
          <cell r="E529" t="str">
            <v>F9210AG</v>
          </cell>
          <cell r="H529">
            <v>0</v>
          </cell>
          <cell r="J529">
            <v>0</v>
          </cell>
        </row>
        <row r="530">
          <cell r="E530" t="str">
            <v>F92101G</v>
          </cell>
          <cell r="F530" t="str">
            <v>OFFICE SUPPLIES AND EXPENSES - FLOW ADJ</v>
          </cell>
          <cell r="G530">
            <v>0</v>
          </cell>
          <cell r="I530">
            <v>0.25262000000000001</v>
          </cell>
          <cell r="J530">
            <v>0</v>
          </cell>
        </row>
        <row r="531">
          <cell r="E531" t="str">
            <v>F9210YG</v>
          </cell>
          <cell r="F531" t="str">
            <v>OFFICE SUPPLIES AND EXPENSES - FLOW ADJ</v>
          </cell>
          <cell r="I531">
            <v>0.25262000000000001</v>
          </cell>
          <cell r="J531">
            <v>0</v>
          </cell>
        </row>
        <row r="532">
          <cell r="E532" t="str">
            <v>F92120G</v>
          </cell>
          <cell r="F532" t="str">
            <v>OFFICE SUPPLIES AND</v>
          </cell>
          <cell r="G532">
            <v>9.4400000000000013</v>
          </cell>
          <cell r="J532">
            <v>9.4400000000000013</v>
          </cell>
        </row>
        <row r="533">
          <cell r="E533" t="str">
            <v>F92140G</v>
          </cell>
          <cell r="F533" t="str">
            <v>OFFICE SUPPLIES AND</v>
          </cell>
          <cell r="G533">
            <v>-55889.39</v>
          </cell>
          <cell r="I533">
            <v>0.25262000000000001</v>
          </cell>
          <cell r="J533">
            <v>-55889.39</v>
          </cell>
        </row>
        <row r="534">
          <cell r="E534" t="str">
            <v>F92170G</v>
          </cell>
          <cell r="F534" t="str">
            <v>OFFICE SUPPLIES AND EXPENSES-WA DOCS-GA</v>
          </cell>
          <cell r="G534">
            <v>0</v>
          </cell>
          <cell r="J534">
            <v>0</v>
          </cell>
        </row>
        <row r="535">
          <cell r="E535" t="str">
            <v>F92180G</v>
          </cell>
          <cell r="F535" t="str">
            <v>OFFICE SUPPLIES AND EXPENSES-MAT COST A</v>
          </cell>
          <cell r="G535">
            <v>0</v>
          </cell>
          <cell r="J535">
            <v>0</v>
          </cell>
        </row>
        <row r="536">
          <cell r="E536" t="str">
            <v>F92190G</v>
          </cell>
          <cell r="F536" t="str">
            <v>OFFICE SUPPLIES AND EXPENSES-OFFSET ADJ</v>
          </cell>
          <cell r="G536">
            <v>2982.24</v>
          </cell>
          <cell r="J536">
            <v>2982.24</v>
          </cell>
        </row>
        <row r="537">
          <cell r="E537" t="str">
            <v>F92200G</v>
          </cell>
          <cell r="F537" t="str">
            <v>ADMINISTRATIVE EXPENSES TRANSFERRED-CRE</v>
          </cell>
          <cell r="G537">
            <v>-711162.67999999993</v>
          </cell>
          <cell r="I537">
            <v>0.25262000000000001</v>
          </cell>
          <cell r="J537">
            <v>-711162.67999999993</v>
          </cell>
        </row>
        <row r="538">
          <cell r="E538" t="str">
            <v>F9220AG</v>
          </cell>
          <cell r="F538" t="str">
            <v>ADMINISTRATIVE EXPENSES TRANSFERRED-CRE</v>
          </cell>
          <cell r="G538">
            <v>0</v>
          </cell>
          <cell r="I538">
            <v>0.25262000000000001</v>
          </cell>
          <cell r="J538">
            <v>0</v>
          </cell>
        </row>
        <row r="539">
          <cell r="E539" t="str">
            <v>F922A0G</v>
          </cell>
          <cell r="F539" t="str">
            <v>ADMINISTRATIVE EXPENSES TRANSFERRED-CRE</v>
          </cell>
          <cell r="G539">
            <v>-1432333.47</v>
          </cell>
          <cell r="I539">
            <v>0.25262000000000001</v>
          </cell>
          <cell r="J539">
            <v>-1432333.47</v>
          </cell>
        </row>
        <row r="540">
          <cell r="E540" t="str">
            <v>F9220ZG</v>
          </cell>
          <cell r="F540" t="str">
            <v>ADMINISTRATIVE EXPENSES TRANSFERRED-CRE</v>
          </cell>
          <cell r="I540">
            <v>0.25262000000000001</v>
          </cell>
          <cell r="J540">
            <v>0</v>
          </cell>
        </row>
        <row r="541">
          <cell r="E541" t="str">
            <v>F92300G</v>
          </cell>
          <cell r="F541" t="str">
            <v>OUTSIDE SERVICES EMPLOYED</v>
          </cell>
          <cell r="G541">
            <v>8900791.3900000025</v>
          </cell>
          <cell r="I541">
            <v>0.25262000000000001</v>
          </cell>
          <cell r="J541">
            <v>8900791.3900000025</v>
          </cell>
        </row>
        <row r="542">
          <cell r="E542" t="str">
            <v>F9230AG</v>
          </cell>
          <cell r="F542" t="str">
            <v>OUTSIDE SERVICES EMPLOYED</v>
          </cell>
          <cell r="G542">
            <v>84546.64</v>
          </cell>
          <cell r="I542">
            <v>0.25262000000000001</v>
          </cell>
          <cell r="J542">
            <v>84546.64</v>
          </cell>
        </row>
        <row r="543">
          <cell r="E543" t="str">
            <v>F9230AG</v>
          </cell>
          <cell r="H543">
            <v>10835233.57</v>
          </cell>
          <cell r="J543">
            <v>10835233.57</v>
          </cell>
        </row>
        <row r="544">
          <cell r="E544" t="str">
            <v>F92400G</v>
          </cell>
          <cell r="F544" t="str">
            <v>PROPERTY INSURANCE</v>
          </cell>
          <cell r="G544">
            <v>86184.93</v>
          </cell>
          <cell r="I544">
            <v>0.25262000000000001</v>
          </cell>
          <cell r="J544">
            <v>86184.93</v>
          </cell>
        </row>
        <row r="545">
          <cell r="E545" t="str">
            <v>F92500G</v>
          </cell>
          <cell r="F545" t="str">
            <v>INJURIES AND DAMAGES</v>
          </cell>
          <cell r="G545">
            <v>2213768.64</v>
          </cell>
          <cell r="H545">
            <v>0</v>
          </cell>
          <cell r="I545">
            <v>0.30453999999999998</v>
          </cell>
          <cell r="J545">
            <v>2213768.64</v>
          </cell>
        </row>
        <row r="546">
          <cell r="E546" t="str">
            <v>F92500G</v>
          </cell>
          <cell r="J546">
            <v>0</v>
          </cell>
        </row>
        <row r="547">
          <cell r="E547" t="str">
            <v>F9250AG</v>
          </cell>
          <cell r="F547" t="str">
            <v>INJURIES AND DAMAGES CORPORATE SHARED SERV O&amp;M</v>
          </cell>
          <cell r="G547">
            <v>594.66</v>
          </cell>
          <cell r="J547">
            <v>594.66</v>
          </cell>
        </row>
        <row r="548">
          <cell r="E548" t="str">
            <v>F92510G</v>
          </cell>
          <cell r="F548" t="str">
            <v>INJURIES AND DAMAGES</v>
          </cell>
          <cell r="G548">
            <v>2225590.7800000003</v>
          </cell>
          <cell r="H548">
            <v>0</v>
          </cell>
          <cell r="I548">
            <v>0.30453999999999998</v>
          </cell>
          <cell r="J548">
            <v>2225590.7800000003</v>
          </cell>
        </row>
        <row r="549">
          <cell r="E549" t="str">
            <v>F92510G</v>
          </cell>
          <cell r="J549">
            <v>0</v>
          </cell>
        </row>
        <row r="550">
          <cell r="E550" t="str">
            <v>F92520G</v>
          </cell>
          <cell r="F550" t="str">
            <v>INJURIES AND DAMAGES</v>
          </cell>
          <cell r="G550">
            <v>4.08</v>
          </cell>
          <cell r="J550">
            <v>4.08</v>
          </cell>
        </row>
        <row r="551">
          <cell r="E551" t="str">
            <v>F92600G</v>
          </cell>
          <cell r="F551" t="str">
            <v>EMPLOYEE PENSIONS AND BENEFITS</v>
          </cell>
          <cell r="G551">
            <v>5508248.2699999996</v>
          </cell>
          <cell r="H551">
            <v>-44399.3</v>
          </cell>
          <cell r="I551">
            <v>0.29874000000000001</v>
          </cell>
          <cell r="J551">
            <v>5463848.9699999997</v>
          </cell>
        </row>
        <row r="552">
          <cell r="E552" t="str">
            <v>F92600G</v>
          </cell>
          <cell r="J552">
            <v>0</v>
          </cell>
        </row>
        <row r="553">
          <cell r="E553" t="str">
            <v>F9260AG</v>
          </cell>
          <cell r="F553" t="str">
            <v>EMPLOYEE PENSIONS AND BENEFITS</v>
          </cell>
          <cell r="G553">
            <v>2505055.2399999998</v>
          </cell>
          <cell r="J553">
            <v>2505055.2399999998</v>
          </cell>
        </row>
        <row r="554">
          <cell r="E554" t="str">
            <v>F9260AG</v>
          </cell>
          <cell r="H554">
            <v>0</v>
          </cell>
          <cell r="J554">
            <v>0</v>
          </cell>
        </row>
        <row r="555">
          <cell r="E555" t="str">
            <v>F9260AG</v>
          </cell>
          <cell r="H555">
            <v>0</v>
          </cell>
          <cell r="J555">
            <v>0</v>
          </cell>
        </row>
        <row r="556">
          <cell r="E556" t="str">
            <v>F92800G</v>
          </cell>
          <cell r="F556" t="str">
            <v>REGULATORY COMMISSION EXPENSES</v>
          </cell>
          <cell r="G556">
            <v>2857027.3699999996</v>
          </cell>
          <cell r="H556">
            <v>0</v>
          </cell>
          <cell r="I556">
            <v>0.25262000000000001</v>
          </cell>
          <cell r="J556">
            <v>2857027.3699999996</v>
          </cell>
        </row>
        <row r="557">
          <cell r="E557" t="str">
            <v>F92800G</v>
          </cell>
          <cell r="J557">
            <v>0</v>
          </cell>
        </row>
        <row r="558">
          <cell r="E558" t="str">
            <v>F9280AG</v>
          </cell>
          <cell r="F558" t="str">
            <v>REGULATORY COMMISSION EXPENSES</v>
          </cell>
          <cell r="G558">
            <v>2212457.86</v>
          </cell>
          <cell r="H558">
            <v>0</v>
          </cell>
          <cell r="J558">
            <v>2212457.86</v>
          </cell>
        </row>
        <row r="559">
          <cell r="E559" t="str">
            <v>F9280AG</v>
          </cell>
          <cell r="J559">
            <v>0</v>
          </cell>
        </row>
        <row r="560">
          <cell r="E560" t="str">
            <v>F9280AG</v>
          </cell>
          <cell r="H560">
            <v>-2491362.64</v>
          </cell>
          <cell r="J560">
            <v>-2491362.64</v>
          </cell>
        </row>
        <row r="561">
          <cell r="E561" t="str">
            <v>F92850G</v>
          </cell>
          <cell r="F561" t="str">
            <v>REGULATORY COMMISSION EXPENSES</v>
          </cell>
          <cell r="G561">
            <v>0</v>
          </cell>
          <cell r="J561">
            <v>0</v>
          </cell>
        </row>
        <row r="562">
          <cell r="E562" t="str">
            <v>F93010G</v>
          </cell>
          <cell r="F562" t="str">
            <v>GENERAL ADVERTISING EXPENSES</v>
          </cell>
          <cell r="G562">
            <v>79.560000000000031</v>
          </cell>
          <cell r="I562">
            <v>0.25262000000000001</v>
          </cell>
          <cell r="J562">
            <v>79.560000000000031</v>
          </cell>
        </row>
        <row r="563">
          <cell r="E563" t="str">
            <v>F93020G</v>
          </cell>
          <cell r="F563" t="str">
            <v>MISCELLANEOUS GENERAL EXPENSES</v>
          </cell>
          <cell r="G563">
            <v>4441695.54</v>
          </cell>
          <cell r="H563">
            <v>-715.06999999999994</v>
          </cell>
          <cell r="I563">
            <v>0.25262000000000001</v>
          </cell>
          <cell r="J563">
            <v>4440980.47</v>
          </cell>
        </row>
        <row r="564">
          <cell r="E564" t="str">
            <v>F93020G</v>
          </cell>
          <cell r="J564">
            <v>0</v>
          </cell>
        </row>
        <row r="565">
          <cell r="E565" t="str">
            <v>F93020G</v>
          </cell>
          <cell r="H565">
            <v>3457590.24</v>
          </cell>
          <cell r="J565">
            <v>3457590.24</v>
          </cell>
        </row>
        <row r="566">
          <cell r="E566" t="str">
            <v>F93020G</v>
          </cell>
          <cell r="H566">
            <v>0</v>
          </cell>
          <cell r="J566">
            <v>0</v>
          </cell>
        </row>
        <row r="567">
          <cell r="E567" t="str">
            <v>F93022G</v>
          </cell>
          <cell r="F567" t="str">
            <v>MISCELLANEOUS GENERAL EXPENSES</v>
          </cell>
          <cell r="G567">
            <v>0</v>
          </cell>
          <cell r="I567">
            <v>0.25262000000000001</v>
          </cell>
          <cell r="J567">
            <v>0</v>
          </cell>
        </row>
        <row r="568">
          <cell r="E568" t="str">
            <v>F93030G</v>
          </cell>
          <cell r="F568" t="str">
            <v>MISC GENERAL EXP-AFFIL. BILLING</v>
          </cell>
          <cell r="G568">
            <v>0</v>
          </cell>
          <cell r="H568">
            <v>0</v>
          </cell>
          <cell r="J568">
            <v>0</v>
          </cell>
        </row>
        <row r="569">
          <cell r="E569" t="str">
            <v>F93031G</v>
          </cell>
          <cell r="F569" t="str">
            <v>INTERCO BILLING - SCG TO SDGE</v>
          </cell>
          <cell r="G569">
            <v>0</v>
          </cell>
          <cell r="J569">
            <v>0</v>
          </cell>
        </row>
        <row r="570">
          <cell r="E570" t="str">
            <v>F93040G</v>
          </cell>
          <cell r="F570" t="str">
            <v>FLEET COSTS</v>
          </cell>
          <cell r="G570">
            <v>0</v>
          </cell>
          <cell r="J570">
            <v>0</v>
          </cell>
        </row>
        <row r="571">
          <cell r="E571" t="str">
            <v>F93080G</v>
          </cell>
          <cell r="F571" t="str">
            <v>MISC A&amp;G- AFFILIATE IT SERVICES</v>
          </cell>
          <cell r="G571">
            <v>0</v>
          </cell>
          <cell r="J571">
            <v>0</v>
          </cell>
        </row>
        <row r="572">
          <cell r="E572" t="str">
            <v>F93100G</v>
          </cell>
          <cell r="F572" t="str">
            <v>RENTS</v>
          </cell>
          <cell r="G572">
            <v>1463250.63</v>
          </cell>
          <cell r="H572">
            <v>0</v>
          </cell>
          <cell r="I572">
            <v>0.25262000000000001</v>
          </cell>
          <cell r="J572">
            <v>1463250.63</v>
          </cell>
        </row>
        <row r="573">
          <cell r="E573" t="str">
            <v>F93100G</v>
          </cell>
          <cell r="J573">
            <v>0</v>
          </cell>
        </row>
        <row r="574">
          <cell r="E574" t="str">
            <v xml:space="preserve">   Gas Administrative and General</v>
          </cell>
          <cell r="G574">
            <v>51070924.690000005</v>
          </cell>
          <cell r="H574">
            <v>9547408.4253389984</v>
          </cell>
          <cell r="J574">
            <v>60618333.115339004</v>
          </cell>
        </row>
        <row r="576">
          <cell r="E576" t="str">
            <v xml:space="preserve">  Administrative and General</v>
          </cell>
          <cell r="G576">
            <v>187166710.40000001</v>
          </cell>
          <cell r="H576">
            <v>-35949</v>
          </cell>
          <cell r="J576">
            <v>187130761.39999998</v>
          </cell>
        </row>
        <row r="578">
          <cell r="E578" t="str">
            <v>F92700C</v>
          </cell>
          <cell r="F578" t="str">
            <v>FRANCHISE REQUIREMENTS</v>
          </cell>
          <cell r="G578">
            <v>0</v>
          </cell>
          <cell r="J578">
            <v>0</v>
          </cell>
        </row>
        <row r="579">
          <cell r="E579" t="str">
            <v>F92700E</v>
          </cell>
          <cell r="F579" t="str">
            <v>FRANCHISE REQUIREMENTS</v>
          </cell>
          <cell r="G579">
            <v>58130419.210000001</v>
          </cell>
          <cell r="J579">
            <v>58130419.210000001</v>
          </cell>
        </row>
        <row r="580">
          <cell r="E580" t="str">
            <v>F92700G</v>
          </cell>
          <cell r="F580" t="str">
            <v>FRANCHISE REQUIREMENTS</v>
          </cell>
          <cell r="G580">
            <v>8597441.129999999</v>
          </cell>
          <cell r="J580">
            <v>8597441.129999999</v>
          </cell>
        </row>
        <row r="581">
          <cell r="E581" t="str">
            <v xml:space="preserve"> Franchise Fees</v>
          </cell>
          <cell r="G581">
            <v>66727860.340000004</v>
          </cell>
          <cell r="H581">
            <v>0</v>
          </cell>
          <cell r="J581">
            <v>66727860.340000004</v>
          </cell>
        </row>
        <row r="583">
          <cell r="E583" t="str">
            <v>Maintenance</v>
          </cell>
        </row>
        <row r="584">
          <cell r="E584" t="str">
            <v>F51000E</v>
          </cell>
          <cell r="F584" t="str">
            <v>MAINTENANCE SUPERVISION AND ENGINEERING</v>
          </cell>
          <cell r="G584">
            <v>175.66999999999996</v>
          </cell>
          <cell r="J584">
            <v>175.66999999999996</v>
          </cell>
        </row>
        <row r="585">
          <cell r="E585" t="str">
            <v>F51000E</v>
          </cell>
          <cell r="H585">
            <v>-87.539999999999992</v>
          </cell>
          <cell r="J585">
            <v>-87.539999999999992</v>
          </cell>
        </row>
        <row r="586">
          <cell r="E586" t="str">
            <v>F51010E</v>
          </cell>
          <cell r="F586" t="str">
            <v>MAINTENANCE SUPERVISION AND ENGINEERING</v>
          </cell>
          <cell r="G586">
            <v>45.23</v>
          </cell>
          <cell r="J586">
            <v>45.23</v>
          </cell>
        </row>
        <row r="587">
          <cell r="E587" t="str">
            <v>F51010E</v>
          </cell>
          <cell r="H587">
            <v>-45.23</v>
          </cell>
          <cell r="J587">
            <v>-45.23</v>
          </cell>
        </row>
        <row r="588">
          <cell r="E588" t="str">
            <v>F51020E</v>
          </cell>
          <cell r="F588" t="str">
            <v>MAINTENANCE SUPERVISION AND ENGINEERING</v>
          </cell>
          <cell r="G588">
            <v>1836</v>
          </cell>
          <cell r="J588">
            <v>1836</v>
          </cell>
        </row>
        <row r="589">
          <cell r="E589" t="str">
            <v>F51020E</v>
          </cell>
          <cell r="H589">
            <v>-907.2</v>
          </cell>
          <cell r="J589">
            <v>-907.2</v>
          </cell>
        </row>
        <row r="590">
          <cell r="E590" t="str">
            <v>F51030E</v>
          </cell>
          <cell r="F590" t="str">
            <v>MAINTENANCE SUPERVISION AND ENGINEERING</v>
          </cell>
          <cell r="G590">
            <v>0</v>
          </cell>
          <cell r="J590">
            <v>0</v>
          </cell>
        </row>
        <row r="591">
          <cell r="E591" t="str">
            <v>F51100E</v>
          </cell>
          <cell r="F591" t="str">
            <v>MAINTENANCE OF STRUCTURES</v>
          </cell>
          <cell r="G591">
            <v>-2860.8100000000004</v>
          </cell>
          <cell r="J591">
            <v>-2860.8100000000004</v>
          </cell>
        </row>
        <row r="592">
          <cell r="E592" t="str">
            <v>F51100E</v>
          </cell>
          <cell r="H592">
            <v>2860.8100000000004</v>
          </cell>
          <cell r="J592">
            <v>2860.8100000000004</v>
          </cell>
        </row>
        <row r="593">
          <cell r="E593" t="str">
            <v>F51200E</v>
          </cell>
          <cell r="F593" t="str">
            <v>MAINTENANCE OF BOILER PLANT</v>
          </cell>
          <cell r="G593">
            <v>-4855.62</v>
          </cell>
          <cell r="J593">
            <v>-4855.62</v>
          </cell>
        </row>
        <row r="594">
          <cell r="E594" t="str">
            <v>F51200E</v>
          </cell>
          <cell r="H594">
            <v>4855.62</v>
          </cell>
          <cell r="J594">
            <v>4855.62</v>
          </cell>
        </row>
        <row r="595">
          <cell r="E595" t="str">
            <v>F51220E</v>
          </cell>
          <cell r="F595" t="str">
            <v>MAINTENANCE OF BOILER PLANT</v>
          </cell>
          <cell r="G595">
            <v>0</v>
          </cell>
          <cell r="J595">
            <v>0</v>
          </cell>
        </row>
        <row r="596">
          <cell r="E596" t="str">
            <v>F51300E</v>
          </cell>
          <cell r="F596" t="str">
            <v>MAINTENANCE OF ELECTRIC PLANT</v>
          </cell>
          <cell r="G596">
            <v>-16788.23</v>
          </cell>
          <cell r="J596">
            <v>-16788.23</v>
          </cell>
        </row>
        <row r="597">
          <cell r="E597" t="str">
            <v>F51300E</v>
          </cell>
          <cell r="H597">
            <v>16788.23</v>
          </cell>
          <cell r="J597">
            <v>16788.23</v>
          </cell>
        </row>
        <row r="598">
          <cell r="E598" t="str">
            <v>F51320E</v>
          </cell>
          <cell r="F598" t="str">
            <v>MAINTENANCE OF ELECTRIC PLANT</v>
          </cell>
          <cell r="G598">
            <v>261.60000000000002</v>
          </cell>
          <cell r="J598">
            <v>261.60000000000002</v>
          </cell>
        </row>
        <row r="599">
          <cell r="E599" t="str">
            <v>F51320E</v>
          </cell>
          <cell r="H599">
            <v>-261.60000000000002</v>
          </cell>
          <cell r="J599">
            <v>-261.60000000000002</v>
          </cell>
        </row>
        <row r="600">
          <cell r="E600" t="str">
            <v>F51400E</v>
          </cell>
          <cell r="F600" t="str">
            <v>MAINTENANCE OF MISCELLANEOUS STEAM PLAN</v>
          </cell>
          <cell r="G600">
            <v>-2203.9</v>
          </cell>
          <cell r="J600">
            <v>-2203.9</v>
          </cell>
        </row>
        <row r="601">
          <cell r="E601" t="str">
            <v>F51400E</v>
          </cell>
          <cell r="H601">
            <v>-24667.21</v>
          </cell>
          <cell r="J601">
            <v>-24667.21</v>
          </cell>
        </row>
        <row r="602">
          <cell r="E602" t="str">
            <v>F51420E</v>
          </cell>
          <cell r="F602" t="str">
            <v>MAINTENANCE OF MISCELLANEOUS STEAM PLAN</v>
          </cell>
          <cell r="G602">
            <v>0</v>
          </cell>
          <cell r="J602">
            <v>0</v>
          </cell>
        </row>
        <row r="603">
          <cell r="E603" t="str">
            <v xml:space="preserve">     Steam Power Production Maintenance</v>
          </cell>
          <cell r="G603">
            <v>-24390.060000000005</v>
          </cell>
          <cell r="H603">
            <v>-1464.119999999999</v>
          </cell>
          <cell r="J603">
            <v>-25854.18</v>
          </cell>
        </row>
        <row r="605">
          <cell r="E605" t="str">
            <v>F52800E</v>
          </cell>
          <cell r="F605" t="str">
            <v>MAINTENANCE SUPERVISION AND ENGINEERING</v>
          </cell>
          <cell r="G605">
            <v>5606257.8500000006</v>
          </cell>
          <cell r="J605">
            <v>5606257.8500000006</v>
          </cell>
        </row>
        <row r="606">
          <cell r="E606" t="str">
            <v>F52900E</v>
          </cell>
          <cell r="F606" t="str">
            <v>MAINTENANCE OF STRUCTURES</v>
          </cell>
          <cell r="G606">
            <v>3847544.77</v>
          </cell>
          <cell r="J606">
            <v>3847544.77</v>
          </cell>
        </row>
        <row r="607">
          <cell r="E607" t="str">
            <v>F53000E</v>
          </cell>
          <cell r="F607" t="str">
            <v>MAINTENANCE OF REACTOR PLANT EQUIPMENT</v>
          </cell>
          <cell r="G607">
            <v>11778159.049999999</v>
          </cell>
          <cell r="J607">
            <v>11778159.049999999</v>
          </cell>
        </row>
        <row r="608">
          <cell r="E608" t="str">
            <v>F53100E</v>
          </cell>
          <cell r="F608" t="str">
            <v>MAINTENANCE OF ELECTRIC PLANT</v>
          </cell>
          <cell r="G608">
            <v>5977527.75</v>
          </cell>
          <cell r="J608">
            <v>5977527.75</v>
          </cell>
        </row>
        <row r="609">
          <cell r="E609" t="str">
            <v>F53200E</v>
          </cell>
          <cell r="F609" t="str">
            <v>MAINTENANCE OF MISCELLANEOUS NUCLEAR PL</v>
          </cell>
          <cell r="G609">
            <v>10443302.509999998</v>
          </cell>
          <cell r="J609">
            <v>10443302.509999998</v>
          </cell>
        </row>
        <row r="610">
          <cell r="E610" t="str">
            <v xml:space="preserve">     Nuclear Production Maintenance</v>
          </cell>
          <cell r="G610">
            <v>37652791.93</v>
          </cell>
          <cell r="H610">
            <v>0</v>
          </cell>
          <cell r="J610">
            <v>37652791.93</v>
          </cell>
        </row>
        <row r="612">
          <cell r="E612" t="str">
            <v>F55100E</v>
          </cell>
          <cell r="F612" t="str">
            <v>MAINTENANCE SUPERVISION AND ENGINEERING</v>
          </cell>
          <cell r="G612">
            <v>0</v>
          </cell>
          <cell r="J612">
            <v>0</v>
          </cell>
        </row>
        <row r="613">
          <cell r="E613" t="str">
            <v>F55200E</v>
          </cell>
          <cell r="F613" t="str">
            <v>MAINTENANCE OF STRUCTURES</v>
          </cell>
          <cell r="G613">
            <v>-57.8</v>
          </cell>
          <cell r="J613">
            <v>-57.8</v>
          </cell>
        </row>
        <row r="614">
          <cell r="E614" t="str">
            <v>F55200E</v>
          </cell>
          <cell r="H614">
            <v>57.8</v>
          </cell>
          <cell r="J614">
            <v>57.8</v>
          </cell>
        </row>
        <row r="615">
          <cell r="E615" t="str">
            <v>F55300E</v>
          </cell>
          <cell r="F615" t="str">
            <v>MAINTENANCE OF GENERATING AND ELECTRIC</v>
          </cell>
          <cell r="G615">
            <v>-2667.72</v>
          </cell>
          <cell r="J615">
            <v>-2667.72</v>
          </cell>
        </row>
        <row r="616">
          <cell r="E616" t="str">
            <v>F55300E</v>
          </cell>
          <cell r="H616">
            <v>-1312.18</v>
          </cell>
          <cell r="J616">
            <v>-1312.18</v>
          </cell>
        </row>
        <row r="617">
          <cell r="E617" t="str">
            <v>F55400E</v>
          </cell>
          <cell r="F617" t="str">
            <v>MAINT OF MISCELLANEOUS OTHER POWER GENE</v>
          </cell>
          <cell r="G617">
            <v>0</v>
          </cell>
          <cell r="J617">
            <v>0</v>
          </cell>
        </row>
        <row r="618">
          <cell r="E618" t="str">
            <v>F55400E</v>
          </cell>
          <cell r="H618">
            <v>0</v>
          </cell>
          <cell r="J618">
            <v>0</v>
          </cell>
        </row>
        <row r="619">
          <cell r="E619" t="str">
            <v xml:space="preserve">     Other Generation Maintenance</v>
          </cell>
          <cell r="G619">
            <v>-2725.52</v>
          </cell>
          <cell r="H619">
            <v>-1254.3800000000001</v>
          </cell>
          <cell r="I619">
            <v>0</v>
          </cell>
          <cell r="J619">
            <v>-3979.8999999999996</v>
          </cell>
        </row>
        <row r="621">
          <cell r="E621" t="str">
            <v xml:space="preserve">     Generation Maintenance</v>
          </cell>
          <cell r="G621">
            <v>37625676.349999994</v>
          </cell>
          <cell r="H621">
            <v>-2718.4999999999991</v>
          </cell>
          <cell r="J621">
            <v>37622957.850000001</v>
          </cell>
        </row>
        <row r="623">
          <cell r="E623" t="str">
            <v>F56800E</v>
          </cell>
          <cell r="F623" t="str">
            <v>MAINTENANCE SUPERVISION AND ENGINEERING</v>
          </cell>
          <cell r="G623">
            <v>41051.089999999997</v>
          </cell>
          <cell r="J623">
            <v>41051.089999999997</v>
          </cell>
        </row>
        <row r="624">
          <cell r="E624" t="str">
            <v>F56810E</v>
          </cell>
          <cell r="F624" t="str">
            <v>MAINTENANCE SUPERVISION AND ENGINEERING</v>
          </cell>
          <cell r="G624">
            <v>800161.21</v>
          </cell>
          <cell r="J624">
            <v>800161.21</v>
          </cell>
        </row>
        <row r="625">
          <cell r="E625" t="str">
            <v>F56820E</v>
          </cell>
          <cell r="F625" t="str">
            <v>MAINTENANCE SUPERVISION AND ENGINEERING</v>
          </cell>
          <cell r="G625">
            <v>13879.300000000001</v>
          </cell>
          <cell r="J625">
            <v>13879.300000000001</v>
          </cell>
        </row>
        <row r="626">
          <cell r="E626" t="str">
            <v>F56820E</v>
          </cell>
          <cell r="H626">
            <v>14.820000000000002</v>
          </cell>
          <cell r="J626">
            <v>14.820000000000002</v>
          </cell>
        </row>
        <row r="627">
          <cell r="E627" t="str">
            <v>F56900E</v>
          </cell>
          <cell r="F627" t="str">
            <v>MAINTENANCE OF STRUCTURES</v>
          </cell>
          <cell r="G627">
            <v>7714.9800000000005</v>
          </cell>
          <cell r="J627">
            <v>7714.9800000000005</v>
          </cell>
        </row>
        <row r="628">
          <cell r="E628" t="str">
            <v>F57000E</v>
          </cell>
          <cell r="F628" t="str">
            <v>MAINTENANCE OF STATION EQUIPMENT</v>
          </cell>
          <cell r="G628">
            <v>343447.72000000009</v>
          </cell>
          <cell r="J628">
            <v>343447.72000000009</v>
          </cell>
        </row>
        <row r="629">
          <cell r="E629" t="str">
            <v>F57010E</v>
          </cell>
          <cell r="F629" t="str">
            <v>MAINTENANCE OF STATION EQUIPMENT</v>
          </cell>
          <cell r="G629">
            <v>2578786.12</v>
          </cell>
          <cell r="J629">
            <v>2578786.12</v>
          </cell>
        </row>
        <row r="630">
          <cell r="E630" t="str">
            <v>F57020E</v>
          </cell>
          <cell r="F630" t="str">
            <v>MAINTENANCE OF STATION EQUIPMENT</v>
          </cell>
          <cell r="G630">
            <v>277514.39</v>
          </cell>
          <cell r="J630">
            <v>277514.39</v>
          </cell>
        </row>
        <row r="631">
          <cell r="E631" t="str">
            <v>F57050E</v>
          </cell>
          <cell r="F631" t="str">
            <v>MAINTENANCE OF STATION EQUIPMENT</v>
          </cell>
          <cell r="G631">
            <v>0</v>
          </cell>
          <cell r="J631">
            <v>0</v>
          </cell>
        </row>
        <row r="632">
          <cell r="E632" t="str">
            <v>F57060E</v>
          </cell>
          <cell r="F632" t="str">
            <v>MAINTENANCE OF STATION EQUIPMENT</v>
          </cell>
          <cell r="G632">
            <v>37749.9</v>
          </cell>
          <cell r="J632">
            <v>37749.9</v>
          </cell>
        </row>
        <row r="633">
          <cell r="E633" t="str">
            <v>F57070E</v>
          </cell>
          <cell r="F633" t="str">
            <v>MAINTENANCE OF STATION EQUIPMENT</v>
          </cell>
          <cell r="G633">
            <v>34308.75</v>
          </cell>
          <cell r="J633">
            <v>34308.75</v>
          </cell>
        </row>
        <row r="634">
          <cell r="E634" t="str">
            <v>F57100E</v>
          </cell>
          <cell r="F634" t="str">
            <v>MAINTENANCE OF OVERHEAD LINES</v>
          </cell>
          <cell r="G634">
            <v>3125755.0100000002</v>
          </cell>
          <cell r="J634">
            <v>3125755.0100000002</v>
          </cell>
        </row>
        <row r="635">
          <cell r="E635" t="str">
            <v>F57110E</v>
          </cell>
          <cell r="F635" t="str">
            <v>MAINTENANCE OF OVERHEAD LINES</v>
          </cell>
          <cell r="G635">
            <v>647280.56000000006</v>
          </cell>
          <cell r="J635">
            <v>647280.56000000006</v>
          </cell>
        </row>
        <row r="636">
          <cell r="E636" t="str">
            <v>F57120E</v>
          </cell>
          <cell r="F636" t="str">
            <v>MAINTENANCE OF OVERHEAD LINES</v>
          </cell>
          <cell r="G636">
            <v>661930.77</v>
          </cell>
          <cell r="J636">
            <v>661930.77</v>
          </cell>
        </row>
        <row r="637">
          <cell r="E637" t="str">
            <v>F57130E</v>
          </cell>
          <cell r="F637" t="str">
            <v>MAINTENANCE OF OVERHEAD LINES</v>
          </cell>
          <cell r="G637">
            <v>1027928.03</v>
          </cell>
          <cell r="J637">
            <v>1027928.03</v>
          </cell>
        </row>
        <row r="638">
          <cell r="E638" t="str">
            <v>F57170E</v>
          </cell>
          <cell r="F638" t="str">
            <v>MAINTENANCE OF OVERHEAD LINES</v>
          </cell>
          <cell r="G638">
            <v>44509.669999999955</v>
          </cell>
          <cell r="J638">
            <v>44509.669999999955</v>
          </cell>
        </row>
        <row r="639">
          <cell r="E639" t="str">
            <v>F57180E</v>
          </cell>
          <cell r="F639" t="str">
            <v>MAINTENANCE OF OVERHEAD LINES</v>
          </cell>
          <cell r="G639">
            <v>1946.87</v>
          </cell>
          <cell r="J639">
            <v>1946.87</v>
          </cell>
        </row>
        <row r="640">
          <cell r="E640" t="str">
            <v>F57190E</v>
          </cell>
          <cell r="F640" t="str">
            <v>MAINTENANCE OF OVERHEAD LINES</v>
          </cell>
          <cell r="G640">
            <v>101474.43000000001</v>
          </cell>
          <cell r="J640">
            <v>101474.43000000001</v>
          </cell>
        </row>
        <row r="641">
          <cell r="E641" t="str">
            <v>F57200E</v>
          </cell>
          <cell r="F641" t="str">
            <v>MAINTENANCE OF UNDERGROUND LINES</v>
          </cell>
          <cell r="G641">
            <v>31729.47</v>
          </cell>
          <cell r="J641">
            <v>31729.47</v>
          </cell>
        </row>
        <row r="642">
          <cell r="E642" t="str">
            <v>F57300E</v>
          </cell>
          <cell r="F642" t="str">
            <v>MAINTENANCE OF MISCELLANEOUS TRANSMISSI</v>
          </cell>
          <cell r="G642">
            <v>24170.3400000002</v>
          </cell>
          <cell r="J642">
            <v>24170.3400000002</v>
          </cell>
        </row>
        <row r="643">
          <cell r="E643" t="str">
            <v xml:space="preserve">     Electric Transmission Maintenance</v>
          </cell>
          <cell r="G643">
            <v>9801338.6099999994</v>
          </cell>
          <cell r="H643">
            <v>14.820000000000002</v>
          </cell>
          <cell r="J643">
            <v>9801353.4299999997</v>
          </cell>
        </row>
        <row r="645">
          <cell r="E645" t="str">
            <v>F59000E</v>
          </cell>
          <cell r="F645" t="str">
            <v>MAINTENANCE SUPERVISION AND ENGINEERING</v>
          </cell>
          <cell r="G645">
            <v>723944.27</v>
          </cell>
          <cell r="J645">
            <v>723944.27</v>
          </cell>
        </row>
        <row r="646">
          <cell r="E646" t="str">
            <v>F59010E</v>
          </cell>
          <cell r="F646" t="str">
            <v>MAINTENANCE SUPERVISION AND ENGINEERING</v>
          </cell>
          <cell r="G646">
            <v>27819.869999999995</v>
          </cell>
          <cell r="J646">
            <v>27819.869999999995</v>
          </cell>
        </row>
        <row r="647">
          <cell r="E647" t="str">
            <v>F59010E</v>
          </cell>
          <cell r="H647">
            <v>1301.57</v>
          </cell>
          <cell r="J647">
            <v>1301.57</v>
          </cell>
        </row>
        <row r="648">
          <cell r="E648" t="str">
            <v>F59020E</v>
          </cell>
          <cell r="F648" t="str">
            <v>MAINTENANCE SUPERVISION AND ENGINEERING</v>
          </cell>
          <cell r="G648">
            <v>35.6</v>
          </cell>
          <cell r="J648">
            <v>35.6</v>
          </cell>
        </row>
        <row r="649">
          <cell r="E649" t="str">
            <v>F59100E</v>
          </cell>
          <cell r="F649" t="str">
            <v>MAINTENANCE OF STRUCTURES</v>
          </cell>
          <cell r="G649">
            <v>31678.41</v>
          </cell>
          <cell r="J649">
            <v>31678.41</v>
          </cell>
        </row>
        <row r="650">
          <cell r="E650" t="str">
            <v>F59200E</v>
          </cell>
          <cell r="F650" t="str">
            <v>MAINTENANCE OF STATION EQUIPMENT</v>
          </cell>
          <cell r="G650">
            <v>1294089.0299999998</v>
          </cell>
          <cell r="J650">
            <v>1294089.0299999998</v>
          </cell>
        </row>
        <row r="651">
          <cell r="E651" t="str">
            <v>F59210E</v>
          </cell>
          <cell r="F651" t="str">
            <v>MAINTENANCE OF STATION EQUIPMENT</v>
          </cell>
          <cell r="G651">
            <v>3228938.7399999998</v>
          </cell>
          <cell r="H651">
            <v>-2742.86</v>
          </cell>
          <cell r="J651">
            <v>3226195.88</v>
          </cell>
        </row>
        <row r="652">
          <cell r="E652" t="str">
            <v>F59210E</v>
          </cell>
          <cell r="J652">
            <v>0</v>
          </cell>
        </row>
        <row r="653">
          <cell r="E653" t="str">
            <v>F59210E</v>
          </cell>
          <cell r="H653">
            <v>1227.3800000000001</v>
          </cell>
          <cell r="J653">
            <v>1227.3800000000001</v>
          </cell>
        </row>
        <row r="654">
          <cell r="E654" t="str">
            <v>F59220E</v>
          </cell>
          <cell r="F654" t="str">
            <v>MAINTENANCE OF STATION EQUIPMENT</v>
          </cell>
          <cell r="G654">
            <v>133326.28000000003</v>
          </cell>
          <cell r="J654">
            <v>133326.28000000003</v>
          </cell>
        </row>
        <row r="655">
          <cell r="E655" t="str">
            <v>F59290E</v>
          </cell>
          <cell r="F655" t="str">
            <v>MAINTENANCE OF STATION EQUIPMENT</v>
          </cell>
          <cell r="G655">
            <v>0</v>
          </cell>
          <cell r="J655">
            <v>0</v>
          </cell>
        </row>
        <row r="656">
          <cell r="E656" t="str">
            <v>F59300E</v>
          </cell>
          <cell r="F656" t="str">
            <v>MAINTENANCE OF OVERHEAD LINES</v>
          </cell>
          <cell r="G656">
            <v>23774908.410000004</v>
          </cell>
          <cell r="J656">
            <v>23774908.410000004</v>
          </cell>
        </row>
        <row r="657">
          <cell r="E657" t="str">
            <v>F59310E</v>
          </cell>
          <cell r="F657" t="str">
            <v>MAINTENANCE OF OVERHEAD LINES</v>
          </cell>
          <cell r="G657">
            <v>1007732.83</v>
          </cell>
          <cell r="J657">
            <v>1007732.83</v>
          </cell>
        </row>
        <row r="658">
          <cell r="E658" t="str">
            <v>F59320E</v>
          </cell>
          <cell r="F658" t="str">
            <v>MAINTENANCE OF OVERHEAD LINES</v>
          </cell>
          <cell r="G658">
            <v>23476146.280000001</v>
          </cell>
          <cell r="J658">
            <v>23476146.280000001</v>
          </cell>
        </row>
        <row r="659">
          <cell r="E659" t="str">
            <v>F59340E</v>
          </cell>
          <cell r="F659" t="str">
            <v>MAINTENANCE OF OVERHEAD LINES</v>
          </cell>
          <cell r="G659">
            <v>2996.8299999999995</v>
          </cell>
          <cell r="J659">
            <v>2996.8299999999995</v>
          </cell>
        </row>
        <row r="660">
          <cell r="E660" t="str">
            <v>F59350E</v>
          </cell>
          <cell r="F660" t="str">
            <v>MAINTENANCE OF OVERHEAD LINES</v>
          </cell>
          <cell r="G660">
            <v>38842.629999999997</v>
          </cell>
          <cell r="J660">
            <v>38842.629999999997</v>
          </cell>
        </row>
        <row r="661">
          <cell r="E661" t="str">
            <v>F59370E</v>
          </cell>
          <cell r="F661" t="str">
            <v>MAINTENANCE OF OVERHEAD LINES</v>
          </cell>
          <cell r="G661">
            <v>-6620.92</v>
          </cell>
          <cell r="J661">
            <v>-6620.92</v>
          </cell>
        </row>
        <row r="662">
          <cell r="E662" t="str">
            <v>F59390E</v>
          </cell>
          <cell r="F662" t="str">
            <v>MAINTENANCE OF OVERHEAD LINES</v>
          </cell>
          <cell r="G662">
            <v>2756806.6199999996</v>
          </cell>
          <cell r="J662">
            <v>2756806.6199999996</v>
          </cell>
        </row>
        <row r="663">
          <cell r="E663" t="str">
            <v>F59400E</v>
          </cell>
          <cell r="F663" t="str">
            <v>MAINTENANCE OF UNDERGROUND LINES</v>
          </cell>
          <cell r="G663">
            <v>2917469.07</v>
          </cell>
          <cell r="J663">
            <v>2917469.07</v>
          </cell>
        </row>
        <row r="664">
          <cell r="E664" t="str">
            <v>F59410E</v>
          </cell>
          <cell r="F664" t="str">
            <v>MAINTENANCE OF UNDERGROUND LINES</v>
          </cell>
          <cell r="G664">
            <v>808073.64999999991</v>
          </cell>
          <cell r="J664">
            <v>808073.64999999991</v>
          </cell>
        </row>
        <row r="665">
          <cell r="E665" t="str">
            <v>F59420E</v>
          </cell>
          <cell r="F665" t="str">
            <v>MAINTENANCE OF UNDERGROUND LINES</v>
          </cell>
          <cell r="G665">
            <v>5285.6600000000008</v>
          </cell>
          <cell r="J665">
            <v>5285.6600000000008</v>
          </cell>
        </row>
        <row r="666">
          <cell r="E666" t="str">
            <v>F59430E</v>
          </cell>
          <cell r="F666" t="str">
            <v>MAINTENANCE OF UNDERGROUND LINES</v>
          </cell>
          <cell r="G666">
            <v>-109.26</v>
          </cell>
          <cell r="J666">
            <v>-109.26</v>
          </cell>
        </row>
        <row r="667">
          <cell r="E667" t="str">
            <v>F59450E</v>
          </cell>
          <cell r="F667" t="str">
            <v>MAINTENANCE OF UNDERGROUND LINES</v>
          </cell>
          <cell r="G667">
            <v>24824.04</v>
          </cell>
          <cell r="J667">
            <v>24824.04</v>
          </cell>
        </row>
        <row r="668">
          <cell r="E668" t="str">
            <v>F59460E</v>
          </cell>
          <cell r="F668" t="str">
            <v>MAINTENANCE OF UNDERGROUND LINES</v>
          </cell>
          <cell r="G668">
            <v>2648554.9200000004</v>
          </cell>
          <cell r="J668">
            <v>2648554.9200000004</v>
          </cell>
        </row>
        <row r="669">
          <cell r="E669" t="str">
            <v>F59500E</v>
          </cell>
          <cell r="F669" t="str">
            <v>MAINTENANCE OF LINE TRANSFORMERS</v>
          </cell>
          <cell r="G669">
            <v>316007.64999999997</v>
          </cell>
          <cell r="J669">
            <v>316007.64999999997</v>
          </cell>
        </row>
        <row r="670">
          <cell r="E670" t="str">
            <v>F59510E</v>
          </cell>
          <cell r="F670" t="str">
            <v>MAINTENANCE OF LINE TRANSFORMERS</v>
          </cell>
          <cell r="G670">
            <v>324.61</v>
          </cell>
          <cell r="J670">
            <v>324.61</v>
          </cell>
        </row>
        <row r="671">
          <cell r="E671" t="str">
            <v>F59520E</v>
          </cell>
          <cell r="F671" t="str">
            <v>MAINTENANCE OF LINE TRANSFORMERS</v>
          </cell>
          <cell r="G671">
            <v>15821.45</v>
          </cell>
          <cell r="J671">
            <v>15821.45</v>
          </cell>
        </row>
        <row r="672">
          <cell r="E672" t="str">
            <v>F59550E</v>
          </cell>
          <cell r="F672" t="str">
            <v>MAINTENANCE OF LINE TRANSFORMERS</v>
          </cell>
          <cell r="G672">
            <v>1087.6099999999999</v>
          </cell>
          <cell r="J672">
            <v>1087.6099999999999</v>
          </cell>
        </row>
        <row r="673">
          <cell r="E673" t="str">
            <v>F59570E</v>
          </cell>
          <cell r="F673" t="str">
            <v>MAINTENANCE OF LINE TRANSFORMERS</v>
          </cell>
          <cell r="G673">
            <v>0</v>
          </cell>
          <cell r="J673">
            <v>0</v>
          </cell>
        </row>
        <row r="674">
          <cell r="E674" t="str">
            <v>F59600E</v>
          </cell>
          <cell r="F674" t="str">
            <v>MAINTENANCE OF STREET LIGHTING AND SIGN</v>
          </cell>
          <cell r="G674">
            <v>80769.830000000016</v>
          </cell>
          <cell r="J674">
            <v>80769.830000000016</v>
          </cell>
        </row>
        <row r="675">
          <cell r="E675" t="str">
            <v>F59700E</v>
          </cell>
          <cell r="F675" t="str">
            <v>MAINTENANCE OF METERS</v>
          </cell>
          <cell r="G675">
            <v>422873.07</v>
          </cell>
          <cell r="J675">
            <v>422873.07</v>
          </cell>
        </row>
        <row r="676">
          <cell r="E676" t="str">
            <v>F59800E</v>
          </cell>
          <cell r="F676" t="str">
            <v>MAINTENANCE OF MISCELLANEOUS DISTRIBUTI</v>
          </cell>
          <cell r="G676">
            <v>377192.57999999914</v>
          </cell>
          <cell r="J676">
            <v>377192.57999999914</v>
          </cell>
        </row>
        <row r="677">
          <cell r="E677" t="str">
            <v xml:space="preserve">     Electric Distribution Maintenance</v>
          </cell>
          <cell r="G677">
            <v>64108819.75999999</v>
          </cell>
          <cell r="H677">
            <v>-213.91000000000008</v>
          </cell>
          <cell r="J677">
            <v>64108605.849999994</v>
          </cell>
        </row>
        <row r="679">
          <cell r="E679" t="str">
            <v xml:space="preserve">     Electric Maintenance</v>
          </cell>
          <cell r="G679">
            <v>111535834.71999998</v>
          </cell>
          <cell r="H679">
            <v>-2917.5899999999992</v>
          </cell>
          <cell r="J679">
            <v>111532917.13</v>
          </cell>
        </row>
        <row r="681">
          <cell r="E681" t="str">
            <v>F83000C</v>
          </cell>
          <cell r="F681" t="str">
            <v>MAINTENANCE SUPERVISION AND ENGINEERING</v>
          </cell>
          <cell r="G681">
            <v>0</v>
          </cell>
          <cell r="H681">
            <v>0</v>
          </cell>
          <cell r="J681">
            <v>0</v>
          </cell>
        </row>
        <row r="682">
          <cell r="E682" t="str">
            <v>F83000G</v>
          </cell>
          <cell r="F682" t="str">
            <v>MAINTENANCE SUPERVISION AND ENGINEERING</v>
          </cell>
          <cell r="G682">
            <v>0</v>
          </cell>
          <cell r="H682">
            <v>0</v>
          </cell>
          <cell r="J682">
            <v>0</v>
          </cell>
        </row>
        <row r="683">
          <cell r="E683" t="str">
            <v>F83100C</v>
          </cell>
          <cell r="F683" t="str">
            <v>MAINTENANCE OF STRUCTURES AND IMPROVEME</v>
          </cell>
          <cell r="G683">
            <v>0</v>
          </cell>
          <cell r="H683">
            <v>0</v>
          </cell>
          <cell r="J683">
            <v>0</v>
          </cell>
        </row>
        <row r="684">
          <cell r="E684" t="str">
            <v>F83100G</v>
          </cell>
          <cell r="F684" t="str">
            <v>MAINTENANCE OF STRUCTURES AND IMPROVEME</v>
          </cell>
          <cell r="G684">
            <v>0</v>
          </cell>
          <cell r="H684">
            <v>0</v>
          </cell>
          <cell r="J684">
            <v>0</v>
          </cell>
        </row>
        <row r="685">
          <cell r="E685" t="str">
            <v>F83200G</v>
          </cell>
          <cell r="F685" t="str">
            <v>MAINTENANCE OF RESERVOIRS AND WELLS</v>
          </cell>
          <cell r="G685">
            <v>0</v>
          </cell>
          <cell r="H685">
            <v>0</v>
          </cell>
          <cell r="J685">
            <v>0</v>
          </cell>
        </row>
        <row r="686">
          <cell r="E686" t="str">
            <v>F83500C</v>
          </cell>
          <cell r="F686" t="str">
            <v>MAINTENANCE OF MEASURING AND REGULATING</v>
          </cell>
          <cell r="G686">
            <v>0</v>
          </cell>
          <cell r="H686">
            <v>0</v>
          </cell>
          <cell r="J686">
            <v>0</v>
          </cell>
        </row>
        <row r="687">
          <cell r="E687" t="str">
            <v>F83500G</v>
          </cell>
          <cell r="F687" t="str">
            <v>MAINTENANCE OF MEASURING AND REGULATING</v>
          </cell>
          <cell r="G687">
            <v>0</v>
          </cell>
          <cell r="H687">
            <v>0</v>
          </cell>
          <cell r="J687">
            <v>0</v>
          </cell>
        </row>
        <row r="688">
          <cell r="E688" t="str">
            <v>F83500G</v>
          </cell>
          <cell r="J688">
            <v>0</v>
          </cell>
        </row>
        <row r="689">
          <cell r="E689" t="str">
            <v>F83700G</v>
          </cell>
          <cell r="F689" t="str">
            <v>MAINTENANCE OF OTHER EQUIPMENT</v>
          </cell>
          <cell r="G689">
            <v>0</v>
          </cell>
          <cell r="H689">
            <v>0</v>
          </cell>
          <cell r="J689">
            <v>0</v>
          </cell>
        </row>
        <row r="690">
          <cell r="E690" t="str">
            <v>F84310G</v>
          </cell>
          <cell r="F690" t="str">
            <v>MAINTENANCE SUPERVISION AND ENGINEERING</v>
          </cell>
          <cell r="G690">
            <v>0</v>
          </cell>
          <cell r="H690">
            <v>0</v>
          </cell>
          <cell r="J690">
            <v>0</v>
          </cell>
        </row>
        <row r="691">
          <cell r="E691" t="str">
            <v>F84320G</v>
          </cell>
          <cell r="F691" t="str">
            <v>MAINTENANCE OF STRUCTURES AND IMPROVEME</v>
          </cell>
          <cell r="G691">
            <v>0</v>
          </cell>
          <cell r="H691">
            <v>0</v>
          </cell>
          <cell r="J691">
            <v>0</v>
          </cell>
        </row>
        <row r="692">
          <cell r="E692" t="str">
            <v>F84330G</v>
          </cell>
          <cell r="F692" t="str">
            <v>MAINTENANCE OF GAS HOLDERS</v>
          </cell>
          <cell r="G692">
            <v>0</v>
          </cell>
          <cell r="J692">
            <v>0</v>
          </cell>
        </row>
        <row r="693">
          <cell r="E693" t="str">
            <v>F84370G</v>
          </cell>
          <cell r="F693" t="str">
            <v>MAINTENANCE OF COMPRESSOR EQUIPMENT</v>
          </cell>
          <cell r="G693">
            <v>0</v>
          </cell>
          <cell r="J693">
            <v>0</v>
          </cell>
        </row>
        <row r="694">
          <cell r="E694" t="str">
            <v>F84380G</v>
          </cell>
          <cell r="F694" t="str">
            <v>MAINTENANCE OF MEASURING AND REGULATING</v>
          </cell>
          <cell r="G694">
            <v>356.07999999999993</v>
          </cell>
          <cell r="H694">
            <v>0</v>
          </cell>
          <cell r="J694">
            <v>356.07999999999993</v>
          </cell>
        </row>
        <row r="695">
          <cell r="E695" t="str">
            <v>F84380G</v>
          </cell>
          <cell r="J695">
            <v>0</v>
          </cell>
        </row>
        <row r="696">
          <cell r="E696" t="str">
            <v>F84380G</v>
          </cell>
          <cell r="H696">
            <v>-356.07999999999993</v>
          </cell>
          <cell r="J696">
            <v>-356.07999999999993</v>
          </cell>
        </row>
        <row r="697">
          <cell r="E697" t="str">
            <v>F84390G</v>
          </cell>
          <cell r="F697" t="str">
            <v>MAINTENANCE OF OTHER EQUIPMENT</v>
          </cell>
          <cell r="G697">
            <v>0</v>
          </cell>
          <cell r="H697">
            <v>0</v>
          </cell>
          <cell r="J697">
            <v>0</v>
          </cell>
        </row>
        <row r="698">
          <cell r="E698" t="str">
            <v xml:space="preserve">     Gas Storage Maintenance</v>
          </cell>
          <cell r="G698">
            <v>356.07999999999993</v>
          </cell>
          <cell r="H698">
            <v>-356.07999999999993</v>
          </cell>
          <cell r="J698">
            <v>0</v>
          </cell>
        </row>
        <row r="700">
          <cell r="E700" t="str">
            <v>F86100G</v>
          </cell>
          <cell r="F700" t="str">
            <v>MAINTENANCE SUPERVISION AND ENGINEERING</v>
          </cell>
          <cell r="G700">
            <v>-45161.63999999997</v>
          </cell>
          <cell r="J700">
            <v>-45161.63999999997</v>
          </cell>
        </row>
        <row r="701">
          <cell r="E701" t="str">
            <v>F86110G</v>
          </cell>
          <cell r="F701" t="str">
            <v>MAINTENANCE SUPERVISION AND ENGINEERING</v>
          </cell>
          <cell r="G701">
            <v>71955.17</v>
          </cell>
          <cell r="J701">
            <v>71955.17</v>
          </cell>
        </row>
        <row r="702">
          <cell r="E702" t="str">
            <v>F86120G</v>
          </cell>
          <cell r="F702" t="str">
            <v>MAINTENANCE SUPERVISION AND ENGINEERING</v>
          </cell>
          <cell r="G702">
            <v>0</v>
          </cell>
          <cell r="J702">
            <v>0</v>
          </cell>
        </row>
        <row r="703">
          <cell r="E703" t="str">
            <v>F86200G</v>
          </cell>
          <cell r="F703" t="str">
            <v>MAINTENANCE OF STRUCTURES AND IMPROVEME</v>
          </cell>
          <cell r="G703">
            <v>1427.02</v>
          </cell>
          <cell r="J703">
            <v>1427.02</v>
          </cell>
        </row>
        <row r="704">
          <cell r="E704" t="str">
            <v>F86300G</v>
          </cell>
          <cell r="F704" t="str">
            <v>MAINTENANCE OF MAINS</v>
          </cell>
          <cell r="G704">
            <v>59178.530000000006</v>
          </cell>
          <cell r="J704">
            <v>59178.530000000006</v>
          </cell>
        </row>
        <row r="705">
          <cell r="E705" t="str">
            <v>F86310G</v>
          </cell>
          <cell r="F705" t="str">
            <v>MAINTENANCE OF MAINS</v>
          </cell>
          <cell r="G705">
            <v>270563.19</v>
          </cell>
          <cell r="J705">
            <v>270563.19</v>
          </cell>
        </row>
        <row r="706">
          <cell r="E706" t="str">
            <v>F86400G</v>
          </cell>
          <cell r="F706" t="str">
            <v>MAINTENANCE OF COMPRESSOR STATION EQUIP</v>
          </cell>
          <cell r="G706">
            <v>5581.3600000000006</v>
          </cell>
          <cell r="J706">
            <v>5581.3600000000006</v>
          </cell>
        </row>
        <row r="707">
          <cell r="E707" t="str">
            <v>F86410G</v>
          </cell>
          <cell r="F707" t="str">
            <v>MAINTENANCE OF COMPRESSOR STATION EQUIP</v>
          </cell>
          <cell r="G707">
            <v>597312.87</v>
          </cell>
          <cell r="J707">
            <v>597312.87</v>
          </cell>
        </row>
        <row r="708">
          <cell r="E708" t="str">
            <v>F86420G</v>
          </cell>
          <cell r="F708" t="str">
            <v>MAINTENANCE OF COMPRESSOR STATION EQUIP</v>
          </cell>
          <cell r="G708">
            <v>35165.11</v>
          </cell>
          <cell r="J708">
            <v>35165.11</v>
          </cell>
        </row>
        <row r="709">
          <cell r="E709" t="str">
            <v>F86500G</v>
          </cell>
          <cell r="F709" t="str">
            <v>MAINTENANCE OF MEASURING AND REG. STATI</v>
          </cell>
          <cell r="G709">
            <v>211228.55999999994</v>
          </cell>
          <cell r="J709">
            <v>211228.55999999994</v>
          </cell>
        </row>
        <row r="710">
          <cell r="E710" t="str">
            <v>F86700G</v>
          </cell>
          <cell r="F710" t="str">
            <v>MAINTENANCE OF OTHER EQUIPMENT</v>
          </cell>
          <cell r="G710">
            <v>159.18</v>
          </cell>
          <cell r="J710">
            <v>159.18</v>
          </cell>
        </row>
        <row r="711">
          <cell r="E711" t="str">
            <v xml:space="preserve">     Gas Transmission Maintenance</v>
          </cell>
          <cell r="G711">
            <v>1207409.3499999999</v>
          </cell>
          <cell r="H711">
            <v>0</v>
          </cell>
          <cell r="J711">
            <v>1207409.3499999999</v>
          </cell>
        </row>
        <row r="713">
          <cell r="E713" t="str">
            <v>F88500G</v>
          </cell>
          <cell r="F713" t="str">
            <v>MAINTENANCE SUPERVISION AND ENGINEERING</v>
          </cell>
          <cell r="G713">
            <v>340487.5</v>
          </cell>
          <cell r="J713">
            <v>340487.5</v>
          </cell>
        </row>
        <row r="714">
          <cell r="E714" t="str">
            <v>F88510G</v>
          </cell>
          <cell r="F714" t="str">
            <v>MAINT SUPERVISION AN</v>
          </cell>
          <cell r="G714">
            <v>99490.779999999984</v>
          </cell>
          <cell r="H714">
            <v>-21.26</v>
          </cell>
          <cell r="J714">
            <v>99469.51999999999</v>
          </cell>
        </row>
        <row r="715">
          <cell r="E715" t="str">
            <v>F88510G</v>
          </cell>
          <cell r="J715">
            <v>0</v>
          </cell>
        </row>
        <row r="716">
          <cell r="E716" t="str">
            <v>F88520G</v>
          </cell>
          <cell r="F716" t="str">
            <v>MAINT SUPERVISION AN</v>
          </cell>
          <cell r="G716">
            <v>29579.969999999998</v>
          </cell>
          <cell r="J716">
            <v>29579.969999999998</v>
          </cell>
        </row>
        <row r="717">
          <cell r="E717" t="str">
            <v>F88600G</v>
          </cell>
          <cell r="F717" t="str">
            <v>MAINTENANCE OF STRUCTURES AND IMPROVEME</v>
          </cell>
          <cell r="G717">
            <v>238.02</v>
          </cell>
          <cell r="J717">
            <v>238.02</v>
          </cell>
        </row>
        <row r="718">
          <cell r="E718" t="str">
            <v>F88700G</v>
          </cell>
          <cell r="F718" t="str">
            <v>MAINTENANCE OF MAINS</v>
          </cell>
          <cell r="G718">
            <v>338106.69</v>
          </cell>
          <cell r="J718">
            <v>338106.69</v>
          </cell>
        </row>
        <row r="719">
          <cell r="E719" t="str">
            <v>F88710G</v>
          </cell>
          <cell r="F719" t="str">
            <v>MAINT OF MAINS</v>
          </cell>
          <cell r="G719">
            <v>472540.68000000005</v>
          </cell>
          <cell r="J719">
            <v>472540.68000000005</v>
          </cell>
        </row>
        <row r="720">
          <cell r="E720" t="str">
            <v>F88720G</v>
          </cell>
          <cell r="F720" t="str">
            <v>MAINT OF MAINS</v>
          </cell>
          <cell r="G720">
            <v>370302.64999999997</v>
          </cell>
          <cell r="J720">
            <v>370302.64999999997</v>
          </cell>
        </row>
        <row r="721">
          <cell r="E721" t="str">
            <v>F88730G</v>
          </cell>
          <cell r="F721" t="str">
            <v>MAINT OF MAINS</v>
          </cell>
          <cell r="G721">
            <v>694518.75999999989</v>
          </cell>
          <cell r="J721">
            <v>694518.75999999989</v>
          </cell>
        </row>
        <row r="722">
          <cell r="E722" t="str">
            <v>F88740G</v>
          </cell>
          <cell r="F722" t="str">
            <v>MAINT OF MAINS</v>
          </cell>
          <cell r="G722">
            <v>20508.72</v>
          </cell>
          <cell r="J722">
            <v>20508.72</v>
          </cell>
        </row>
        <row r="723">
          <cell r="E723" t="str">
            <v>F88750G</v>
          </cell>
          <cell r="F723" t="str">
            <v>MAINT OF MAINS</v>
          </cell>
          <cell r="G723">
            <v>312.45999999999998</v>
          </cell>
          <cell r="J723">
            <v>312.45999999999998</v>
          </cell>
        </row>
        <row r="724">
          <cell r="E724" t="str">
            <v>F88760G</v>
          </cell>
          <cell r="F724" t="str">
            <v>MAINT OF MAINS</v>
          </cell>
          <cell r="G724">
            <v>0</v>
          </cell>
          <cell r="J724">
            <v>0</v>
          </cell>
        </row>
        <row r="725">
          <cell r="E725" t="str">
            <v>F88800G</v>
          </cell>
          <cell r="F725" t="str">
            <v xml:space="preserve">MAINTENANCE OF COMPRESSOR STATION EQUIPMENT </v>
          </cell>
          <cell r="G725">
            <v>0</v>
          </cell>
          <cell r="J725">
            <v>0</v>
          </cell>
        </row>
        <row r="726">
          <cell r="E726" t="str">
            <v>F88900G</v>
          </cell>
          <cell r="F726" t="str">
            <v>MAINTENANCE OF MEAS. AND REG. STA. EQUI</v>
          </cell>
          <cell r="G726">
            <v>119216.53</v>
          </cell>
          <cell r="H726">
            <v>0</v>
          </cell>
          <cell r="J726">
            <v>119216.53</v>
          </cell>
        </row>
        <row r="727">
          <cell r="E727" t="str">
            <v>F88900G</v>
          </cell>
          <cell r="J727">
            <v>0</v>
          </cell>
        </row>
        <row r="728">
          <cell r="E728" t="str">
            <v>F88900G</v>
          </cell>
          <cell r="H728">
            <v>356.07999999999993</v>
          </cell>
          <cell r="J728">
            <v>356.07999999999993</v>
          </cell>
        </row>
        <row r="729">
          <cell r="E729" t="str">
            <v>F89100G</v>
          </cell>
          <cell r="F729" t="str">
            <v>MAINT. OF MEAS. &amp; REG. STA. EQUIP.-CITY GATE CHECK</v>
          </cell>
          <cell r="G729">
            <v>223.6</v>
          </cell>
          <cell r="J729">
            <v>223.6</v>
          </cell>
        </row>
        <row r="730">
          <cell r="E730" t="str">
            <v>F89200G</v>
          </cell>
          <cell r="F730" t="str">
            <v>MAINTENANCE OF SERVICES</v>
          </cell>
          <cell r="G730">
            <v>662842.52</v>
          </cell>
          <cell r="J730">
            <v>662842.52</v>
          </cell>
        </row>
        <row r="731">
          <cell r="E731" t="str">
            <v>F89210G</v>
          </cell>
          <cell r="F731" t="str">
            <v>MAINT OF SERVICES</v>
          </cell>
          <cell r="G731">
            <v>3168.28</v>
          </cell>
          <cell r="J731">
            <v>3168.28</v>
          </cell>
        </row>
        <row r="732">
          <cell r="E732" t="str">
            <v>F89220G</v>
          </cell>
          <cell r="F732" t="str">
            <v>MAINT OF SERVICES</v>
          </cell>
          <cell r="G732">
            <v>37476.239999999998</v>
          </cell>
          <cell r="J732">
            <v>37476.239999999998</v>
          </cell>
        </row>
        <row r="733">
          <cell r="E733" t="str">
            <v>F89230G</v>
          </cell>
          <cell r="F733" t="str">
            <v>MAINT OF SERVICES</v>
          </cell>
          <cell r="G733">
            <v>20510.559999999998</v>
          </cell>
          <cell r="J733">
            <v>20510.559999999998</v>
          </cell>
        </row>
        <row r="734">
          <cell r="E734" t="str">
            <v>F89300G</v>
          </cell>
          <cell r="F734" t="str">
            <v>MAINTENANCE OF METERS AND HOUSE REGULAT</v>
          </cell>
          <cell r="G734">
            <v>378560.58000000007</v>
          </cell>
          <cell r="J734">
            <v>378560.58000000007</v>
          </cell>
        </row>
        <row r="735">
          <cell r="E735" t="str">
            <v>F89310G</v>
          </cell>
          <cell r="F735" t="str">
            <v>MAINT OF METERS AND</v>
          </cell>
          <cell r="G735">
            <v>112413.94</v>
          </cell>
          <cell r="J735">
            <v>112413.94</v>
          </cell>
        </row>
        <row r="736">
          <cell r="E736" t="str">
            <v>F89320G</v>
          </cell>
          <cell r="F736" t="str">
            <v>MAINT OF METERS AND</v>
          </cell>
          <cell r="G736">
            <v>490210.18999999994</v>
          </cell>
          <cell r="J736">
            <v>490210.18999999994</v>
          </cell>
        </row>
        <row r="737">
          <cell r="E737" t="str">
            <v>F89400G</v>
          </cell>
          <cell r="F737" t="str">
            <v>MAINTENANCE OF OTHER EQUIPMENT</v>
          </cell>
          <cell r="G737">
            <v>154013.41</v>
          </cell>
          <cell r="J737">
            <v>154013.41</v>
          </cell>
        </row>
        <row r="738">
          <cell r="E738" t="str">
            <v>F89410G</v>
          </cell>
          <cell r="F738" t="str">
            <v>MAINTENANCE OF OTHER EQUIPMENT</v>
          </cell>
          <cell r="G738">
            <v>47.08</v>
          </cell>
          <cell r="J738">
            <v>47.08</v>
          </cell>
        </row>
        <row r="739">
          <cell r="E739" t="str">
            <v>F89430G</v>
          </cell>
          <cell r="F739" t="str">
            <v>GDM MAINTENANCE OF CNG FUELING STATION</v>
          </cell>
          <cell r="G739">
            <v>86386.28</v>
          </cell>
          <cell r="J739">
            <v>86386.28</v>
          </cell>
        </row>
        <row r="740">
          <cell r="E740" t="str">
            <v xml:space="preserve">     Gas Distribution Maintenance</v>
          </cell>
          <cell r="G740">
            <v>4431155.4400000004</v>
          </cell>
          <cell r="H740">
            <v>334.81999999999994</v>
          </cell>
          <cell r="J740">
            <v>4431490.26</v>
          </cell>
        </row>
        <row r="742">
          <cell r="E742" t="str">
            <v xml:space="preserve">     Gas Maintenance</v>
          </cell>
          <cell r="G742">
            <v>5638920.8700000001</v>
          </cell>
          <cell r="H742">
            <v>-21.259999999999991</v>
          </cell>
          <cell r="J742">
            <v>5638899.6099999994</v>
          </cell>
        </row>
        <row r="744">
          <cell r="E744" t="str">
            <v>F93500C</v>
          </cell>
          <cell r="F744" t="str">
            <v>MAINTENANCE OF GENERAL PLANT</v>
          </cell>
          <cell r="G744">
            <v>0</v>
          </cell>
          <cell r="J744">
            <v>0</v>
          </cell>
        </row>
        <row r="745">
          <cell r="E745" t="str">
            <v>F93500E</v>
          </cell>
          <cell r="F745" t="str">
            <v>MAINTENANCE OF GENERAL PLANT</v>
          </cell>
          <cell r="G745">
            <v>4697607.29</v>
          </cell>
          <cell r="H745">
            <v>83983.79</v>
          </cell>
          <cell r="I745">
            <v>0.74738700000000002</v>
          </cell>
          <cell r="J745">
            <v>4781591.08</v>
          </cell>
        </row>
        <row r="746">
          <cell r="E746" t="str">
            <v>F93500E</v>
          </cell>
          <cell r="J746">
            <v>0</v>
          </cell>
        </row>
        <row r="747">
          <cell r="E747" t="str">
            <v>F93500E</v>
          </cell>
          <cell r="H747">
            <v>29411.1</v>
          </cell>
          <cell r="J747">
            <v>29411.1</v>
          </cell>
        </row>
        <row r="748">
          <cell r="E748" t="str">
            <v>F93500G</v>
          </cell>
          <cell r="F748" t="str">
            <v>MAINTENANCE OF GENERAL PLANT</v>
          </cell>
          <cell r="G748">
            <v>1392923.26</v>
          </cell>
          <cell r="H748">
            <v>28155.350000000002</v>
          </cell>
          <cell r="I748">
            <v>0.25262000000000001</v>
          </cell>
          <cell r="J748">
            <v>1421078.61</v>
          </cell>
        </row>
        <row r="749">
          <cell r="E749" t="str">
            <v>F93500G</v>
          </cell>
          <cell r="J749">
            <v>0</v>
          </cell>
        </row>
        <row r="750">
          <cell r="E750" t="str">
            <v>F93500G</v>
          </cell>
          <cell r="H750">
            <v>-29411.1</v>
          </cell>
          <cell r="J750">
            <v>-29411.1</v>
          </cell>
        </row>
        <row r="751">
          <cell r="E751" t="str">
            <v>F9350AE</v>
          </cell>
          <cell r="F751" t="str">
            <v>MAINTENANCE OF GENERAL PLANT-SEMPRA CHARGES</v>
          </cell>
          <cell r="G751">
            <v>6459326.879999998</v>
          </cell>
          <cell r="H751">
            <v>0</v>
          </cell>
          <cell r="J751">
            <v>6459326.879999998</v>
          </cell>
        </row>
        <row r="752">
          <cell r="E752" t="str">
            <v>F9350AE</v>
          </cell>
          <cell r="J752">
            <v>0</v>
          </cell>
        </row>
        <row r="753">
          <cell r="E753" t="str">
            <v>F9350AG</v>
          </cell>
          <cell r="F753" t="str">
            <v>MAINTENANCE OF GENERAL PLANT-SEMPRA CHARGES</v>
          </cell>
          <cell r="G753">
            <v>2157662.6900000004</v>
          </cell>
          <cell r="H753">
            <v>0</v>
          </cell>
          <cell r="J753">
            <v>2157662.6900000004</v>
          </cell>
        </row>
        <row r="754">
          <cell r="E754" t="str">
            <v>F9350AG</v>
          </cell>
          <cell r="J754">
            <v>0</v>
          </cell>
        </row>
        <row r="755">
          <cell r="E755" t="str">
            <v>F93510E</v>
          </cell>
          <cell r="F755" t="str">
            <v>MAINT OF GENERAL PLA</v>
          </cell>
          <cell r="G755">
            <v>2309668.4300000002</v>
          </cell>
          <cell r="H755">
            <v>0</v>
          </cell>
          <cell r="J755">
            <v>2309668.4300000002</v>
          </cell>
        </row>
        <row r="756">
          <cell r="E756" t="str">
            <v>F93510E</v>
          </cell>
          <cell r="J756">
            <v>0</v>
          </cell>
        </row>
        <row r="757">
          <cell r="E757" t="str">
            <v>F93510G</v>
          </cell>
          <cell r="F757" t="str">
            <v>MAINT OF GENERAL PLA</v>
          </cell>
          <cell r="G757">
            <v>659885.33000000007</v>
          </cell>
          <cell r="H757">
            <v>0</v>
          </cell>
          <cell r="J757">
            <v>659885.33000000007</v>
          </cell>
        </row>
        <row r="758">
          <cell r="E758" t="str">
            <v>F93510G</v>
          </cell>
          <cell r="J758">
            <v>0</v>
          </cell>
        </row>
        <row r="759">
          <cell r="E759" t="str">
            <v xml:space="preserve">     General Maintenance</v>
          </cell>
          <cell r="G759">
            <v>17677073.879999995</v>
          </cell>
          <cell r="H759">
            <v>112139.13999999998</v>
          </cell>
          <cell r="J759">
            <v>17789213.019999996</v>
          </cell>
        </row>
        <row r="761">
          <cell r="E761" t="str">
            <v xml:space="preserve">     Maintenance</v>
          </cell>
          <cell r="G761">
            <v>134851829.46999997</v>
          </cell>
          <cell r="H761">
            <v>109200.28999999998</v>
          </cell>
          <cell r="J761">
            <v>134961029.75999999</v>
          </cell>
        </row>
        <row r="763">
          <cell r="E763" t="str">
            <v xml:space="preserve">    Total Expenses Before Depre and Taxes</v>
          </cell>
          <cell r="G763">
            <v>1527925598.2599998</v>
          </cell>
          <cell r="H763">
            <v>65483.25999999998</v>
          </cell>
          <cell r="J763">
            <v>1527991081.52</v>
          </cell>
        </row>
        <row r="765">
          <cell r="E765" t="str">
            <v>F40300C</v>
          </cell>
          <cell r="F765" t="str">
            <v>DEPRECIATION EXPENSE</v>
          </cell>
          <cell r="G765">
            <v>0</v>
          </cell>
          <cell r="H765">
            <v>0</v>
          </cell>
          <cell r="J765">
            <v>0</v>
          </cell>
        </row>
        <row r="766">
          <cell r="E766" t="str">
            <v>F4030ZC</v>
          </cell>
        </row>
        <row r="767">
          <cell r="E767" t="str">
            <v>F40300E</v>
          </cell>
          <cell r="F767" t="str">
            <v>DEPRECIATION EXPENSE</v>
          </cell>
          <cell r="G767">
            <v>194274110.22999999</v>
          </cell>
          <cell r="H767">
            <v>72998.39</v>
          </cell>
          <cell r="J767">
            <v>194347108.61999997</v>
          </cell>
        </row>
        <row r="768">
          <cell r="E768" t="str">
            <v>F4030ZE</v>
          </cell>
        </row>
        <row r="769">
          <cell r="E769" t="str">
            <v>F40300G</v>
          </cell>
          <cell r="F769" t="str">
            <v>DEPRECIATION EXPENSE</v>
          </cell>
          <cell r="G769">
            <v>42960441.909999996</v>
          </cell>
          <cell r="H769">
            <v>-72998.39</v>
          </cell>
          <cell r="J769">
            <v>42887443.519999996</v>
          </cell>
        </row>
        <row r="770">
          <cell r="E770" t="str">
            <v>F4030ZG</v>
          </cell>
        </row>
        <row r="771">
          <cell r="E771" t="str">
            <v>F40400C</v>
          </cell>
          <cell r="F771" t="str">
            <v>AMORTIZATION OF LIMITED-TERM INVESTMENT</v>
          </cell>
          <cell r="G771">
            <v>0</v>
          </cell>
          <cell r="H771">
            <v>0</v>
          </cell>
          <cell r="J771">
            <v>0</v>
          </cell>
        </row>
        <row r="772">
          <cell r="E772" t="str">
            <v>F4040ZC</v>
          </cell>
        </row>
        <row r="773">
          <cell r="E773" t="str">
            <v>F40400E</v>
          </cell>
          <cell r="F773" t="str">
            <v>AMORTIZATION OF LIMITED-TERM INVESTMENT</v>
          </cell>
          <cell r="G773">
            <v>16264459.310000001</v>
          </cell>
          <cell r="H773">
            <v>47887.87</v>
          </cell>
          <cell r="J773">
            <v>16312347.18</v>
          </cell>
        </row>
        <row r="774">
          <cell r="E774" t="str">
            <v>F4040ZE</v>
          </cell>
        </row>
        <row r="775">
          <cell r="E775" t="str">
            <v>F40400G</v>
          </cell>
          <cell r="F775" t="str">
            <v>AMORTIZATION OF LIMITED-TERM INVESTMENT</v>
          </cell>
          <cell r="G775">
            <v>4543503.37</v>
          </cell>
          <cell r="H775">
            <v>-47887.87</v>
          </cell>
          <cell r="J775">
            <v>4495615.5</v>
          </cell>
        </row>
        <row r="776">
          <cell r="E776" t="str">
            <v>F4040ZG</v>
          </cell>
        </row>
        <row r="777">
          <cell r="E777" t="str">
            <v>F40500C</v>
          </cell>
          <cell r="F777" t="str">
            <v>AMORTIZATION OF OTHER PLANT</v>
          </cell>
          <cell r="G777">
            <v>0</v>
          </cell>
          <cell r="J777">
            <v>0</v>
          </cell>
        </row>
        <row r="778">
          <cell r="E778" t="str">
            <v>F4050ZC</v>
          </cell>
        </row>
        <row r="779">
          <cell r="E779" t="str">
            <v>F40500E</v>
          </cell>
          <cell r="F779" t="str">
            <v>AMORTIZATION OF OTHER PLANT</v>
          </cell>
          <cell r="G779">
            <v>2241576.4799999995</v>
          </cell>
          <cell r="J779">
            <v>2241576.4799999995</v>
          </cell>
        </row>
        <row r="780">
          <cell r="E780" t="str">
            <v>F40500E</v>
          </cell>
          <cell r="H780">
            <v>-473173.44000000006</v>
          </cell>
          <cell r="J780">
            <v>-473173.44000000006</v>
          </cell>
        </row>
        <row r="781">
          <cell r="E781" t="str">
            <v>F4050ZE</v>
          </cell>
        </row>
        <row r="782">
          <cell r="E782" t="str">
            <v>F40500G</v>
          </cell>
          <cell r="F782" t="str">
            <v>AMORTIZATION OF OTHER PLANT</v>
          </cell>
          <cell r="G782">
            <v>268561.53000000003</v>
          </cell>
          <cell r="J782">
            <v>268561.53000000003</v>
          </cell>
        </row>
        <row r="783">
          <cell r="E783" t="str">
            <v>F4050ZG</v>
          </cell>
        </row>
        <row r="784">
          <cell r="E784" t="str">
            <v>F40600C</v>
          </cell>
          <cell r="F784" t="str">
            <v>AMORT. OF UTILITY PLANT ACQ. ADJ.</v>
          </cell>
          <cell r="G784">
            <v>15744</v>
          </cell>
          <cell r="J784">
            <v>15744</v>
          </cell>
        </row>
        <row r="785">
          <cell r="E785" t="str">
            <v>F40700E</v>
          </cell>
          <cell r="F785" t="str">
            <v>AMORT. OF PROP LOSSES  UNREC PLANT AND REG STUDY C</v>
          </cell>
          <cell r="G785">
            <v>946346.88</v>
          </cell>
          <cell r="J785">
            <v>946346.88</v>
          </cell>
        </row>
        <row r="786">
          <cell r="E786" t="str">
            <v>F40700E</v>
          </cell>
          <cell r="H786">
            <v>473173.44000000006</v>
          </cell>
          <cell r="J786">
            <v>473173.44000000006</v>
          </cell>
        </row>
        <row r="787">
          <cell r="E787" t="str">
            <v>F40710C</v>
          </cell>
          <cell r="F787" t="str">
            <v>AMORT. OF PROP LOSSES  UNREC PLANT AND</v>
          </cell>
          <cell r="G787">
            <v>0</v>
          </cell>
          <cell r="J787">
            <v>0</v>
          </cell>
        </row>
        <row r="788">
          <cell r="E788" t="str">
            <v>F40730E</v>
          </cell>
          <cell r="F788" t="str">
            <v>REGULATORY DEBITS</v>
          </cell>
          <cell r="G788">
            <v>0</v>
          </cell>
          <cell r="J788">
            <v>0</v>
          </cell>
        </row>
        <row r="789">
          <cell r="E789" t="str">
            <v xml:space="preserve">  Depreciation and Amortization</v>
          </cell>
          <cell r="G789">
            <v>261514743.70999998</v>
          </cell>
          <cell r="H789">
            <v>0</v>
          </cell>
          <cell r="J789">
            <v>261514743.70999998</v>
          </cell>
        </row>
        <row r="791">
          <cell r="E791" t="str">
            <v xml:space="preserve">  Taxes:</v>
          </cell>
        </row>
        <row r="792">
          <cell r="E792" t="str">
            <v>F40811E</v>
          </cell>
          <cell r="F792" t="str">
            <v>PROPERTY TAXES ELEC</v>
          </cell>
          <cell r="G792">
            <v>0</v>
          </cell>
          <cell r="J792">
            <v>0</v>
          </cell>
        </row>
        <row r="793">
          <cell r="E793" t="str">
            <v>F40811G</v>
          </cell>
          <cell r="F793" t="str">
            <v>PROPERTY TAXES GAS</v>
          </cell>
          <cell r="G793">
            <v>0</v>
          </cell>
          <cell r="J793">
            <v>0</v>
          </cell>
        </row>
        <row r="794">
          <cell r="E794" t="str">
            <v>F40830C</v>
          </cell>
          <cell r="F794" t="str">
            <v>TAXES OTHER THAN INCOME TAXES-PROPERTY</v>
          </cell>
          <cell r="G794">
            <v>0</v>
          </cell>
          <cell r="J794">
            <v>0</v>
          </cell>
        </row>
        <row r="795">
          <cell r="E795" t="str">
            <v>F40830E</v>
          </cell>
          <cell r="F795" t="str">
            <v>TAXES OTHER THAN INCOME TAXES-PROPERTY</v>
          </cell>
          <cell r="G795">
            <v>27320538.530000001</v>
          </cell>
          <cell r="J795">
            <v>27320538.530000001</v>
          </cell>
        </row>
        <row r="796">
          <cell r="E796" t="str">
            <v>F40830G</v>
          </cell>
          <cell r="F796" t="str">
            <v>TAXES OTHER THAN INCOME TAXES-PROPERTY</v>
          </cell>
          <cell r="G796">
            <v>7881421.7200000007</v>
          </cell>
          <cell r="J796">
            <v>7881421.7200000007</v>
          </cell>
        </row>
        <row r="797">
          <cell r="E797" t="str">
            <v xml:space="preserve"> Property</v>
          </cell>
          <cell r="G797">
            <v>35201960.25</v>
          </cell>
          <cell r="H797">
            <v>0</v>
          </cell>
          <cell r="J797">
            <v>35201960.25</v>
          </cell>
        </row>
        <row r="799">
          <cell r="E799" t="str">
            <v>F40910E</v>
          </cell>
          <cell r="F799" t="str">
            <v>INCOME TAXES - FEDERAL (409.1)</v>
          </cell>
          <cell r="G799">
            <v>41236000</v>
          </cell>
          <cell r="J799">
            <v>41236000</v>
          </cell>
        </row>
        <row r="800">
          <cell r="E800" t="str">
            <v>F40910G</v>
          </cell>
          <cell r="F800" t="str">
            <v>INCOME TAXES - FEDERAL (409.1)</v>
          </cell>
          <cell r="G800">
            <v>43633000</v>
          </cell>
          <cell r="J800">
            <v>43633000</v>
          </cell>
        </row>
        <row r="801">
          <cell r="E801" t="str">
            <v>F41010E</v>
          </cell>
          <cell r="F801" t="str">
            <v>PROVISION FOR DEFERRED INCOME TAXES FED</v>
          </cell>
          <cell r="G801">
            <v>311560153</v>
          </cell>
          <cell r="J801">
            <v>311560153</v>
          </cell>
        </row>
        <row r="802">
          <cell r="E802" t="str">
            <v>F41010G</v>
          </cell>
          <cell r="F802" t="str">
            <v>PROVISION FOR DEFERRED INCOME TAXES FED</v>
          </cell>
          <cell r="G802">
            <v>24488000</v>
          </cell>
          <cell r="J802">
            <v>24488000</v>
          </cell>
        </row>
        <row r="803">
          <cell r="E803" t="str">
            <v>F41110E</v>
          </cell>
          <cell r="F803" t="str">
            <v>(LESS) PROVISION FOR DEFERRED INCOME TA</v>
          </cell>
          <cell r="G803">
            <v>-281156642</v>
          </cell>
          <cell r="J803">
            <v>-281156642</v>
          </cell>
        </row>
        <row r="804">
          <cell r="E804" t="str">
            <v>F41110G</v>
          </cell>
          <cell r="F804" t="str">
            <v>(LESS) PROVISION FOR DEFERRED INCOME TA</v>
          </cell>
          <cell r="G804">
            <v>-50467000</v>
          </cell>
          <cell r="J804">
            <v>-50467000</v>
          </cell>
        </row>
        <row r="805">
          <cell r="E805" t="str">
            <v>F41140E</v>
          </cell>
          <cell r="F805" t="str">
            <v>INVESTMENT TAX CREDIT ADJ. - FED ELECTR</v>
          </cell>
          <cell r="G805">
            <v>-2000000</v>
          </cell>
          <cell r="J805">
            <v>-2000000</v>
          </cell>
        </row>
        <row r="806">
          <cell r="E806" t="str">
            <v>F41140G</v>
          </cell>
          <cell r="F806" t="str">
            <v>INVESTMENT TAX CREDIT ADJ. - FED GAS</v>
          </cell>
          <cell r="G806">
            <v>-546000</v>
          </cell>
          <cell r="J806">
            <v>-546000</v>
          </cell>
        </row>
        <row r="807">
          <cell r="E807" t="str">
            <v xml:space="preserve">    Federal Income</v>
          </cell>
          <cell r="G807">
            <v>86747511</v>
          </cell>
          <cell r="H807">
            <v>0</v>
          </cell>
          <cell r="J807">
            <v>86747511</v>
          </cell>
        </row>
        <row r="809">
          <cell r="E809" t="str">
            <v>F40911E</v>
          </cell>
          <cell r="F809" t="str">
            <v>STATE INCOME TAXES ELEC</v>
          </cell>
          <cell r="G809">
            <v>12706000</v>
          </cell>
          <cell r="J809">
            <v>12706000</v>
          </cell>
        </row>
        <row r="810">
          <cell r="E810" t="str">
            <v>F40911G</v>
          </cell>
          <cell r="F810" t="str">
            <v>STATE INCOME TAXES GAS</v>
          </cell>
          <cell r="G810">
            <v>14063000</v>
          </cell>
          <cell r="J810">
            <v>14063000</v>
          </cell>
        </row>
        <row r="811">
          <cell r="E811" t="str">
            <v>F41011E</v>
          </cell>
          <cell r="F811" t="str">
            <v>PROVISION FOR DEFERRED INCOME TAXES STA</v>
          </cell>
          <cell r="G811">
            <v>57261490</v>
          </cell>
          <cell r="J811">
            <v>57261490</v>
          </cell>
        </row>
        <row r="812">
          <cell r="E812" t="str">
            <v>F41011G</v>
          </cell>
          <cell r="F812" t="str">
            <v>PROVISION FOR DEFERRED INCOME TAXES STA</v>
          </cell>
          <cell r="G812">
            <v>5189000</v>
          </cell>
          <cell r="J812">
            <v>5189000</v>
          </cell>
        </row>
        <row r="813">
          <cell r="E813" t="str">
            <v>F41112E</v>
          </cell>
          <cell r="F813" t="str">
            <v>(LESS) PROVISION FOR DEFERRED INCOME TA</v>
          </cell>
          <cell r="G813">
            <v>-43872000</v>
          </cell>
          <cell r="J813">
            <v>-43872000</v>
          </cell>
        </row>
        <row r="814">
          <cell r="E814" t="str">
            <v>F41112G</v>
          </cell>
          <cell r="F814" t="str">
            <v>(LESS) PROVISION FOR DEFERRED INCOME TA</v>
          </cell>
          <cell r="G814">
            <v>-13525000</v>
          </cell>
          <cell r="J814">
            <v>-13525000</v>
          </cell>
        </row>
        <row r="815">
          <cell r="E815" t="str">
            <v xml:space="preserve">    State Franchise</v>
          </cell>
          <cell r="G815">
            <v>31822490</v>
          </cell>
          <cell r="H815">
            <v>0</v>
          </cell>
          <cell r="J815">
            <v>31822490</v>
          </cell>
        </row>
        <row r="817">
          <cell r="E817" t="str">
            <v>F40810C</v>
          </cell>
          <cell r="F817" t="str">
            <v>TAXES OTHER THAN INCOME TAXES</v>
          </cell>
          <cell r="G817">
            <v>844665</v>
          </cell>
          <cell r="H817">
            <v>-844665</v>
          </cell>
          <cell r="J817">
            <v>0</v>
          </cell>
        </row>
        <row r="818">
          <cell r="E818" t="str">
            <v>F40810C</v>
          </cell>
          <cell r="J818">
            <v>0</v>
          </cell>
        </row>
        <row r="819">
          <cell r="E819" t="str">
            <v>F40810E</v>
          </cell>
          <cell r="F819" t="str">
            <v>TAXES OTHER THAN INCOME TAXES</v>
          </cell>
          <cell r="G819">
            <v>6533323.6299999999</v>
          </cell>
          <cell r="H819">
            <v>0</v>
          </cell>
          <cell r="J819">
            <v>6533323.6299999999</v>
          </cell>
        </row>
        <row r="820">
          <cell r="E820" t="str">
            <v>F40810E</v>
          </cell>
          <cell r="J820">
            <v>0</v>
          </cell>
        </row>
        <row r="821">
          <cell r="E821" t="str">
            <v>F40810E</v>
          </cell>
          <cell r="H821">
            <v>586249.94550000003</v>
          </cell>
          <cell r="J821">
            <v>586249.94550000003</v>
          </cell>
        </row>
        <row r="822">
          <cell r="E822" t="str">
            <v>F40810G</v>
          </cell>
          <cell r="F822" t="str">
            <v>TAXES OTHER THAN INCOME TAXES</v>
          </cell>
          <cell r="G822">
            <v>2621286.9499999997</v>
          </cell>
          <cell r="H822">
            <v>0</v>
          </cell>
          <cell r="J822">
            <v>2621286.9499999997</v>
          </cell>
        </row>
        <row r="823">
          <cell r="E823" t="str">
            <v>F40810G</v>
          </cell>
          <cell r="J823">
            <v>0</v>
          </cell>
        </row>
        <row r="824">
          <cell r="E824" t="str">
            <v>F40810G</v>
          </cell>
          <cell r="H824">
            <v>258415.0545</v>
          </cell>
          <cell r="J824">
            <v>258415.0545</v>
          </cell>
        </row>
        <row r="825">
          <cell r="E825" t="str">
            <v>F40840E</v>
          </cell>
          <cell r="F825" t="str">
            <v>TAXES OTHER THAN INCOME TAXES-OTHER ELE</v>
          </cell>
          <cell r="G825">
            <v>0</v>
          </cell>
          <cell r="J825">
            <v>0</v>
          </cell>
        </row>
        <row r="826">
          <cell r="E826" t="str">
            <v>F40840G</v>
          </cell>
          <cell r="F826" t="str">
            <v>TAXES OTHER THAN INCOME TAXES-OTHER GAS</v>
          </cell>
          <cell r="G826">
            <v>0</v>
          </cell>
          <cell r="J826">
            <v>0</v>
          </cell>
        </row>
        <row r="827">
          <cell r="E827" t="str">
            <v xml:space="preserve">    Other</v>
          </cell>
          <cell r="G827">
            <v>9999275.5800000001</v>
          </cell>
          <cell r="H827">
            <v>0</v>
          </cell>
          <cell r="J827">
            <v>9999275.5800000001</v>
          </cell>
        </row>
        <row r="829">
          <cell r="E829" t="str">
            <v xml:space="preserve">      Total Taxes</v>
          </cell>
          <cell r="G829">
            <v>163771236.83000001</v>
          </cell>
          <cell r="H829">
            <v>0</v>
          </cell>
          <cell r="J829">
            <v>163771236.83000001</v>
          </cell>
        </row>
        <row r="831">
          <cell r="E831" t="str">
            <v xml:space="preserve">        Total Operating Expenses</v>
          </cell>
          <cell r="G831">
            <v>1953211578.7999997</v>
          </cell>
          <cell r="H831">
            <v>65483.25999999998</v>
          </cell>
          <cell r="J831">
            <v>1953277062.0599999</v>
          </cell>
        </row>
        <row r="833">
          <cell r="E833" t="str">
            <v>Operating Income</v>
          </cell>
          <cell r="G833">
            <v>-371418212.07000017</v>
          </cell>
          <cell r="H833">
            <v>65483.25999999998</v>
          </cell>
          <cell r="J833">
            <v>-371352728.80999994</v>
          </cell>
        </row>
        <row r="836">
          <cell r="E836" t="str">
            <v>Operating Income per Books</v>
          </cell>
          <cell r="G836">
            <v>-371329302.85000002</v>
          </cell>
          <cell r="J836">
            <v>-371329302.85000002</v>
          </cell>
        </row>
        <row r="838">
          <cell r="E838" t="str">
            <v>Difference</v>
          </cell>
          <cell r="G838">
            <v>-88909.22000014782</v>
          </cell>
          <cell r="H838">
            <v>-65483.260000228882</v>
          </cell>
          <cell r="J838">
            <v>-23425.959999918938</v>
          </cell>
        </row>
        <row r="840">
          <cell r="E840" t="str">
            <v>Reconcilling Items:</v>
          </cell>
        </row>
        <row r="842">
          <cell r="E842" t="str">
            <v>F42610C</v>
          </cell>
          <cell r="F842" t="str">
            <v>Capitalized Donations (F42610C) - all cleared</v>
          </cell>
          <cell r="J842">
            <v>0</v>
          </cell>
        </row>
        <row r="843">
          <cell r="E843" t="str">
            <v>NonOperating items in Operating Natural Accounts</v>
          </cell>
        </row>
        <row r="844">
          <cell r="E844" t="str">
            <v>F40820C</v>
          </cell>
          <cell r="F844" t="str">
            <v>F40820C</v>
          </cell>
          <cell r="J844">
            <v>0</v>
          </cell>
        </row>
        <row r="845">
          <cell r="E845" t="str">
            <v>F41700C</v>
          </cell>
          <cell r="F845" t="str">
            <v>F41700C</v>
          </cell>
          <cell r="J845">
            <v>-4842.6400000000003</v>
          </cell>
        </row>
        <row r="846">
          <cell r="E846" t="str">
            <v>F41800C</v>
          </cell>
          <cell r="F846" t="str">
            <v>F41800C</v>
          </cell>
          <cell r="J846">
            <v>0</v>
          </cell>
        </row>
        <row r="847">
          <cell r="E847" t="str">
            <v>F42610C</v>
          </cell>
          <cell r="F847" t="str">
            <v>F42610C</v>
          </cell>
          <cell r="J847">
            <v>-18583.32</v>
          </cell>
        </row>
        <row r="848">
          <cell r="E848" t="str">
            <v>F42630C</v>
          </cell>
          <cell r="F848" t="str">
            <v>F42630C</v>
          </cell>
          <cell r="J848">
            <v>0</v>
          </cell>
        </row>
        <row r="849">
          <cell r="E849" t="str">
            <v>F42110C</v>
          </cell>
          <cell r="F849" t="str">
            <v>F42110C</v>
          </cell>
          <cell r="J849">
            <v>0</v>
          </cell>
        </row>
        <row r="850">
          <cell r="E850" t="str">
            <v>F42640C</v>
          </cell>
          <cell r="F850" t="str">
            <v>F42640C</v>
          </cell>
          <cell r="J850">
            <v>0</v>
          </cell>
        </row>
        <row r="851">
          <cell r="E851" t="str">
            <v>F42650C</v>
          </cell>
          <cell r="F851" t="str">
            <v>F42650C</v>
          </cell>
          <cell r="J851">
            <v>0</v>
          </cell>
        </row>
        <row r="852">
          <cell r="E852" t="str">
            <v>F43100C</v>
          </cell>
          <cell r="F852" t="str">
            <v>F43100C</v>
          </cell>
          <cell r="J852">
            <v>0</v>
          </cell>
        </row>
        <row r="853">
          <cell r="J853">
            <v>-23425.96</v>
          </cell>
        </row>
        <row r="855">
          <cell r="E855" t="str">
            <v>Net Difference</v>
          </cell>
          <cell r="J855">
            <v>8.1061443779617548E-8</v>
          </cell>
        </row>
        <row r="860">
          <cell r="E860" t="str">
            <v>Other Income Credits:</v>
          </cell>
        </row>
        <row r="861">
          <cell r="E861" t="str">
            <v>F41910C</v>
          </cell>
          <cell r="F861" t="str">
            <v>ALLOWANCE FOR OTHER FUNDS USED DURING C</v>
          </cell>
          <cell r="G861">
            <v>-11321815.85</v>
          </cell>
          <cell r="H861">
            <v>0</v>
          </cell>
          <cell r="J861">
            <v>-11321815.85</v>
          </cell>
        </row>
        <row r="862">
          <cell r="E862" t="str">
            <v>F41910C</v>
          </cell>
        </row>
        <row r="863">
          <cell r="E863" t="str">
            <v xml:space="preserve">  Allowance for Other Funds Used During Const</v>
          </cell>
          <cell r="G863">
            <v>-11321815.85</v>
          </cell>
          <cell r="H863">
            <v>0</v>
          </cell>
          <cell r="J863">
            <v>-11321815.85</v>
          </cell>
        </row>
        <row r="865">
          <cell r="E865" t="str">
            <v>F40820C</v>
          </cell>
          <cell r="F865" t="str">
            <v>TAXES OTHER THAN INCOME TAXES</v>
          </cell>
          <cell r="G865">
            <v>163261.83000000002</v>
          </cell>
          <cell r="J865">
            <v>163261.83000000002</v>
          </cell>
        </row>
        <row r="866">
          <cell r="E866" t="str">
            <v>F41700C</v>
          </cell>
          <cell r="F866" t="str">
            <v>REVENUES FROM NONUTILITY OPERATIONS</v>
          </cell>
          <cell r="G866">
            <v>-9.6399999999994179</v>
          </cell>
          <cell r="J866">
            <v>-9.6399999999994179</v>
          </cell>
        </row>
        <row r="867">
          <cell r="E867" t="str">
            <v>F41710C</v>
          </cell>
          <cell r="F867" t="str">
            <v>EXPENSES OF NONUTILITY OPERATIONS</v>
          </cell>
          <cell r="G867">
            <v>153074.82</v>
          </cell>
          <cell r="J867">
            <v>153074.82</v>
          </cell>
        </row>
        <row r="868">
          <cell r="E868" t="str">
            <v>F41800C</v>
          </cell>
          <cell r="F868" t="str">
            <v>NONOPERATING RENTAL INCOME</v>
          </cell>
          <cell r="G868">
            <v>-291511.71999999997</v>
          </cell>
          <cell r="J868">
            <v>-291511.71999999997</v>
          </cell>
        </row>
        <row r="869">
          <cell r="E869" t="str">
            <v>F41900C</v>
          </cell>
          <cell r="F869" t="str">
            <v>INTEREST AND DIVIDEND INCOME</v>
          </cell>
          <cell r="G869">
            <v>-46175794.32</v>
          </cell>
          <cell r="J869">
            <v>-46175794.32</v>
          </cell>
        </row>
        <row r="870">
          <cell r="E870" t="str">
            <v>F42100C</v>
          </cell>
          <cell r="F870" t="str">
            <v>MISCELLANEOUS NONOPERATING INCOME</v>
          </cell>
          <cell r="G870">
            <v>-5257338.59</v>
          </cell>
          <cell r="J870">
            <v>-5257338.59</v>
          </cell>
        </row>
        <row r="871">
          <cell r="E871" t="str">
            <v>F42110C</v>
          </cell>
          <cell r="F871" t="str">
            <v>GAIN ON DISPOSITION OF PROPERTY</v>
          </cell>
          <cell r="G871">
            <v>-1301471.17</v>
          </cell>
          <cell r="J871">
            <v>-1301471.17</v>
          </cell>
        </row>
        <row r="872">
          <cell r="E872" t="str">
            <v>F42120C</v>
          </cell>
          <cell r="F872" t="str">
            <v>LOSS ON DISPOSITION OF PROPERTY</v>
          </cell>
          <cell r="G872">
            <v>0</v>
          </cell>
          <cell r="J872">
            <v>0</v>
          </cell>
        </row>
        <row r="873">
          <cell r="E873" t="str">
            <v>F42610C</v>
          </cell>
          <cell r="F873" t="str">
            <v>DONATIONS</v>
          </cell>
          <cell r="G873">
            <v>1535708.05</v>
          </cell>
          <cell r="J873">
            <v>1535708.05</v>
          </cell>
        </row>
        <row r="874">
          <cell r="E874" t="str">
            <v>F42610C</v>
          </cell>
          <cell r="H874">
            <v>506.55</v>
          </cell>
          <cell r="J874">
            <v>506.55</v>
          </cell>
        </row>
        <row r="875">
          <cell r="E875" t="str">
            <v>F42620C</v>
          </cell>
          <cell r="F875" t="str">
            <v>LIFE INSURANCE</v>
          </cell>
          <cell r="G875">
            <v>-2028468</v>
          </cell>
          <cell r="J875">
            <v>-2028468</v>
          </cell>
        </row>
        <row r="876">
          <cell r="E876" t="str">
            <v>F42630C</v>
          </cell>
          <cell r="F876" t="str">
            <v>PENALTIES</v>
          </cell>
          <cell r="G876">
            <v>54982.61</v>
          </cell>
          <cell r="J876">
            <v>54982.61</v>
          </cell>
        </row>
        <row r="877">
          <cell r="E877" t="str">
            <v>F42640C</v>
          </cell>
          <cell r="F877" t="str">
            <v>EXPENDITURES FOR CIVIC  POLITICAL AND R</v>
          </cell>
          <cell r="G877">
            <v>211891.06</v>
          </cell>
          <cell r="J877">
            <v>211891.06</v>
          </cell>
        </row>
        <row r="878">
          <cell r="E878" t="str">
            <v>F42650C</v>
          </cell>
          <cell r="F878" t="str">
            <v>OTHER DEDUCTIONS</v>
          </cell>
          <cell r="G878">
            <v>-3914160.03</v>
          </cell>
          <cell r="J878">
            <v>-3914160.03</v>
          </cell>
        </row>
        <row r="879">
          <cell r="E879" t="str">
            <v xml:space="preserve">  Other-Net</v>
          </cell>
          <cell r="G879">
            <v>-56849835.100000009</v>
          </cell>
          <cell r="H879">
            <v>506.55</v>
          </cell>
          <cell r="J879">
            <v>-56849328.550000012</v>
          </cell>
        </row>
        <row r="881">
          <cell r="E881" t="str">
            <v>F40920C</v>
          </cell>
          <cell r="F881" t="str">
            <v>TAXES ON NON OPERATING INCOME</v>
          </cell>
          <cell r="G881">
            <v>24724000</v>
          </cell>
          <cell r="J881">
            <v>24724000</v>
          </cell>
        </row>
        <row r="882">
          <cell r="E882" t="str">
            <v>F40920C</v>
          </cell>
          <cell r="H882">
            <v>-746000</v>
          </cell>
          <cell r="J882">
            <v>-746000</v>
          </cell>
        </row>
        <row r="883">
          <cell r="E883" t="str">
            <v>F40920C</v>
          </cell>
          <cell r="F883" t="str">
            <v>TAXES ON NON OPERATING INCOME - FEDERAL</v>
          </cell>
          <cell r="H883">
            <v>584000</v>
          </cell>
          <cell r="J883">
            <v>584000</v>
          </cell>
        </row>
        <row r="884">
          <cell r="E884" t="str">
            <v>F40920C</v>
          </cell>
          <cell r="F884" t="str">
            <v>TAXES ON NON OPERATING INCOME - OTHER</v>
          </cell>
          <cell r="H884">
            <v>162000</v>
          </cell>
          <cell r="J884">
            <v>162000</v>
          </cell>
        </row>
        <row r="885">
          <cell r="E885" t="str">
            <v>F41020C</v>
          </cell>
          <cell r="F885" t="str">
            <v>PROVISION FOR DEFERRED INC. TAXES NON O</v>
          </cell>
          <cell r="G885">
            <v>9127000</v>
          </cell>
          <cell r="J885">
            <v>9127000</v>
          </cell>
        </row>
        <row r="886">
          <cell r="E886" t="str">
            <v>F41120C</v>
          </cell>
          <cell r="F886" t="str">
            <v>(LESS) PROVISION FOR DEFERRED INCOME TA</v>
          </cell>
          <cell r="G886">
            <v>-4572000</v>
          </cell>
          <cell r="J886">
            <v>-4572000</v>
          </cell>
        </row>
        <row r="887">
          <cell r="E887" t="str">
            <v xml:space="preserve">  Taxes on Non-Operating Income</v>
          </cell>
          <cell r="G887">
            <v>29279000</v>
          </cell>
          <cell r="H887">
            <v>0</v>
          </cell>
          <cell r="J887">
            <v>29279000</v>
          </cell>
        </row>
        <row r="889">
          <cell r="E889" t="str">
            <v xml:space="preserve">    Total Other Income Credits</v>
          </cell>
          <cell r="G889">
            <v>-38892650.950000003</v>
          </cell>
          <cell r="H889">
            <v>506.55</v>
          </cell>
          <cell r="J889">
            <v>-38892144.400000006</v>
          </cell>
        </row>
        <row r="891">
          <cell r="E891" t="str">
            <v>Income Before Interest Charges</v>
          </cell>
          <cell r="G891">
            <v>-410310863.02000016</v>
          </cell>
          <cell r="H891">
            <v>65989.809999999983</v>
          </cell>
          <cell r="J891">
            <v>-410244873.20999992</v>
          </cell>
        </row>
        <row r="893">
          <cell r="E893" t="str">
            <v>Interest Charges:</v>
          </cell>
        </row>
        <row r="894">
          <cell r="E894" t="str">
            <v>F42700C</v>
          </cell>
          <cell r="F894" t="str">
            <v>INTEREST ON LONG-TERM DEBT</v>
          </cell>
          <cell r="G894">
            <v>47532385</v>
          </cell>
          <cell r="J894">
            <v>47532385</v>
          </cell>
        </row>
        <row r="895">
          <cell r="E895" t="str">
            <v>F42701C</v>
          </cell>
          <cell r="F895" t="str">
            <v>INTEREST ON LONG-TERM DEBT</v>
          </cell>
          <cell r="G895">
            <v>888593.86</v>
          </cell>
          <cell r="H895">
            <v>697656.25</v>
          </cell>
          <cell r="J895">
            <v>1586250.1099999999</v>
          </cell>
        </row>
        <row r="896">
          <cell r="E896" t="str">
            <v>F42701C</v>
          </cell>
          <cell r="J896">
            <v>0</v>
          </cell>
        </row>
        <row r="897">
          <cell r="E897" t="str">
            <v xml:space="preserve">  Long-Term Debt</v>
          </cell>
          <cell r="G897">
            <v>48420978.859999999</v>
          </cell>
          <cell r="H897">
            <v>697656.25</v>
          </cell>
          <cell r="J897">
            <v>49118635.109999999</v>
          </cell>
        </row>
        <row r="899">
          <cell r="E899" t="str">
            <v>F43000C</v>
          </cell>
          <cell r="F899" t="str">
            <v>INTEREST ON DEBT TO ASSOC. COMPANIES</v>
          </cell>
          <cell r="G899">
            <v>17215021.729999997</v>
          </cell>
          <cell r="J899">
            <v>17215021.729999997</v>
          </cell>
        </row>
        <row r="900">
          <cell r="E900" t="str">
            <v>F43100C</v>
          </cell>
          <cell r="F900" t="str">
            <v>OTHER INTEREST EXPENSE</v>
          </cell>
          <cell r="G900">
            <v>9507643.2100000009</v>
          </cell>
          <cell r="J900">
            <v>9507643.2100000009</v>
          </cell>
        </row>
        <row r="901">
          <cell r="E901" t="str">
            <v xml:space="preserve">  Short-Term Debt and Other</v>
          </cell>
          <cell r="G901">
            <v>26722664.939999998</v>
          </cell>
          <cell r="H901">
            <v>0</v>
          </cell>
          <cell r="J901">
            <v>26722664.939999998</v>
          </cell>
        </row>
        <row r="903">
          <cell r="E903" t="str">
            <v>F42800C</v>
          </cell>
          <cell r="F903" t="str">
            <v>AMORTIZATION OF DEBT DISC. AND EXPENSE</v>
          </cell>
          <cell r="G903">
            <v>648932.75999999989</v>
          </cell>
          <cell r="J903">
            <v>648932.75999999989</v>
          </cell>
        </row>
        <row r="904">
          <cell r="E904" t="str">
            <v>F42810C</v>
          </cell>
          <cell r="F904" t="str">
            <v>AMORTIZATION OF LOSS ON REACQUIRED DEBT</v>
          </cell>
          <cell r="G904">
            <v>4185039.64</v>
          </cell>
          <cell r="J904">
            <v>4185039.64</v>
          </cell>
        </row>
        <row r="905">
          <cell r="E905" t="str">
            <v>F42900C</v>
          </cell>
          <cell r="F905" t="str">
            <v>(LESS) AMORT. OF PREMIUM ON DEBT - CRED</v>
          </cell>
          <cell r="G905">
            <v>-25273.08</v>
          </cell>
          <cell r="J905">
            <v>-25273.08</v>
          </cell>
        </row>
        <row r="906">
          <cell r="E906" t="str">
            <v xml:space="preserve">  Amortization of Debt Discount and Expense</v>
          </cell>
          <cell r="G906">
            <v>4808699.32</v>
          </cell>
          <cell r="H906">
            <v>0</v>
          </cell>
          <cell r="J906">
            <v>4808699.32</v>
          </cell>
        </row>
        <row r="908">
          <cell r="E908" t="str">
            <v>F43200C</v>
          </cell>
          <cell r="F908" t="str">
            <v>(LESS) ALLOW FOR BORROWED FUNDS USED DU</v>
          </cell>
          <cell r="G908">
            <v>-4113453.7</v>
          </cell>
          <cell r="J908">
            <v>-4113453.7</v>
          </cell>
        </row>
        <row r="909">
          <cell r="E909" t="str">
            <v xml:space="preserve">  Allowance for Borrowed Funds Used in Const</v>
          </cell>
          <cell r="G909">
            <v>-4113453.7</v>
          </cell>
          <cell r="H909">
            <v>0</v>
          </cell>
          <cell r="J909">
            <v>-4113453.7</v>
          </cell>
        </row>
        <row r="911">
          <cell r="E911" t="str">
            <v xml:space="preserve">    Total Interest Charges</v>
          </cell>
          <cell r="G911">
            <v>75838889.420000002</v>
          </cell>
          <cell r="H911">
            <v>697656.25</v>
          </cell>
          <cell r="J911">
            <v>76536545.670000002</v>
          </cell>
        </row>
        <row r="913">
          <cell r="E913" t="str">
            <v>Net Income (Before Preferred Div Requirement)</v>
          </cell>
          <cell r="G913">
            <v>-334471973.60000014</v>
          </cell>
          <cell r="H913">
            <v>763646.05999999994</v>
          </cell>
          <cell r="J913">
            <v>-333708327.5399999</v>
          </cell>
        </row>
        <row r="915">
          <cell r="E915" t="str">
            <v>F43701C</v>
          </cell>
          <cell r="F915" t="str">
            <v>DIVIDENDS DECLARED - PREFERRED STOCK (A</v>
          </cell>
          <cell r="G915">
            <v>0</v>
          </cell>
          <cell r="J915">
            <v>0</v>
          </cell>
        </row>
        <row r="916">
          <cell r="E916" t="str">
            <v>F43700C</v>
          </cell>
          <cell r="F916" t="str">
            <v>DIVIDENDS DECLARED-PREFERRED STOCK (ACCOUNT 437)</v>
          </cell>
          <cell r="G916">
            <v>5517324.6400000015</v>
          </cell>
          <cell r="H916">
            <v>-697656.25</v>
          </cell>
          <cell r="J916">
            <v>4819668.3900000015</v>
          </cell>
        </row>
        <row r="917">
          <cell r="E917" t="str">
            <v>F43700C</v>
          </cell>
          <cell r="J917">
            <v>0</v>
          </cell>
        </row>
        <row r="918">
          <cell r="E918" t="str">
            <v>Preferred Dividend Requirement</v>
          </cell>
          <cell r="G918">
            <v>5517324.6400000015</v>
          </cell>
          <cell r="H918">
            <v>-697656.25</v>
          </cell>
          <cell r="J918">
            <v>4819668.3900000015</v>
          </cell>
        </row>
        <row r="920">
          <cell r="E920" t="str">
            <v>Net Income</v>
          </cell>
          <cell r="G920">
            <v>-328954648.96000016</v>
          </cell>
          <cell r="H920">
            <v>65989.809999999939</v>
          </cell>
          <cell r="J920">
            <v>-328888659.14999992</v>
          </cell>
        </row>
        <row r="923">
          <cell r="E923" t="str">
            <v>Net Income Per Books</v>
          </cell>
          <cell r="G923">
            <v>-328888659.15000004</v>
          </cell>
          <cell r="J923">
            <v>-328888659.15000004</v>
          </cell>
        </row>
        <row r="925">
          <cell r="E925" t="str">
            <v>Difference</v>
          </cell>
          <cell r="G925">
            <v>-65989.810000121593</v>
          </cell>
          <cell r="H925">
            <v>-65989.810000121593</v>
          </cell>
          <cell r="J925">
            <v>0</v>
          </cell>
        </row>
        <row r="931">
          <cell r="J931">
            <v>8.1061443779617548E-8</v>
          </cell>
        </row>
        <row r="937">
          <cell r="E937">
            <v>2100</v>
          </cell>
          <cell r="F937" t="str">
            <v>Business area</v>
          </cell>
          <cell r="G937" t="str">
            <v>****</v>
          </cell>
        </row>
        <row r="939">
          <cell r="E939" t="str">
            <v>Texts</v>
          </cell>
          <cell r="G939" t="str">
            <v>Reporting period</v>
          </cell>
        </row>
        <row r="940">
          <cell r="G940" t="str">
            <v>(07.2003-06.2004)</v>
          </cell>
        </row>
        <row r="942">
          <cell r="E942" t="str">
            <v>Profit (Loss)</v>
          </cell>
          <cell r="J942">
            <v>0</v>
          </cell>
        </row>
        <row r="949">
          <cell r="E949">
            <v>2100</v>
          </cell>
          <cell r="F949" t="str">
            <v>Business area</v>
          </cell>
          <cell r="G949" t="str">
            <v>****</v>
          </cell>
        </row>
        <row r="951">
          <cell r="E951" t="str">
            <v>Texts</v>
          </cell>
          <cell r="G951" t="str">
            <v>Reporting period</v>
          </cell>
        </row>
        <row r="952">
          <cell r="G952" t="str">
            <v>(07.2003-06.2004)</v>
          </cell>
        </row>
        <row r="954">
          <cell r="E954" t="str">
            <v>F29900C</v>
          </cell>
          <cell r="F954" t="str">
            <v>CLEARING ACCOUNT-ACCOUNTS PAYABLE</v>
          </cell>
          <cell r="G954">
            <v>-106204199.35000001</v>
          </cell>
          <cell r="H954">
            <v>106204199.35000001</v>
          </cell>
          <cell r="J954">
            <v>0</v>
          </cell>
        </row>
        <row r="955">
          <cell r="E955" t="str">
            <v>F29910C</v>
          </cell>
          <cell r="F955" t="str">
            <v>CLEARING ACCOUNT-ACCOUNTS RECEIVABLE</v>
          </cell>
          <cell r="G955">
            <v>196959088.48999998</v>
          </cell>
          <cell r="H955">
            <v>-196959088.48999998</v>
          </cell>
          <cell r="J955">
            <v>0</v>
          </cell>
        </row>
        <row r="956">
          <cell r="E956" t="str">
            <v>F29920C</v>
          </cell>
          <cell r="F956" t="str">
            <v>FI/CO-CLEAR ACCT</v>
          </cell>
          <cell r="G956">
            <v>68496489.140000001</v>
          </cell>
          <cell r="H956">
            <v>-68496489.140000001</v>
          </cell>
          <cell r="J956">
            <v>0</v>
          </cell>
        </row>
        <row r="957">
          <cell r="E957" t="str">
            <v>F29921C</v>
          </cell>
          <cell r="F957" t="str">
            <v>FI/CO-CLEAR ACCT</v>
          </cell>
          <cell r="G957">
            <v>-158985078.41</v>
          </cell>
          <cell r="H957">
            <v>158985078.41</v>
          </cell>
          <cell r="J957">
            <v>0</v>
          </cell>
        </row>
        <row r="958">
          <cell r="E958" t="str">
            <v>F29990C</v>
          </cell>
          <cell r="F958" t="str">
            <v>B/SHEET OFFSET ACCT</v>
          </cell>
          <cell r="G958">
            <v>1034089193.3000001</v>
          </cell>
          <cell r="H958">
            <v>-1034089193.3000001</v>
          </cell>
          <cell r="J958">
            <v>0</v>
          </cell>
        </row>
        <row r="959">
          <cell r="E959" t="str">
            <v>F99990C</v>
          </cell>
          <cell r="F959" t="str">
            <v>P&amp;L OFFSET ACCT</v>
          </cell>
          <cell r="G959">
            <v>-1034089193.3000001</v>
          </cell>
          <cell r="H959">
            <v>1034089193.3000001</v>
          </cell>
          <cell r="J959">
            <v>0</v>
          </cell>
        </row>
        <row r="961">
          <cell r="E961" t="str">
            <v>FERROR1</v>
          </cell>
          <cell r="F961" t="str">
            <v>FERC FLOW OF COSTS TRACE ERRORS</v>
          </cell>
          <cell r="G961">
            <v>0</v>
          </cell>
          <cell r="H961">
            <v>0</v>
          </cell>
          <cell r="J961">
            <v>0</v>
          </cell>
        </row>
        <row r="962">
          <cell r="E962" t="str">
            <v>FACAT0V</v>
          </cell>
          <cell r="F962" t="str">
            <v>FERC TEMPORARY V&amp;S</v>
          </cell>
          <cell r="G962">
            <v>0</v>
          </cell>
          <cell r="H962">
            <v>0</v>
          </cell>
          <cell r="J962">
            <v>0</v>
          </cell>
        </row>
        <row r="963">
          <cell r="E963" t="str">
            <v>FGMLABR</v>
          </cell>
          <cell r="F963" t="str">
            <v>FERC GEN MAP LABOR COST ELEMENTS</v>
          </cell>
          <cell r="G963">
            <v>0</v>
          </cell>
          <cell r="H963">
            <v>0</v>
          </cell>
          <cell r="J963">
            <v>0</v>
          </cell>
        </row>
        <row r="964">
          <cell r="E964" t="str">
            <v>FSCE17C</v>
          </cell>
          <cell r="F964" t="str">
            <v>FERC SEC CE 9101017 ADJUSTMENT</v>
          </cell>
          <cell r="G964">
            <v>0</v>
          </cell>
          <cell r="H964">
            <v>0</v>
          </cell>
          <cell r="J964">
            <v>0</v>
          </cell>
        </row>
        <row r="965">
          <cell r="E965" t="str">
            <v>FSDBB01</v>
          </cell>
          <cell r="F965" t="str">
            <v>FERC FLOW OF COSTS TRACE ERRORS-EB19</v>
          </cell>
          <cell r="G965">
            <v>0</v>
          </cell>
          <cell r="H965">
            <v>0</v>
          </cell>
          <cell r="J965">
            <v>0</v>
          </cell>
        </row>
        <row r="966">
          <cell r="E966" t="str">
            <v>FSDBB02</v>
          </cell>
          <cell r="F966" t="str">
            <v>FERC FLOW OF COSTS TRACE ERRORS-EB07</v>
          </cell>
          <cell r="G966">
            <v>0</v>
          </cell>
          <cell r="H966">
            <v>0</v>
          </cell>
          <cell r="J966">
            <v>0</v>
          </cell>
        </row>
        <row r="967">
          <cell r="E967" t="str">
            <v>FSDBB03</v>
          </cell>
          <cell r="F967" t="str">
            <v>FERC FLOW OF COSTS TRACE ERRORS-EB14</v>
          </cell>
          <cell r="G967">
            <v>0</v>
          </cell>
          <cell r="H967">
            <v>0</v>
          </cell>
          <cell r="J967">
            <v>0</v>
          </cell>
        </row>
        <row r="968">
          <cell r="E968" t="str">
            <v>FSDBB04</v>
          </cell>
          <cell r="F968" t="str">
            <v>FERC FLOW OF COSTS TRACE ERRORS-EB08</v>
          </cell>
          <cell r="G968">
            <v>-148621.82999999999</v>
          </cell>
          <cell r="H968">
            <v>148621.82999999999</v>
          </cell>
          <cell r="J968">
            <v>0</v>
          </cell>
        </row>
        <row r="969">
          <cell r="E969" t="str">
            <v>FSDBB05</v>
          </cell>
          <cell r="F969" t="str">
            <v>FERC FLOW OF COSTS TRACE ERRORS-EB15</v>
          </cell>
          <cell r="G969">
            <v>4.9999999999999996E-2</v>
          </cell>
          <cell r="H969">
            <v>-4.9999999999999996E-2</v>
          </cell>
          <cell r="J969">
            <v>0</v>
          </cell>
        </row>
        <row r="970">
          <cell r="E970" t="str">
            <v>FSDBB06</v>
          </cell>
          <cell r="F970" t="str">
            <v>FERC FLOW OF COSTS TRACE ERRORS-EB02</v>
          </cell>
          <cell r="G970">
            <v>0</v>
          </cell>
          <cell r="H970">
            <v>0</v>
          </cell>
          <cell r="J970">
            <v>0</v>
          </cell>
        </row>
        <row r="971">
          <cell r="E971" t="str">
            <v>FSDBB07</v>
          </cell>
          <cell r="F971" t="str">
            <v>FERC FLOW OF COSTS TRACE ERRORS-EB17</v>
          </cell>
          <cell r="G971">
            <v>-0.01</v>
          </cell>
          <cell r="H971">
            <v>0.01</v>
          </cell>
          <cell r="J971">
            <v>0</v>
          </cell>
        </row>
        <row r="972">
          <cell r="E972" t="str">
            <v>FSDBB08</v>
          </cell>
          <cell r="F972" t="str">
            <v>FERC FLOW OF COSTS TRACE ERRORS-EB18</v>
          </cell>
          <cell r="G972">
            <v>0.05</v>
          </cell>
          <cell r="H972">
            <v>-0.05</v>
          </cell>
          <cell r="J972">
            <v>0</v>
          </cell>
        </row>
        <row r="973">
          <cell r="E973" t="str">
            <v>FSDBB11</v>
          </cell>
          <cell r="F973" t="str">
            <v>FERC FLOW OF COSTS TRACE ERRORS-EB09</v>
          </cell>
          <cell r="G973">
            <v>0</v>
          </cell>
          <cell r="H973">
            <v>0</v>
          </cell>
          <cell r="J973">
            <v>0</v>
          </cell>
        </row>
        <row r="974">
          <cell r="E974" t="str">
            <v>FSDBB12</v>
          </cell>
          <cell r="F974" t="str">
            <v>FERC FLOW OF COSTS TRACE ERRORS-EB10</v>
          </cell>
          <cell r="G974">
            <v>0</v>
          </cell>
          <cell r="H974">
            <v>0</v>
          </cell>
          <cell r="J974">
            <v>0</v>
          </cell>
        </row>
        <row r="975">
          <cell r="E975" t="str">
            <v>FSDBB13</v>
          </cell>
          <cell r="F975" t="str">
            <v>FERC FLOW OF COSTS TRACE ERRORS-EB11</v>
          </cell>
          <cell r="G975">
            <v>-0.13</v>
          </cell>
          <cell r="H975">
            <v>0.13</v>
          </cell>
          <cell r="J975">
            <v>0</v>
          </cell>
        </row>
        <row r="976">
          <cell r="E976" t="str">
            <v>FSDBB14</v>
          </cell>
          <cell r="F976" t="str">
            <v>FERC FLOW OF COSTS TRACE ERRORS-EB12</v>
          </cell>
          <cell r="G976">
            <v>0.12000000000000001</v>
          </cell>
          <cell r="H976">
            <v>-0.12000000000000001</v>
          </cell>
          <cell r="J976">
            <v>0</v>
          </cell>
        </row>
        <row r="977">
          <cell r="E977" t="str">
            <v>FSDBB15</v>
          </cell>
          <cell r="F977" t="str">
            <v>FERC FLOW OF COSTS TRACE ERRORS-EB13</v>
          </cell>
          <cell r="G977">
            <v>-4.9999999999999975E-2</v>
          </cell>
          <cell r="H977">
            <v>4.9999999999999975E-2</v>
          </cell>
          <cell r="J977">
            <v>0</v>
          </cell>
        </row>
        <row r="978">
          <cell r="E978" t="str">
            <v>FSDBB17</v>
          </cell>
          <cell r="F978" t="str">
            <v>FERC FLOW OF COSTS TRACE ERRORS-EB01</v>
          </cell>
          <cell r="G978">
            <v>0.03</v>
          </cell>
          <cell r="H978">
            <v>-0.03</v>
          </cell>
          <cell r="J978">
            <v>0</v>
          </cell>
        </row>
        <row r="979">
          <cell r="E979" t="str">
            <v>FSDBB18</v>
          </cell>
          <cell r="F979" t="str">
            <v>FERC FLOW OF COSTS TRACE ERRORS-EB20</v>
          </cell>
          <cell r="G979">
            <v>0</v>
          </cell>
          <cell r="H979">
            <v>0</v>
          </cell>
          <cell r="J979">
            <v>0</v>
          </cell>
        </row>
        <row r="980">
          <cell r="E980" t="str">
            <v>FSDBB19</v>
          </cell>
          <cell r="F980" t="str">
            <v>FERC FLOW OF COSTS TRACE ERRORS-EB21</v>
          </cell>
          <cell r="G980">
            <v>8.0000000000040927E-2</v>
          </cell>
          <cell r="H980">
            <v>-8.0000000000040927E-2</v>
          </cell>
          <cell r="J980">
            <v>0</v>
          </cell>
        </row>
        <row r="981">
          <cell r="E981" t="str">
            <v>FSDBB20</v>
          </cell>
          <cell r="F981" t="str">
            <v>FERC FLOW OF COSTS TRACE ERRORS-EB22</v>
          </cell>
          <cell r="G981">
            <v>0.10999999999991815</v>
          </cell>
          <cell r="H981">
            <v>-0.10999999999991815</v>
          </cell>
          <cell r="J981">
            <v>0</v>
          </cell>
        </row>
        <row r="982">
          <cell r="E982" t="str">
            <v>FSDBB21</v>
          </cell>
          <cell r="F982" t="str">
            <v>FERC FLOW OF COSTS TRACE ERRORS-EB23</v>
          </cell>
          <cell r="G982">
            <v>0.12999999999990905</v>
          </cell>
          <cell r="H982">
            <v>-0.12999999999990905</v>
          </cell>
          <cell r="J982">
            <v>0</v>
          </cell>
        </row>
        <row r="983">
          <cell r="E983" t="str">
            <v>FSDBB22</v>
          </cell>
          <cell r="F983" t="str">
            <v>FERC FLOW OF COSTS TRACE ERRORS-EB24</v>
          </cell>
          <cell r="G983">
            <v>7.999999999992724E-2</v>
          </cell>
          <cell r="H983">
            <v>-7.999999999992724E-2</v>
          </cell>
          <cell r="J983">
            <v>0</v>
          </cell>
        </row>
        <row r="984">
          <cell r="E984" t="str">
            <v>FSDBB23</v>
          </cell>
          <cell r="F984" t="str">
            <v>FERC FLOW OF COSTS TRACE ERRORS-EB25</v>
          </cell>
          <cell r="G984">
            <v>0.16999999999987264</v>
          </cell>
          <cell r="H984">
            <v>-0.16999999999987264</v>
          </cell>
          <cell r="J984">
            <v>0</v>
          </cell>
        </row>
        <row r="985">
          <cell r="E985" t="str">
            <v>FSDBB24</v>
          </cell>
          <cell r="F985" t="str">
            <v>FERC FLOW OF COSTS TRACE ERRORS-EB26</v>
          </cell>
          <cell r="G985">
            <v>0.12000000000000342</v>
          </cell>
          <cell r="H985">
            <v>-0.12000000000000342</v>
          </cell>
          <cell r="J985">
            <v>0</v>
          </cell>
        </row>
        <row r="986">
          <cell r="E986" t="str">
            <v>FSDBB25</v>
          </cell>
          <cell r="F986" t="str">
            <v>FERC FLOW OF COSTS TRACE ERRORS-EB27</v>
          </cell>
          <cell r="G986">
            <v>0.13999999999990906</v>
          </cell>
          <cell r="H986">
            <v>-0.13999999999990906</v>
          </cell>
          <cell r="J986">
            <v>0</v>
          </cell>
        </row>
        <row r="987">
          <cell r="E987" t="str">
            <v>FSDBB26</v>
          </cell>
          <cell r="F987" t="str">
            <v>FERC FLOW OF COSTS TRACE ERRORS-EB28</v>
          </cell>
          <cell r="G987">
            <v>2.0000000000118229E-2</v>
          </cell>
          <cell r="H987">
            <v>-2.0000000000118229E-2</v>
          </cell>
          <cell r="J987">
            <v>0</v>
          </cell>
        </row>
        <row r="988">
          <cell r="E988" t="str">
            <v>FSDBB27</v>
          </cell>
          <cell r="F988" t="str">
            <v>FERC FLOW OF COSTS TRACE ERRORS-EB29</v>
          </cell>
          <cell r="G988">
            <v>-1.5199999999999729</v>
          </cell>
          <cell r="H988">
            <v>1.5199999999999729</v>
          </cell>
          <cell r="J988">
            <v>0</v>
          </cell>
        </row>
        <row r="989">
          <cell r="E989" t="str">
            <v>FSDBB28</v>
          </cell>
          <cell r="F989" t="str">
            <v>FERC FLOW OF COSTS TRACE ERRORS-EB30</v>
          </cell>
          <cell r="G989">
            <v>0.66999999999998971</v>
          </cell>
          <cell r="H989">
            <v>-0.66999999999998971</v>
          </cell>
          <cell r="J989">
            <v>0</v>
          </cell>
        </row>
        <row r="990">
          <cell r="E990" t="str">
            <v>FSDBB31</v>
          </cell>
          <cell r="F990" t="str">
            <v>FERC FLOW OF COSTS TRACE ERRORS-EB31</v>
          </cell>
          <cell r="G990">
            <v>-0.01</v>
          </cell>
          <cell r="H990">
            <v>0.01</v>
          </cell>
          <cell r="J990">
            <v>0</v>
          </cell>
        </row>
        <row r="991">
          <cell r="E991" t="str">
            <v>FSDBB39</v>
          </cell>
          <cell r="F991" t="str">
            <v>FERC FLOW OF COSTS TRACE ERRORS-EB31</v>
          </cell>
          <cell r="G991">
            <v>4.9999999999999989E-2</v>
          </cell>
          <cell r="H991">
            <v>-4.9999999999999989E-2</v>
          </cell>
          <cell r="J991">
            <v>0</v>
          </cell>
        </row>
        <row r="992">
          <cell r="E992" t="str">
            <v>FSDBB43</v>
          </cell>
          <cell r="F992" t="str">
            <v>FERC FLOW OF COSTS TRACE ERRORS-EB36</v>
          </cell>
          <cell r="G992">
            <v>-0.59000000000000008</v>
          </cell>
          <cell r="H992">
            <v>0.59000000000000008</v>
          </cell>
          <cell r="J992">
            <v>0</v>
          </cell>
        </row>
        <row r="993">
          <cell r="E993" t="str">
            <v>FSDBB44</v>
          </cell>
          <cell r="F993" t="str">
            <v>FERC FLOW OF COSTS TRACE ERRORS-EB34</v>
          </cell>
          <cell r="G993">
            <v>0</v>
          </cell>
          <cell r="H993">
            <v>0</v>
          </cell>
          <cell r="J993">
            <v>0</v>
          </cell>
        </row>
        <row r="994">
          <cell r="E994" t="str">
            <v>FSDBB45</v>
          </cell>
          <cell r="F994" t="str">
            <v>FERC FLOW OF COSTS TRACE ERRORS-EB03</v>
          </cell>
          <cell r="G994">
            <v>-1739.8400000000001</v>
          </cell>
          <cell r="H994">
            <v>1739.8400000000001</v>
          </cell>
          <cell r="J994">
            <v>0</v>
          </cell>
        </row>
        <row r="995">
          <cell r="E995" t="str">
            <v>FSDBB46</v>
          </cell>
          <cell r="F995" t="str">
            <v>FERC FLOW OF COSTS TRACE ERRORS-EB04</v>
          </cell>
          <cell r="G995">
            <v>-49947.729999999989</v>
          </cell>
          <cell r="H995">
            <v>49947.729999999989</v>
          </cell>
          <cell r="J995">
            <v>0</v>
          </cell>
        </row>
        <row r="996">
          <cell r="E996" t="str">
            <v>FSDBB55</v>
          </cell>
          <cell r="F996" t="str">
            <v>FERC FLOW OF COSTS TRACE ERRORS-EB05</v>
          </cell>
          <cell r="G996">
            <v>-0.10000000000000002</v>
          </cell>
          <cell r="H996">
            <v>0.10000000000000002</v>
          </cell>
          <cell r="J996">
            <v>0</v>
          </cell>
        </row>
        <row r="997">
          <cell r="E997" t="str">
            <v>FSDBB57</v>
          </cell>
          <cell r="F997" t="str">
            <v>FERC FLOW OF COSTS TRACE ERRORS-EB16</v>
          </cell>
          <cell r="G997">
            <v>-4.9999999999999996E-2</v>
          </cell>
          <cell r="H997">
            <v>4.9999999999999996E-2</v>
          </cell>
          <cell r="J997">
            <v>0</v>
          </cell>
        </row>
        <row r="998">
          <cell r="E998" t="str">
            <v>FSDBB58</v>
          </cell>
          <cell r="F998" t="str">
            <v>FERC FLOW OF COSTS TRACE ERRORS-EB37</v>
          </cell>
          <cell r="G998">
            <v>-1.9999999999999997E-2</v>
          </cell>
          <cell r="H998">
            <v>1.9999999999999997E-2</v>
          </cell>
          <cell r="J998">
            <v>0</v>
          </cell>
        </row>
        <row r="999">
          <cell r="E999" t="str">
            <v>FSDBB59</v>
          </cell>
          <cell r="F999" t="str">
            <v>FERC FLOW OF COSTS TRACE ERRORS-EB38</v>
          </cell>
          <cell r="G999">
            <v>5.2041704279304213E-18</v>
          </cell>
          <cell r="H999">
            <v>-5.2041704279304213E-18</v>
          </cell>
          <cell r="J999">
            <v>0</v>
          </cell>
        </row>
        <row r="1000">
          <cell r="E1000" t="str">
            <v>F92100E</v>
          </cell>
          <cell r="G1000">
            <v>0.65000000000189173</v>
          </cell>
          <cell r="H1000">
            <v>-0.65000000000189173</v>
          </cell>
          <cell r="J1000">
            <v>0</v>
          </cell>
        </row>
        <row r="1001">
          <cell r="E1001" t="str">
            <v>F92100G</v>
          </cell>
          <cell r="G1001">
            <v>0.16</v>
          </cell>
          <cell r="H1001">
            <v>-0.16</v>
          </cell>
          <cell r="J1001">
            <v>0</v>
          </cell>
        </row>
        <row r="1002">
          <cell r="E1002" t="str">
            <v>F50600E</v>
          </cell>
          <cell r="G1002">
            <v>256.08</v>
          </cell>
          <cell r="H1002">
            <v>-256.08</v>
          </cell>
          <cell r="J1002">
            <v>0</v>
          </cell>
        </row>
        <row r="1003">
          <cell r="E1003" t="str">
            <v>F54900E</v>
          </cell>
          <cell r="G1003">
            <v>0</v>
          </cell>
          <cell r="H1003">
            <v>0</v>
          </cell>
          <cell r="J1003">
            <v>0</v>
          </cell>
        </row>
        <row r="1004">
          <cell r="E1004" t="str">
            <v>F56210E</v>
          </cell>
          <cell r="G1004">
            <v>666.01</v>
          </cell>
          <cell r="H1004">
            <v>-666.01</v>
          </cell>
          <cell r="J1004">
            <v>0</v>
          </cell>
        </row>
        <row r="1005">
          <cell r="E1005" t="str">
            <v>F56600E</v>
          </cell>
          <cell r="G1005">
            <v>70.23</v>
          </cell>
          <cell r="H1005">
            <v>-70.23</v>
          </cell>
          <cell r="J1005">
            <v>0</v>
          </cell>
        </row>
        <row r="1006">
          <cell r="E1006" t="str">
            <v>F58210E</v>
          </cell>
          <cell r="G1006">
            <v>4766.8100000000004</v>
          </cell>
          <cell r="H1006">
            <v>-4766.8100000000004</v>
          </cell>
          <cell r="J1006">
            <v>0</v>
          </cell>
        </row>
        <row r="1007">
          <cell r="E1007" t="str">
            <v>F58510E</v>
          </cell>
          <cell r="G1007">
            <v>27.71</v>
          </cell>
          <cell r="H1007">
            <v>-27.71</v>
          </cell>
          <cell r="J1007">
            <v>0</v>
          </cell>
        </row>
        <row r="1008">
          <cell r="E1008" t="str">
            <v>F58800E</v>
          </cell>
          <cell r="G1008">
            <v>0</v>
          </cell>
          <cell r="H1008">
            <v>0</v>
          </cell>
          <cell r="J1008">
            <v>0</v>
          </cell>
        </row>
        <row r="1009">
          <cell r="E1009" t="str">
            <v>F59210E</v>
          </cell>
          <cell r="G1009">
            <v>2742.86</v>
          </cell>
          <cell r="H1009">
            <v>-2742.86</v>
          </cell>
          <cell r="J1009">
            <v>0</v>
          </cell>
        </row>
        <row r="1010">
          <cell r="E1010" t="str">
            <v>F85310G</v>
          </cell>
          <cell r="G1010">
            <v>279.5</v>
          </cell>
          <cell r="H1010">
            <v>-279.5</v>
          </cell>
          <cell r="J1010">
            <v>0</v>
          </cell>
        </row>
        <row r="1011">
          <cell r="E1011" t="str">
            <v>F85320G</v>
          </cell>
          <cell r="G1011">
            <v>2.39</v>
          </cell>
          <cell r="H1011">
            <v>-2.39</v>
          </cell>
          <cell r="J1011">
            <v>0</v>
          </cell>
        </row>
        <row r="1012">
          <cell r="E1012" t="str">
            <v>F87500G</v>
          </cell>
          <cell r="G1012">
            <v>11.47</v>
          </cell>
          <cell r="H1012">
            <v>-11.47</v>
          </cell>
          <cell r="J1012">
            <v>0</v>
          </cell>
        </row>
        <row r="1013">
          <cell r="E1013" t="str">
            <v>F88510G</v>
          </cell>
          <cell r="G1013">
            <v>21.26</v>
          </cell>
          <cell r="H1013">
            <v>-21.26</v>
          </cell>
          <cell r="J1013">
            <v>0</v>
          </cell>
        </row>
        <row r="1014">
          <cell r="E1014" t="str">
            <v>F88900G</v>
          </cell>
          <cell r="G1014">
            <v>0</v>
          </cell>
          <cell r="H1014">
            <v>0</v>
          </cell>
          <cell r="J1014">
            <v>0</v>
          </cell>
        </row>
        <row r="1015">
          <cell r="E1015" t="str">
            <v>F90300E</v>
          </cell>
          <cell r="G1015">
            <v>1124.22</v>
          </cell>
          <cell r="H1015">
            <v>-1124.22</v>
          </cell>
          <cell r="J1015">
            <v>0</v>
          </cell>
        </row>
        <row r="1016">
          <cell r="E1016" t="str">
            <v>F90300G</v>
          </cell>
          <cell r="G1016">
            <v>615.45000000000005</v>
          </cell>
          <cell r="H1016">
            <v>-615.45000000000005</v>
          </cell>
          <cell r="J1016">
            <v>0</v>
          </cell>
        </row>
        <row r="1017">
          <cell r="E1017" t="str">
            <v>F9210AE</v>
          </cell>
          <cell r="G1017">
            <v>0</v>
          </cell>
          <cell r="H1017">
            <v>0</v>
          </cell>
          <cell r="J1017">
            <v>0</v>
          </cell>
        </row>
        <row r="1018">
          <cell r="E1018" t="str">
            <v>F9210AG</v>
          </cell>
          <cell r="G1018">
            <v>0</v>
          </cell>
          <cell r="H1018">
            <v>0</v>
          </cell>
          <cell r="J1018">
            <v>0</v>
          </cell>
        </row>
        <row r="1019">
          <cell r="E1019" t="str">
            <v>F92600E</v>
          </cell>
          <cell r="G1019">
            <v>104222.59</v>
          </cell>
          <cell r="H1019">
            <v>-104222.59</v>
          </cell>
          <cell r="J1019">
            <v>0</v>
          </cell>
        </row>
        <row r="1020">
          <cell r="E1020" t="str">
            <v>F92600G</v>
          </cell>
          <cell r="G1020">
            <v>44399.3</v>
          </cell>
          <cell r="H1020">
            <v>-44399.3</v>
          </cell>
          <cell r="J1020">
            <v>0</v>
          </cell>
        </row>
        <row r="1021">
          <cell r="E1021" t="str">
            <v>F9260AE</v>
          </cell>
          <cell r="G1021">
            <v>0</v>
          </cell>
          <cell r="H1021">
            <v>0</v>
          </cell>
          <cell r="J1021">
            <v>0</v>
          </cell>
        </row>
        <row r="1022">
          <cell r="E1022" t="str">
            <v>F9260AG</v>
          </cell>
          <cell r="G1022">
            <v>0</v>
          </cell>
          <cell r="H1022">
            <v>0</v>
          </cell>
          <cell r="J1022">
            <v>0</v>
          </cell>
        </row>
        <row r="1023">
          <cell r="E1023" t="str">
            <v>F92800E</v>
          </cell>
          <cell r="G1023">
            <v>0</v>
          </cell>
          <cell r="H1023">
            <v>0</v>
          </cell>
          <cell r="J1023">
            <v>0</v>
          </cell>
        </row>
        <row r="1024">
          <cell r="E1024" t="str">
            <v>F92800G</v>
          </cell>
          <cell r="G1024">
            <v>0</v>
          </cell>
          <cell r="H1024">
            <v>0</v>
          </cell>
          <cell r="J1024">
            <v>0</v>
          </cell>
        </row>
        <row r="1025">
          <cell r="E1025" t="str">
            <v>F9280AE</v>
          </cell>
          <cell r="G1025">
            <v>0</v>
          </cell>
          <cell r="H1025">
            <v>0</v>
          </cell>
          <cell r="J1025">
            <v>0</v>
          </cell>
        </row>
        <row r="1026">
          <cell r="E1026" t="str">
            <v>F9280AG</v>
          </cell>
          <cell r="G1026">
            <v>0</v>
          </cell>
          <cell r="H1026">
            <v>0</v>
          </cell>
          <cell r="J1026">
            <v>0</v>
          </cell>
        </row>
        <row r="1027">
          <cell r="E1027" t="str">
            <v>F93001E</v>
          </cell>
          <cell r="G1027">
            <v>-0.04</v>
          </cell>
          <cell r="H1027">
            <v>0.04</v>
          </cell>
          <cell r="J1027">
            <v>0</v>
          </cell>
        </row>
        <row r="1028">
          <cell r="E1028" t="str">
            <v>F93002E</v>
          </cell>
          <cell r="G1028">
            <v>-826.51</v>
          </cell>
          <cell r="H1028">
            <v>826.51</v>
          </cell>
          <cell r="J1028">
            <v>0</v>
          </cell>
        </row>
        <row r="1029">
          <cell r="E1029" t="str">
            <v>F93003E</v>
          </cell>
          <cell r="G1029">
            <v>0</v>
          </cell>
          <cell r="H1029">
            <v>0</v>
          </cell>
          <cell r="J1029">
            <v>0</v>
          </cell>
        </row>
        <row r="1030">
          <cell r="E1030" t="str">
            <v>F93004E</v>
          </cell>
          <cell r="G1030">
            <v>0</v>
          </cell>
          <cell r="H1030">
            <v>0</v>
          </cell>
          <cell r="J1030">
            <v>0</v>
          </cell>
        </row>
        <row r="1031">
          <cell r="E1031" t="str">
            <v>F93005E</v>
          </cell>
          <cell r="G1031">
            <v>-6370.079999999999</v>
          </cell>
          <cell r="H1031">
            <v>6370.079999999999</v>
          </cell>
          <cell r="J1031">
            <v>0</v>
          </cell>
        </row>
        <row r="1032">
          <cell r="E1032" t="str">
            <v>F93006E</v>
          </cell>
          <cell r="G1032">
            <v>-18577.61</v>
          </cell>
          <cell r="H1032">
            <v>18577.61</v>
          </cell>
          <cell r="J1032">
            <v>0</v>
          </cell>
        </row>
        <row r="1033">
          <cell r="E1033" t="str">
            <v>F93007E</v>
          </cell>
          <cell r="G1033">
            <v>0</v>
          </cell>
          <cell r="H1033">
            <v>0</v>
          </cell>
          <cell r="J1033">
            <v>0</v>
          </cell>
        </row>
        <row r="1034">
          <cell r="E1034" t="str">
            <v>F93008E</v>
          </cell>
          <cell r="G1034">
            <v>-145.46</v>
          </cell>
          <cell r="H1034">
            <v>145.46</v>
          </cell>
          <cell r="J1034">
            <v>0</v>
          </cell>
        </row>
        <row r="1035">
          <cell r="E1035" t="str">
            <v>F93012E</v>
          </cell>
          <cell r="G1035">
            <v>-3598.39</v>
          </cell>
          <cell r="H1035">
            <v>3598.39</v>
          </cell>
          <cell r="J1035">
            <v>0</v>
          </cell>
        </row>
        <row r="1036">
          <cell r="E1036" t="str">
            <v>F93013E</v>
          </cell>
          <cell r="G1036">
            <v>-10261.800000000001</v>
          </cell>
          <cell r="H1036">
            <v>10261.800000000001</v>
          </cell>
          <cell r="J1036">
            <v>0</v>
          </cell>
        </row>
        <row r="1037">
          <cell r="E1037" t="str">
            <v>F93014E</v>
          </cell>
          <cell r="G1037">
            <v>-72658.45</v>
          </cell>
          <cell r="H1037">
            <v>72658.45</v>
          </cell>
          <cell r="J1037">
            <v>0</v>
          </cell>
        </row>
        <row r="1038">
          <cell r="E1038" t="str">
            <v>F93019E</v>
          </cell>
          <cell r="G1038">
            <v>-2742.86</v>
          </cell>
          <cell r="H1038">
            <v>2742.86</v>
          </cell>
          <cell r="J1038">
            <v>0</v>
          </cell>
        </row>
        <row r="1039">
          <cell r="E1039" t="str">
            <v>F93020E</v>
          </cell>
          <cell r="G1039">
            <v>1408.77</v>
          </cell>
          <cell r="H1039">
            <v>-1408.77</v>
          </cell>
          <cell r="J1039">
            <v>0</v>
          </cell>
        </row>
        <row r="1040">
          <cell r="E1040" t="str">
            <v>F93020G</v>
          </cell>
          <cell r="G1040">
            <v>715.06999999999994</v>
          </cell>
          <cell r="H1040">
            <v>-715.06999999999994</v>
          </cell>
          <cell r="J1040">
            <v>0</v>
          </cell>
        </row>
        <row r="1041">
          <cell r="E1041" t="str">
            <v>F93030E</v>
          </cell>
          <cell r="G1041">
            <v>0</v>
          </cell>
          <cell r="H1041">
            <v>0</v>
          </cell>
          <cell r="J1041">
            <v>0</v>
          </cell>
        </row>
        <row r="1042">
          <cell r="E1042" t="str">
            <v>F93100E</v>
          </cell>
          <cell r="G1042">
            <v>0</v>
          </cell>
          <cell r="H1042">
            <v>0</v>
          </cell>
          <cell r="J1042">
            <v>0</v>
          </cell>
        </row>
        <row r="1043">
          <cell r="E1043" t="str">
            <v>F93100G</v>
          </cell>
          <cell r="G1043">
            <v>0</v>
          </cell>
          <cell r="H1043">
            <v>0</v>
          </cell>
          <cell r="J1043">
            <v>0</v>
          </cell>
        </row>
        <row r="1044">
          <cell r="E1044" t="str">
            <v>F93500E</v>
          </cell>
          <cell r="G1044">
            <v>-83983.79</v>
          </cell>
          <cell r="H1044">
            <v>83983.79</v>
          </cell>
          <cell r="J1044">
            <v>0</v>
          </cell>
        </row>
        <row r="1045">
          <cell r="E1045" t="str">
            <v>F93500G</v>
          </cell>
          <cell r="G1045">
            <v>-28155.350000000002</v>
          </cell>
          <cell r="H1045">
            <v>28155.350000000002</v>
          </cell>
          <cell r="J1045">
            <v>0</v>
          </cell>
        </row>
        <row r="1046">
          <cell r="E1046" t="str">
            <v>F9350AE</v>
          </cell>
          <cell r="G1046">
            <v>0</v>
          </cell>
          <cell r="H1046">
            <v>0</v>
          </cell>
          <cell r="J1046">
            <v>0</v>
          </cell>
        </row>
        <row r="1047">
          <cell r="E1047" t="str">
            <v>F9350AG</v>
          </cell>
          <cell r="G1047">
            <v>0</v>
          </cell>
          <cell r="H1047">
            <v>0</v>
          </cell>
          <cell r="J1047">
            <v>0</v>
          </cell>
        </row>
        <row r="1048">
          <cell r="E1048" t="str">
            <v>F93510E</v>
          </cell>
          <cell r="G1048">
            <v>0</v>
          </cell>
          <cell r="H1048">
            <v>0</v>
          </cell>
          <cell r="J1048">
            <v>0</v>
          </cell>
        </row>
        <row r="1049">
          <cell r="E1049" t="str">
            <v>F93510G</v>
          </cell>
          <cell r="G1049">
            <v>0</v>
          </cell>
          <cell r="H1049">
            <v>0</v>
          </cell>
          <cell r="J1049">
            <v>0</v>
          </cell>
        </row>
        <row r="1050">
          <cell r="G1050">
            <v>0</v>
          </cell>
          <cell r="H1050">
            <v>0</v>
          </cell>
          <cell r="J1050">
            <v>0</v>
          </cell>
        </row>
        <row r="1051">
          <cell r="E1051" t="str">
            <v>Total</v>
          </cell>
          <cell r="G1051">
            <v>4.8057700041681528E-9</v>
          </cell>
          <cell r="H1051">
            <v>-4.8057700041681528E-9</v>
          </cell>
          <cell r="I1051">
            <v>0</v>
          </cell>
          <cell r="J1051">
            <v>0</v>
          </cell>
        </row>
        <row r="1054">
          <cell r="E1054" t="str">
            <v>Adjustment Legend</v>
          </cell>
        </row>
        <row r="1055">
          <cell r="E1055" t="str">
            <v>A</v>
          </cell>
          <cell r="F1055" t="str">
            <v>Adjustment for FSDBBxx/F299xx/F999xx accounts</v>
          </cell>
        </row>
        <row r="1056">
          <cell r="E1056" t="str">
            <v>B</v>
          </cell>
          <cell r="F1056" t="str">
            <v>Adjust F920/F921 to tie to BW numbers</v>
          </cell>
        </row>
        <row r="1057">
          <cell r="E1057" t="str">
            <v>C</v>
          </cell>
          <cell r="F1057" t="str">
            <v>Spread F920C - F935C to Electric &amp; Gas</v>
          </cell>
        </row>
        <row r="1058">
          <cell r="E1058" t="str">
            <v>D</v>
          </cell>
          <cell r="F1058" t="str">
            <v>Adjust 419.1 AFUDC</v>
          </cell>
        </row>
        <row r="1059">
          <cell r="E1059" t="str">
            <v>E</v>
          </cell>
          <cell r="F1059" t="str">
            <v>Correct F42610C</v>
          </cell>
        </row>
        <row r="1060">
          <cell r="E1060" t="str">
            <v>F</v>
          </cell>
          <cell r="F1060" t="str">
            <v>Reclass F83500G to F84380G (per Paul)</v>
          </cell>
        </row>
        <row r="1061">
          <cell r="E1061" t="str">
            <v>G</v>
          </cell>
          <cell r="F1061" t="str">
            <v>Remap acct 7509029 from F43700C to F42701C</v>
          </cell>
        </row>
        <row r="1062">
          <cell r="E1062" t="str">
            <v>H</v>
          </cell>
          <cell r="F1062" t="str">
            <v>Spread of Depreciation</v>
          </cell>
        </row>
        <row r="1063">
          <cell r="E1063" t="str">
            <v>I</v>
          </cell>
          <cell r="F1063" t="str">
            <v>Op. Inc. vs. Non-Op Inc. reconciling items</v>
          </cell>
        </row>
        <row r="1064">
          <cell r="E1064" t="str">
            <v>J</v>
          </cell>
          <cell r="F1064" t="str">
            <v>Move incorrect portion from Gas to Elec. on AMDRA internal orders (IO 7007543 - 7007548)</v>
          </cell>
        </row>
        <row r="1065">
          <cell r="E1065" t="str">
            <v>K</v>
          </cell>
          <cell r="F1065" t="str">
            <v>Reclass exp. from F80400G to F88040G</v>
          </cell>
        </row>
        <row r="1066">
          <cell r="E1066" t="str">
            <v>L</v>
          </cell>
          <cell r="F1066" t="str">
            <v>Reclass exp. from F80740G to F80750G</v>
          </cell>
        </row>
        <row r="1067">
          <cell r="E1067" t="str">
            <v>M</v>
          </cell>
          <cell r="F1067" t="str">
            <v>Reclass exp. from F50010E and F50040E to F50000E</v>
          </cell>
        </row>
        <row r="1068">
          <cell r="E1068" t="str">
            <v>N</v>
          </cell>
          <cell r="F1068" t="str">
            <v>Reclass exp. from F90100E to F90300E</v>
          </cell>
        </row>
        <row r="1069">
          <cell r="E1069" t="str">
            <v>O</v>
          </cell>
          <cell r="F1069" t="str">
            <v>Reclass exp. from F90100G to F90300G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>
        <row r="6"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</row>
        <row r="7">
          <cell r="G7" t="str">
            <v>(07.2003-06.2004)</v>
          </cell>
          <cell r="J7" t="str">
            <v>(07.2003-06.2004)</v>
          </cell>
        </row>
        <row r="9">
          <cell r="E9" t="str">
            <v>Operating Revenues:</v>
          </cell>
        </row>
        <row r="10">
          <cell r="E10" t="str">
            <v>F41160C</v>
          </cell>
          <cell r="F10" t="str">
            <v>GAIN FROM DISP UT PLANT</v>
          </cell>
          <cell r="G10">
            <v>0</v>
          </cell>
          <cell r="J10">
            <v>0</v>
          </cell>
        </row>
        <row r="11">
          <cell r="E11" t="str">
            <v>F41160E</v>
          </cell>
          <cell r="F11" t="str">
            <v>GAIN FROM DISP UT PLANT</v>
          </cell>
          <cell r="G11">
            <v>-448759.02</v>
          </cell>
          <cell r="J11">
            <v>-448759.02</v>
          </cell>
        </row>
        <row r="12">
          <cell r="E12" t="str">
            <v>F41170E</v>
          </cell>
          <cell r="F12" t="str">
            <v>LOSSES FROM DISP UT PLANT</v>
          </cell>
          <cell r="G12">
            <v>0</v>
          </cell>
          <cell r="J12">
            <v>0</v>
          </cell>
        </row>
        <row r="13">
          <cell r="E13" t="str">
            <v>F44000C</v>
          </cell>
          <cell r="F13" t="str">
            <v>RESIDENTIAL SALES</v>
          </cell>
          <cell r="G13">
            <v>0</v>
          </cell>
          <cell r="J13">
            <v>0</v>
          </cell>
        </row>
        <row r="14">
          <cell r="E14" t="str">
            <v>F44000E</v>
          </cell>
          <cell r="F14" t="str">
            <v>RESIDENTIAL SALES</v>
          </cell>
          <cell r="G14">
            <v>-703916009</v>
          </cell>
          <cell r="J14">
            <v>-703916009</v>
          </cell>
        </row>
        <row r="15">
          <cell r="E15" t="str">
            <v>F44200C</v>
          </cell>
          <cell r="F15" t="str">
            <v>COMMERCIAL AND INDUSTRIAL SALES</v>
          </cell>
          <cell r="G15">
            <v>0</v>
          </cell>
          <cell r="J15">
            <v>0</v>
          </cell>
        </row>
        <row r="16">
          <cell r="E16" t="str">
            <v>F44200E</v>
          </cell>
          <cell r="F16" t="str">
            <v>COMMERCIAL AND INDUSTRIAL SALES</v>
          </cell>
          <cell r="G16">
            <v>-788157888</v>
          </cell>
          <cell r="J16">
            <v>-788157888</v>
          </cell>
        </row>
        <row r="17">
          <cell r="E17" t="str">
            <v>F44400C</v>
          </cell>
          <cell r="F17" t="str">
            <v>PUBLIC STREET AND HIGHWAY LIGHTING</v>
          </cell>
          <cell r="G17">
            <v>0</v>
          </cell>
          <cell r="J17">
            <v>0</v>
          </cell>
        </row>
        <row r="18">
          <cell r="E18" t="str">
            <v>F44400E</v>
          </cell>
          <cell r="F18" t="str">
            <v>PUBLIC STREET AND HIGHWAY LIGHTING</v>
          </cell>
          <cell r="G18">
            <v>-10675969</v>
          </cell>
          <cell r="J18">
            <v>-10675969</v>
          </cell>
        </row>
        <row r="19">
          <cell r="E19" t="str">
            <v>F44700C</v>
          </cell>
          <cell r="F19" t="str">
            <v>SALES FOR RESALE</v>
          </cell>
          <cell r="G19">
            <v>0</v>
          </cell>
          <cell r="J19">
            <v>0</v>
          </cell>
        </row>
        <row r="20">
          <cell r="E20" t="str">
            <v>F44700E</v>
          </cell>
          <cell r="F20" t="str">
            <v>SALES FOR RESALE</v>
          </cell>
          <cell r="G20">
            <v>747753.91</v>
          </cell>
          <cell r="J20">
            <v>747753.91</v>
          </cell>
        </row>
        <row r="21">
          <cell r="E21" t="str">
            <v>F45100C</v>
          </cell>
          <cell r="F21" t="str">
            <v>MISCELLANEOUS SERVICE REVENUES</v>
          </cell>
          <cell r="G21">
            <v>0</v>
          </cell>
          <cell r="J21">
            <v>0</v>
          </cell>
        </row>
        <row r="22">
          <cell r="E22" t="str">
            <v>F45100E</v>
          </cell>
          <cell r="F22" t="str">
            <v>MISCELLANEOUS SERVICE REVENUES</v>
          </cell>
          <cell r="G22">
            <v>-49680000.890000001</v>
          </cell>
          <cell r="J22">
            <v>-49680000.890000001</v>
          </cell>
        </row>
        <row r="23">
          <cell r="E23" t="str">
            <v>F45400C</v>
          </cell>
          <cell r="F23" t="str">
            <v>RENT FROM ELECTRIC PROPERTY</v>
          </cell>
          <cell r="G23">
            <v>0</v>
          </cell>
          <cell r="J23">
            <v>0</v>
          </cell>
        </row>
        <row r="24">
          <cell r="E24" t="str">
            <v>F45400E</v>
          </cell>
          <cell r="F24" t="str">
            <v>RENT FROM ELECTRIC PROPERTY</v>
          </cell>
          <cell r="G24">
            <v>-4668559.6899999995</v>
          </cell>
          <cell r="J24">
            <v>-4668559.6899999995</v>
          </cell>
        </row>
        <row r="25">
          <cell r="E25" t="str">
            <v>F45600C</v>
          </cell>
          <cell r="F25" t="str">
            <v>OTHER ELECTRIC REVENUES</v>
          </cell>
          <cell r="G25">
            <v>0</v>
          </cell>
          <cell r="J25">
            <v>0</v>
          </cell>
        </row>
        <row r="26">
          <cell r="E26" t="str">
            <v>F45601C</v>
          </cell>
          <cell r="F26" t="str">
            <v>OTHER ELECTRIC REVENUES</v>
          </cell>
          <cell r="G26">
            <v>0</v>
          </cell>
          <cell r="J26">
            <v>0</v>
          </cell>
        </row>
        <row r="27">
          <cell r="E27" t="str">
            <v>F45601E</v>
          </cell>
          <cell r="F27" t="str">
            <v>OTHER ELECTRIC REVENUES</v>
          </cell>
          <cell r="G27">
            <v>-11052.840000000084</v>
          </cell>
          <cell r="J27">
            <v>-11052.840000000084</v>
          </cell>
        </row>
        <row r="28">
          <cell r="E28" t="str">
            <v>F45600E</v>
          </cell>
          <cell r="F28" t="str">
            <v>OTHER ELECTRIC REVENUES</v>
          </cell>
          <cell r="G28">
            <v>-238130416.90000001</v>
          </cell>
          <cell r="J28">
            <v>-238130416.90000001</v>
          </cell>
        </row>
        <row r="29">
          <cell r="E29" t="str">
            <v xml:space="preserve">  Electric</v>
          </cell>
          <cell r="G29">
            <v>-1794940901.4300001</v>
          </cell>
          <cell r="H29">
            <v>0</v>
          </cell>
          <cell r="J29">
            <v>-1794940901.4300001</v>
          </cell>
        </row>
        <row r="31">
          <cell r="E31" t="str">
            <v>F44701C</v>
          </cell>
          <cell r="F31" t="str">
            <v>COST RECOVERY FROM ISO/PX</v>
          </cell>
          <cell r="G31">
            <v>0</v>
          </cell>
          <cell r="J31">
            <v>0</v>
          </cell>
        </row>
        <row r="32">
          <cell r="E32" t="str">
            <v xml:space="preserve"> Cost recovery from PX</v>
          </cell>
          <cell r="G32">
            <v>0</v>
          </cell>
          <cell r="H32">
            <v>0</v>
          </cell>
          <cell r="J32">
            <v>0</v>
          </cell>
        </row>
        <row r="34">
          <cell r="E34" t="str">
            <v xml:space="preserve">     Total Electric Revenues</v>
          </cell>
          <cell r="G34">
            <v>-1794940901.4300001</v>
          </cell>
          <cell r="H34">
            <v>0</v>
          </cell>
          <cell r="J34">
            <v>-1794940901.4300001</v>
          </cell>
        </row>
        <row r="36">
          <cell r="E36" t="str">
            <v>F48000C</v>
          </cell>
          <cell r="F36" t="str">
            <v>RESIDENTIAL SALES</v>
          </cell>
          <cell r="G36">
            <v>0</v>
          </cell>
          <cell r="J36">
            <v>0</v>
          </cell>
        </row>
        <row r="37">
          <cell r="E37" t="str">
            <v>F48000G</v>
          </cell>
          <cell r="F37" t="str">
            <v>RESIDENTIAL SALES</v>
          </cell>
          <cell r="G37">
            <v>-306094902</v>
          </cell>
          <cell r="J37">
            <v>-306094902</v>
          </cell>
        </row>
        <row r="38">
          <cell r="E38" t="str">
            <v>F48100C</v>
          </cell>
          <cell r="F38" t="str">
            <v>COMMERCIAL AND INDUSTRIAL SALES</v>
          </cell>
          <cell r="G38">
            <v>0</v>
          </cell>
          <cell r="J38">
            <v>0</v>
          </cell>
        </row>
        <row r="39">
          <cell r="E39" t="str">
            <v>F48100G</v>
          </cell>
          <cell r="F39" t="str">
            <v>COMMERCIAL AND INDUSTRIAL SALES</v>
          </cell>
          <cell r="G39">
            <v>-135519771</v>
          </cell>
          <cell r="J39">
            <v>-135519771</v>
          </cell>
        </row>
        <row r="40">
          <cell r="E40" t="str">
            <v>F48300C</v>
          </cell>
          <cell r="F40" t="str">
            <v>SALES FOR RESALE</v>
          </cell>
          <cell r="G40">
            <v>0</v>
          </cell>
          <cell r="J40">
            <v>0</v>
          </cell>
        </row>
        <row r="41">
          <cell r="E41" t="str">
            <v>F48400C</v>
          </cell>
          <cell r="F41" t="str">
            <v>INTERDEPARTMENTAL SALES</v>
          </cell>
          <cell r="G41">
            <v>0</v>
          </cell>
          <cell r="J41">
            <v>0</v>
          </cell>
        </row>
        <row r="42">
          <cell r="E42" t="str">
            <v>F48800C</v>
          </cell>
          <cell r="F42" t="str">
            <v>MISCELLANEOUS SERVICE REVENUES</v>
          </cell>
          <cell r="G42">
            <v>0</v>
          </cell>
          <cell r="J42">
            <v>0</v>
          </cell>
        </row>
        <row r="43">
          <cell r="E43" t="str">
            <v>F48800G</v>
          </cell>
          <cell r="F43" t="str">
            <v>MISCELLANEOUS SERVICE REVENUES</v>
          </cell>
          <cell r="G43">
            <v>-4750991.45</v>
          </cell>
          <cell r="J43">
            <v>-4750991.45</v>
          </cell>
        </row>
        <row r="44">
          <cell r="E44" t="str">
            <v>F48900C</v>
          </cell>
          <cell r="F44" t="str">
            <v>REV. FROM TRANS. OF GAS OF OTHERS</v>
          </cell>
          <cell r="G44">
            <v>0</v>
          </cell>
          <cell r="J44">
            <v>0</v>
          </cell>
        </row>
        <row r="45">
          <cell r="E45" t="str">
            <v>F48930C</v>
          </cell>
          <cell r="F45" t="str">
            <v xml:space="preserve">REVENUE FM TRANS OF GAS FOR OTHER COMPANIES </v>
          </cell>
          <cell r="G45">
            <v>0</v>
          </cell>
          <cell r="J45">
            <v>0</v>
          </cell>
        </row>
        <row r="46">
          <cell r="E46" t="str">
            <v>F48930G</v>
          </cell>
          <cell r="F46" t="str">
            <v xml:space="preserve">REVENUE FM TRANS OF GAS FOR OTHER COMPANIES </v>
          </cell>
          <cell r="G46">
            <v>-38659343</v>
          </cell>
          <cell r="J46">
            <v>-38659343</v>
          </cell>
        </row>
        <row r="47">
          <cell r="E47" t="str">
            <v>F49300C</v>
          </cell>
          <cell r="F47" t="str">
            <v>RENT FROM GAS PROPERTY</v>
          </cell>
          <cell r="G47">
            <v>0</v>
          </cell>
          <cell r="J47">
            <v>0</v>
          </cell>
        </row>
        <row r="48">
          <cell r="E48" t="str">
            <v>F49300G</v>
          </cell>
          <cell r="F48" t="str">
            <v>RENT FROM GAS PROPERTY</v>
          </cell>
          <cell r="G48">
            <v>-114479.65000000001</v>
          </cell>
          <cell r="J48">
            <v>-114479.65000000001</v>
          </cell>
        </row>
        <row r="49">
          <cell r="E49" t="str">
            <v>F49500C</v>
          </cell>
          <cell r="F49" t="str">
            <v>OTHER GAS REVENUES</v>
          </cell>
          <cell r="G49">
            <v>0</v>
          </cell>
          <cell r="J49">
            <v>0</v>
          </cell>
        </row>
        <row r="50">
          <cell r="E50" t="str">
            <v>F49500G</v>
          </cell>
          <cell r="F50" t="str">
            <v>OTHER GAS REVENUES</v>
          </cell>
          <cell r="G50">
            <v>-44549402.340000004</v>
          </cell>
          <cell r="J50">
            <v>-44549402.340000004</v>
          </cell>
        </row>
        <row r="51">
          <cell r="E51" t="str">
            <v xml:space="preserve">  Gas</v>
          </cell>
          <cell r="G51">
            <v>-529688889.43999994</v>
          </cell>
          <cell r="H51">
            <v>0</v>
          </cell>
          <cell r="J51">
            <v>-529688889.43999994</v>
          </cell>
        </row>
        <row r="53">
          <cell r="E53" t="str">
            <v xml:space="preserve">        Total Operating Revenues</v>
          </cell>
          <cell r="G53">
            <v>-2324629790.8699999</v>
          </cell>
          <cell r="H53">
            <v>0</v>
          </cell>
          <cell r="J53">
            <v>-2324629790.8699999</v>
          </cell>
        </row>
        <row r="55">
          <cell r="E55" t="str">
            <v>Operating Expenses:</v>
          </cell>
        </row>
        <row r="56">
          <cell r="E56" t="str">
            <v>F50100E</v>
          </cell>
          <cell r="F56" t="str">
            <v>FUEL</v>
          </cell>
          <cell r="G56">
            <v>151.22</v>
          </cell>
          <cell r="J56">
            <v>151.22</v>
          </cell>
        </row>
        <row r="57">
          <cell r="E57" t="str">
            <v>F50100E</v>
          </cell>
          <cell r="H57">
            <v>-151.22</v>
          </cell>
          <cell r="J57">
            <v>-151.22</v>
          </cell>
        </row>
        <row r="58">
          <cell r="E58" t="str">
            <v>F50140E</v>
          </cell>
          <cell r="F58" t="str">
            <v>FUEL</v>
          </cell>
          <cell r="G58">
            <v>0</v>
          </cell>
          <cell r="J58">
            <v>0</v>
          </cell>
        </row>
        <row r="59">
          <cell r="E59" t="str">
            <v>F51800E</v>
          </cell>
          <cell r="F59" t="str">
            <v>FUEL</v>
          </cell>
          <cell r="G59">
            <v>14736164.959999997</v>
          </cell>
          <cell r="J59">
            <v>14736164.959999997</v>
          </cell>
        </row>
        <row r="60">
          <cell r="E60" t="str">
            <v>F54700E</v>
          </cell>
          <cell r="F60" t="str">
            <v>FUEL</v>
          </cell>
          <cell r="G60">
            <v>61996.810000000012</v>
          </cell>
          <cell r="J60">
            <v>61996.810000000012</v>
          </cell>
        </row>
        <row r="61">
          <cell r="E61" t="str">
            <v>F55500E</v>
          </cell>
          <cell r="F61" t="str">
            <v>PURCHASED POWER</v>
          </cell>
          <cell r="G61">
            <v>320059458.13999999</v>
          </cell>
          <cell r="J61">
            <v>320059458.13999999</v>
          </cell>
        </row>
        <row r="62">
          <cell r="E62" t="str">
            <v>F55501E</v>
          </cell>
          <cell r="F62" t="str">
            <v>PX POWER</v>
          </cell>
          <cell r="G62">
            <v>44626768.969999991</v>
          </cell>
          <cell r="J62">
            <v>44626768.969999991</v>
          </cell>
        </row>
        <row r="63">
          <cell r="E63" t="str">
            <v xml:space="preserve">  Electric Fuel, Purch Power and PX Power</v>
          </cell>
          <cell r="G63">
            <v>379484540.09999996</v>
          </cell>
          <cell r="H63">
            <v>-151.22</v>
          </cell>
          <cell r="J63">
            <v>379484388.87999994</v>
          </cell>
        </row>
        <row r="65">
          <cell r="E65" t="str">
            <v>F48401C</v>
          </cell>
          <cell r="F65" t="str">
            <v>GAS FUEL</v>
          </cell>
          <cell r="G65">
            <v>0</v>
          </cell>
          <cell r="J65">
            <v>0</v>
          </cell>
        </row>
        <row r="66">
          <cell r="E66" t="str">
            <v>F80300G</v>
          </cell>
          <cell r="F66" t="str">
            <v>NATURAL GAS TRANSMISSION LINE PURCHASES</v>
          </cell>
          <cell r="G66">
            <v>295977545.49000001</v>
          </cell>
          <cell r="J66">
            <v>295977545.49000001</v>
          </cell>
        </row>
        <row r="67">
          <cell r="E67" t="str">
            <v>F80400G</v>
          </cell>
          <cell r="F67" t="str">
            <v>NATURAL GAS TRANSMISSION LINE PURCHASES</v>
          </cell>
          <cell r="G67">
            <v>1028.5999999999999</v>
          </cell>
          <cell r="J67">
            <v>1028.5999999999999</v>
          </cell>
        </row>
        <row r="68">
          <cell r="E68" t="str">
            <v>F80400G</v>
          </cell>
          <cell r="H68">
            <v>-1028.5999999999999</v>
          </cell>
          <cell r="J68">
            <v>-1028.5999999999999</v>
          </cell>
        </row>
        <row r="69">
          <cell r="E69" t="str">
            <v>F80410G</v>
          </cell>
          <cell r="F69" t="str">
            <v>LNG PURCHASES</v>
          </cell>
          <cell r="G69">
            <v>97607.900000000009</v>
          </cell>
          <cell r="J69">
            <v>97607.900000000009</v>
          </cell>
        </row>
        <row r="70">
          <cell r="E70" t="str">
            <v>F80720G</v>
          </cell>
          <cell r="F70" t="str">
            <v>OPERATION OF PURCH GAS MEASURING STATIO</v>
          </cell>
          <cell r="G70">
            <v>0</v>
          </cell>
          <cell r="J70">
            <v>0</v>
          </cell>
        </row>
        <row r="71">
          <cell r="E71" t="str">
            <v>F80740G</v>
          </cell>
          <cell r="F71" t="str">
            <v>PURCHASED GAS CALCULATIONS EXPENSE</v>
          </cell>
          <cell r="G71">
            <v>0</v>
          </cell>
          <cell r="J71">
            <v>0</v>
          </cell>
        </row>
        <row r="72">
          <cell r="E72" t="str">
            <v>F80740G</v>
          </cell>
          <cell r="J72">
            <v>0</v>
          </cell>
        </row>
        <row r="73">
          <cell r="E73" t="str">
            <v>F80750G</v>
          </cell>
          <cell r="F73" t="str">
            <v>OTHER PURCHASED GAS EXPENSES</v>
          </cell>
          <cell r="G73">
            <v>1133390.6099999999</v>
          </cell>
          <cell r="J73">
            <v>1133390.6099999999</v>
          </cell>
        </row>
        <row r="74">
          <cell r="E74" t="str">
            <v>F80750G</v>
          </cell>
          <cell r="J74">
            <v>0</v>
          </cell>
        </row>
        <row r="75">
          <cell r="E75" t="str">
            <v>F80810G</v>
          </cell>
          <cell r="F75" t="str">
            <v>GAS WITHDRAWN FROM STORAGE - DEBIT</v>
          </cell>
          <cell r="G75">
            <v>66221.02</v>
          </cell>
          <cell r="J75">
            <v>66221.02</v>
          </cell>
        </row>
        <row r="76">
          <cell r="E76" t="str">
            <v>F80820G</v>
          </cell>
          <cell r="F76" t="str">
            <v>GAS DELIVERED TO STORAGE - CREDIT</v>
          </cell>
          <cell r="G76">
            <v>-68129</v>
          </cell>
          <cell r="J76">
            <v>-68129</v>
          </cell>
        </row>
        <row r="77">
          <cell r="E77" t="str">
            <v>F81000G</v>
          </cell>
          <cell r="F77" t="str">
            <v>GAS USED FOR COMPRESSOR STATION FUEL -</v>
          </cell>
          <cell r="G77">
            <v>-1050688.29</v>
          </cell>
          <cell r="J77">
            <v>-1050688.29</v>
          </cell>
        </row>
        <row r="78">
          <cell r="E78" t="str">
            <v>F81000G</v>
          </cell>
          <cell r="H78">
            <v>-21.71</v>
          </cell>
          <cell r="J78">
            <v>-21.71</v>
          </cell>
        </row>
        <row r="79">
          <cell r="E79" t="str">
            <v>F81200G</v>
          </cell>
          <cell r="F79" t="str">
            <v>GAS USED FOR OTHER UTILITY OPERATIONS -</v>
          </cell>
          <cell r="G79">
            <v>-173491.55999999997</v>
          </cell>
          <cell r="J79">
            <v>-173491.55999999997</v>
          </cell>
        </row>
        <row r="80">
          <cell r="E80" t="str">
            <v xml:space="preserve">  Gas Fuel</v>
          </cell>
          <cell r="G80">
            <v>295983484.76999998</v>
          </cell>
          <cell r="H80">
            <v>-1050.31</v>
          </cell>
          <cell r="J80">
            <v>295982434.45999998</v>
          </cell>
        </row>
        <row r="82">
          <cell r="E82" t="str">
            <v>Total Fuel Expenses</v>
          </cell>
          <cell r="G82">
            <v>675468024.86999989</v>
          </cell>
          <cell r="H82">
            <v>-1201.53</v>
          </cell>
          <cell r="J82">
            <v>675466823.33999991</v>
          </cell>
        </row>
        <row r="84">
          <cell r="E84" t="str">
            <v>F81400G</v>
          </cell>
          <cell r="F84" t="str">
            <v>OPERATION SUPERVISION &amp; ENGINEERING</v>
          </cell>
          <cell r="G84">
            <v>0</v>
          </cell>
          <cell r="J84">
            <v>0</v>
          </cell>
        </row>
        <row r="85">
          <cell r="E85" t="str">
            <v>F81700G</v>
          </cell>
          <cell r="F85" t="str">
            <v>LINES EXPENSE</v>
          </cell>
          <cell r="G85">
            <v>0</v>
          </cell>
          <cell r="J85">
            <v>0</v>
          </cell>
        </row>
        <row r="86">
          <cell r="E86" t="str">
            <v>F82000G</v>
          </cell>
          <cell r="F86" t="str">
            <v>MEASURING AND REGULATING STATION EXPENS</v>
          </cell>
          <cell r="G86">
            <v>0</v>
          </cell>
          <cell r="H86">
            <v>0</v>
          </cell>
          <cell r="J86">
            <v>0</v>
          </cell>
        </row>
        <row r="87">
          <cell r="E87" t="str">
            <v>F82100C</v>
          </cell>
          <cell r="F87" t="str">
            <v>PURIFICATION EXPENSES</v>
          </cell>
          <cell r="G87">
            <v>0</v>
          </cell>
          <cell r="H87">
            <v>0</v>
          </cell>
          <cell r="J87">
            <v>0</v>
          </cell>
        </row>
        <row r="88">
          <cell r="E88" t="str">
            <v>F82200G</v>
          </cell>
          <cell r="F88" t="str">
            <v>EXPLORATION AND DEVELOPMENT</v>
          </cell>
          <cell r="G88">
            <v>0</v>
          </cell>
          <cell r="J88">
            <v>0</v>
          </cell>
        </row>
        <row r="89">
          <cell r="E89" t="str">
            <v>F82300G</v>
          </cell>
          <cell r="F89" t="str">
            <v>GAS LOSSES</v>
          </cell>
          <cell r="G89">
            <v>0</v>
          </cell>
          <cell r="H89">
            <v>0</v>
          </cell>
          <cell r="J89">
            <v>0</v>
          </cell>
        </row>
        <row r="90">
          <cell r="E90" t="str">
            <v>F82400C</v>
          </cell>
          <cell r="F90" t="str">
            <v>OTHER EXPENSES</v>
          </cell>
          <cell r="G90">
            <v>0</v>
          </cell>
          <cell r="H90">
            <v>0</v>
          </cell>
          <cell r="J90">
            <v>0</v>
          </cell>
        </row>
        <row r="91">
          <cell r="E91" t="str">
            <v>F82500C</v>
          </cell>
          <cell r="F91" t="str">
            <v>STORAGE WELL ROYALTIES</v>
          </cell>
          <cell r="G91">
            <v>0</v>
          </cell>
          <cell r="H91">
            <v>0</v>
          </cell>
          <cell r="J91">
            <v>0</v>
          </cell>
        </row>
        <row r="92">
          <cell r="E92" t="str">
            <v xml:space="preserve">     Other Gas Supply</v>
          </cell>
          <cell r="G92">
            <v>0</v>
          </cell>
          <cell r="H92">
            <v>0</v>
          </cell>
          <cell r="J92">
            <v>0</v>
          </cell>
        </row>
        <row r="94">
          <cell r="E94" t="str">
            <v>F50000E</v>
          </cell>
          <cell r="F94" t="str">
            <v>OPERATION SUPERVISION AND ENGINEERING</v>
          </cell>
          <cell r="G94">
            <v>10661.65</v>
          </cell>
          <cell r="J94">
            <v>10661.65</v>
          </cell>
        </row>
        <row r="95">
          <cell r="E95" t="str">
            <v>F50000E</v>
          </cell>
          <cell r="H95">
            <v>113.18</v>
          </cell>
          <cell r="J95">
            <v>113.18</v>
          </cell>
        </row>
        <row r="96">
          <cell r="E96" t="str">
            <v>F50010E</v>
          </cell>
          <cell r="F96" t="str">
            <v>OPERATION SUPERVISION AND ENGINEERING</v>
          </cell>
          <cell r="G96">
            <v>113.06</v>
          </cell>
          <cell r="J96">
            <v>113.06</v>
          </cell>
        </row>
        <row r="97">
          <cell r="E97" t="str">
            <v>F50010E</v>
          </cell>
          <cell r="H97">
            <v>-113.06</v>
          </cell>
          <cell r="J97">
            <v>-113.06</v>
          </cell>
        </row>
        <row r="98">
          <cell r="E98" t="str">
            <v>F50020E</v>
          </cell>
          <cell r="F98" t="str">
            <v>OPERATION SUPERVISION AND ENGINEERING</v>
          </cell>
          <cell r="G98">
            <v>0</v>
          </cell>
          <cell r="J98">
            <v>0</v>
          </cell>
        </row>
        <row r="99">
          <cell r="E99" t="str">
            <v>F50040E</v>
          </cell>
          <cell r="F99" t="str">
            <v>OPERATION SUPERVISION AND ENGINEERING</v>
          </cell>
          <cell r="G99">
            <v>0.11999999999999744</v>
          </cell>
          <cell r="J99">
            <v>0.11999999999999744</v>
          </cell>
        </row>
        <row r="100">
          <cell r="E100" t="str">
            <v>F50040E</v>
          </cell>
          <cell r="H100">
            <v>-0.12</v>
          </cell>
          <cell r="J100">
            <v>-0.12</v>
          </cell>
        </row>
        <row r="101">
          <cell r="E101" t="str">
            <v>F50060E</v>
          </cell>
          <cell r="F101" t="str">
            <v>OPERATION SUPERVISION AND ENGINEERING</v>
          </cell>
          <cell r="G101">
            <v>0</v>
          </cell>
          <cell r="J101">
            <v>0</v>
          </cell>
        </row>
        <row r="102">
          <cell r="E102" t="str">
            <v>F50070E</v>
          </cell>
          <cell r="F102" t="str">
            <v>OPERATION SUPERVISION AND ENGINEERING</v>
          </cell>
          <cell r="G102">
            <v>0</v>
          </cell>
          <cell r="J102">
            <v>0</v>
          </cell>
        </row>
        <row r="103">
          <cell r="E103" t="str">
            <v>F50200E</v>
          </cell>
          <cell r="F103" t="str">
            <v>STEAM EXPENSES</v>
          </cell>
          <cell r="G103">
            <v>-1925.53</v>
          </cell>
          <cell r="J103">
            <v>-1925.53</v>
          </cell>
        </row>
        <row r="104">
          <cell r="E104" t="str">
            <v>F50200E</v>
          </cell>
          <cell r="H104">
            <v>1925.53</v>
          </cell>
          <cell r="J104">
            <v>1925.53</v>
          </cell>
        </row>
        <row r="105">
          <cell r="E105" t="str">
            <v>F50210E</v>
          </cell>
          <cell r="F105" t="str">
            <v>STEAM EXPENSES</v>
          </cell>
          <cell r="G105">
            <v>0</v>
          </cell>
          <cell r="J105">
            <v>0</v>
          </cell>
        </row>
        <row r="106">
          <cell r="E106" t="str">
            <v>F50210E</v>
          </cell>
          <cell r="H106">
            <v>0</v>
          </cell>
          <cell r="J106">
            <v>0</v>
          </cell>
        </row>
        <row r="107">
          <cell r="E107" t="str">
            <v>F50500E</v>
          </cell>
          <cell r="F107" t="str">
            <v>ELECTRIC EXPENSES</v>
          </cell>
          <cell r="G107">
            <v>1606.75</v>
          </cell>
          <cell r="J107">
            <v>1606.75</v>
          </cell>
        </row>
        <row r="108">
          <cell r="E108" t="str">
            <v>F50500E</v>
          </cell>
          <cell r="H108">
            <v>-1606.75</v>
          </cell>
          <cell r="J108">
            <v>-1606.75</v>
          </cell>
        </row>
        <row r="109">
          <cell r="E109" t="str">
            <v>F50510E</v>
          </cell>
          <cell r="F109" t="str">
            <v>ELECTRIC EXPENSES</v>
          </cell>
          <cell r="G109">
            <v>0</v>
          </cell>
          <cell r="J109">
            <v>0</v>
          </cell>
        </row>
        <row r="110">
          <cell r="E110" t="str">
            <v>F50510E</v>
          </cell>
          <cell r="H110">
            <v>0</v>
          </cell>
          <cell r="J110">
            <v>0</v>
          </cell>
        </row>
        <row r="111">
          <cell r="E111" t="str">
            <v>F50530E</v>
          </cell>
          <cell r="F111" t="str">
            <v>ELECTRIC EXPENSES</v>
          </cell>
          <cell r="G111">
            <v>0</v>
          </cell>
          <cell r="J111">
            <v>0</v>
          </cell>
        </row>
        <row r="112">
          <cell r="E112" t="str">
            <v>F50540E</v>
          </cell>
          <cell r="F112" t="str">
            <v>ELECTRIC EXPENSES</v>
          </cell>
          <cell r="G112">
            <v>0</v>
          </cell>
          <cell r="J112">
            <v>0</v>
          </cell>
        </row>
        <row r="113">
          <cell r="E113" t="str">
            <v>F50560E</v>
          </cell>
          <cell r="F113" t="str">
            <v>ELECTRIC EXPENSES</v>
          </cell>
          <cell r="G113">
            <v>0</v>
          </cell>
          <cell r="J113">
            <v>0</v>
          </cell>
        </row>
        <row r="114">
          <cell r="E114" t="str">
            <v>F50570E</v>
          </cell>
          <cell r="F114" t="str">
            <v>ELECTRIC EXPENSES</v>
          </cell>
          <cell r="G114">
            <v>0</v>
          </cell>
          <cell r="J114">
            <v>0</v>
          </cell>
        </row>
        <row r="115">
          <cell r="E115" t="str">
            <v>F50600E</v>
          </cell>
          <cell r="F115" t="str">
            <v>MISCELLANEOUS STEAM POWER EXPENSES</v>
          </cell>
          <cell r="G115">
            <v>797944.86</v>
          </cell>
          <cell r="H115">
            <v>-256.08</v>
          </cell>
          <cell r="J115">
            <v>797688.78</v>
          </cell>
        </row>
        <row r="116">
          <cell r="E116" t="str">
            <v>F50600E</v>
          </cell>
          <cell r="J116">
            <v>0</v>
          </cell>
        </row>
        <row r="117">
          <cell r="E117" t="str">
            <v>F50600E</v>
          </cell>
          <cell r="H117">
            <v>60.13</v>
          </cell>
          <cell r="J117">
            <v>60.13</v>
          </cell>
        </row>
        <row r="118">
          <cell r="E118" t="str">
            <v>F50600E</v>
          </cell>
          <cell r="H118">
            <v>-318.77999999999997</v>
          </cell>
          <cell r="J118">
            <v>-318.77999999999997</v>
          </cell>
        </row>
        <row r="119">
          <cell r="E119" t="str">
            <v>F50700E</v>
          </cell>
          <cell r="F119" t="str">
            <v>RENTS</v>
          </cell>
          <cell r="G119">
            <v>162472.13000000003</v>
          </cell>
          <cell r="J119">
            <v>162472.13000000003</v>
          </cell>
        </row>
        <row r="120">
          <cell r="E120" t="str">
            <v>F50900E</v>
          </cell>
          <cell r="F120" t="str">
            <v>RENTS</v>
          </cell>
          <cell r="G120">
            <v>0</v>
          </cell>
          <cell r="J120">
            <v>0</v>
          </cell>
        </row>
        <row r="121">
          <cell r="E121" t="str">
            <v xml:space="preserve">     Steam Generation Operations</v>
          </cell>
          <cell r="G121">
            <v>970873.04</v>
          </cell>
          <cell r="H121">
            <v>-195.95</v>
          </cell>
          <cell r="J121">
            <v>970677.09</v>
          </cell>
        </row>
        <row r="123">
          <cell r="E123" t="str">
            <v>F51700E</v>
          </cell>
          <cell r="F123" t="str">
            <v>OPERATION SUPERVISION AND ENGINEERING</v>
          </cell>
          <cell r="G123">
            <v>19038478.289999999</v>
          </cell>
          <cell r="J123">
            <v>19038478.289999999</v>
          </cell>
        </row>
        <row r="124">
          <cell r="E124" t="str">
            <v>F51900E</v>
          </cell>
          <cell r="F124" t="str">
            <v>COOLANTS AND WATER</v>
          </cell>
          <cell r="G124">
            <v>177667.75999999998</v>
          </cell>
          <cell r="J124">
            <v>177667.75999999998</v>
          </cell>
        </row>
        <row r="125">
          <cell r="E125" t="str">
            <v>F52000E</v>
          </cell>
          <cell r="F125" t="str">
            <v>STEAM EXPENSES</v>
          </cell>
          <cell r="G125">
            <v>7800569</v>
          </cell>
          <cell r="J125">
            <v>7800569</v>
          </cell>
        </row>
        <row r="126">
          <cell r="E126" t="str">
            <v>F52300E</v>
          </cell>
          <cell r="F126" t="str">
            <v>ELECTRIC EXPENSES</v>
          </cell>
          <cell r="G126">
            <v>1928937.47</v>
          </cell>
          <cell r="J126">
            <v>1928937.47</v>
          </cell>
        </row>
        <row r="127">
          <cell r="E127" t="str">
            <v>F52400E</v>
          </cell>
          <cell r="F127" t="str">
            <v>MISCELLANEOUS NUCLEAR POWER EXPENSES</v>
          </cell>
          <cell r="G127">
            <v>23932409.91</v>
          </cell>
          <cell r="J127">
            <v>23932409.91</v>
          </cell>
        </row>
        <row r="128">
          <cell r="E128" t="str">
            <v>F52500E</v>
          </cell>
          <cell r="F128" t="str">
            <v>RENTS</v>
          </cell>
          <cell r="G128">
            <v>267124.46999999997</v>
          </cell>
          <cell r="J128">
            <v>267124.46999999997</v>
          </cell>
        </row>
        <row r="129">
          <cell r="E129" t="str">
            <v xml:space="preserve">     Nuclear Operations</v>
          </cell>
          <cell r="G129">
            <v>53145186.899999999</v>
          </cell>
          <cell r="H129">
            <v>0</v>
          </cell>
          <cell r="J129">
            <v>53145186.899999999</v>
          </cell>
        </row>
        <row r="131">
          <cell r="E131" t="str">
            <v>F54600E</v>
          </cell>
          <cell r="F131" t="str">
            <v>OPERATION SUPERVISION AND ENGINEERING</v>
          </cell>
          <cell r="G131">
            <v>0</v>
          </cell>
          <cell r="J131">
            <v>0</v>
          </cell>
        </row>
        <row r="132">
          <cell r="E132" t="str">
            <v>F54610E</v>
          </cell>
          <cell r="F132" t="str">
            <v>OPERATION SUPERVISION AND ENGINEERING</v>
          </cell>
          <cell r="G132">
            <v>0</v>
          </cell>
          <cell r="J132">
            <v>0</v>
          </cell>
        </row>
        <row r="133">
          <cell r="E133" t="str">
            <v>F54800E</v>
          </cell>
          <cell r="F133" t="str">
            <v>GENERATION EXPENSES</v>
          </cell>
          <cell r="G133">
            <v>0</v>
          </cell>
          <cell r="J133">
            <v>0</v>
          </cell>
        </row>
        <row r="134">
          <cell r="E134" t="str">
            <v>F54900E</v>
          </cell>
          <cell r="F134" t="str">
            <v>MISCELLANEOUS OTHER POWER GENERATION EX</v>
          </cell>
          <cell r="G134">
            <v>48118.14</v>
          </cell>
          <cell r="H134">
            <v>0</v>
          </cell>
          <cell r="J134">
            <v>48118.14</v>
          </cell>
        </row>
        <row r="135">
          <cell r="E135" t="str">
            <v>F54900E</v>
          </cell>
          <cell r="J135">
            <v>0</v>
          </cell>
        </row>
        <row r="136">
          <cell r="E136" t="str">
            <v>F55000E</v>
          </cell>
          <cell r="F136" t="str">
            <v>RENTS</v>
          </cell>
          <cell r="G136">
            <v>17.38</v>
          </cell>
          <cell r="J136">
            <v>17.38</v>
          </cell>
        </row>
        <row r="137">
          <cell r="E137" t="str">
            <v>F55000E</v>
          </cell>
          <cell r="H137">
            <v>-17.38</v>
          </cell>
          <cell r="J137">
            <v>-17.38</v>
          </cell>
        </row>
        <row r="138">
          <cell r="E138" t="str">
            <v xml:space="preserve">     Other Generation Operations</v>
          </cell>
          <cell r="G138">
            <v>48135.519999999997</v>
          </cell>
          <cell r="H138">
            <v>-17.38</v>
          </cell>
          <cell r="J138">
            <v>48118.14</v>
          </cell>
        </row>
        <row r="140">
          <cell r="E140" t="str">
            <v>F55600E</v>
          </cell>
          <cell r="F140" t="str">
            <v>SYSTEM CONTROL AND LOAD DISPATCHING</v>
          </cell>
          <cell r="G140">
            <v>2681185.9200000004</v>
          </cell>
          <cell r="J140">
            <v>2681185.9200000004</v>
          </cell>
        </row>
        <row r="141">
          <cell r="E141" t="str">
            <v>F55700E</v>
          </cell>
          <cell r="F141" t="str">
            <v>OTHER EXPENSES</v>
          </cell>
          <cell r="G141">
            <v>4064426.4200000009</v>
          </cell>
          <cell r="J141">
            <v>4064426.4200000009</v>
          </cell>
        </row>
        <row r="142">
          <cell r="E142" t="str">
            <v>F55720E</v>
          </cell>
          <cell r="F142" t="str">
            <v>OTHER EXPENSES</v>
          </cell>
          <cell r="G142">
            <v>0</v>
          </cell>
          <cell r="J142">
            <v>0</v>
          </cell>
        </row>
        <row r="143">
          <cell r="E143" t="str">
            <v>F55780E</v>
          </cell>
          <cell r="F143" t="str">
            <v>OTHER EXPENSES</v>
          </cell>
          <cell r="G143">
            <v>0</v>
          </cell>
          <cell r="J143">
            <v>0</v>
          </cell>
        </row>
        <row r="144">
          <cell r="E144" t="str">
            <v>F55790E</v>
          </cell>
          <cell r="F144" t="str">
            <v>OTHER EXPENSES-PX ADMIN</v>
          </cell>
          <cell r="G144">
            <v>0</v>
          </cell>
          <cell r="J144">
            <v>0</v>
          </cell>
        </row>
        <row r="145">
          <cell r="E145" t="str">
            <v xml:space="preserve">     Other Power Supply Expenses</v>
          </cell>
          <cell r="G145">
            <v>6745612.3400000017</v>
          </cell>
          <cell r="H145">
            <v>0</v>
          </cell>
          <cell r="J145">
            <v>6745612.3400000017</v>
          </cell>
        </row>
        <row r="147">
          <cell r="E147" t="str">
            <v xml:space="preserve">     Electric Power Production Operation Exp</v>
          </cell>
          <cell r="G147">
            <v>60909807.800000004</v>
          </cell>
          <cell r="H147">
            <v>-213.32999999999998</v>
          </cell>
          <cell r="J147">
            <v>60909594.470000006</v>
          </cell>
        </row>
        <row r="149">
          <cell r="G149">
            <v>60909807.800000004</v>
          </cell>
          <cell r="H149">
            <v>-213.32999999999998</v>
          </cell>
          <cell r="J149">
            <v>60909594.470000006</v>
          </cell>
        </row>
        <row r="151">
          <cell r="E151" t="str">
            <v>F56000E</v>
          </cell>
          <cell r="F151" t="str">
            <v>OPERATION SUPERVISION AND ENGINEERING</v>
          </cell>
          <cell r="G151">
            <v>200534.95999999996</v>
          </cell>
          <cell r="J151">
            <v>200534.95999999996</v>
          </cell>
        </row>
        <row r="152">
          <cell r="E152" t="str">
            <v>F56010E</v>
          </cell>
          <cell r="F152" t="str">
            <v>OPERATION SUPERVISION AND ENGINEERING</v>
          </cell>
          <cell r="G152">
            <v>2411468.2400000002</v>
          </cell>
          <cell r="J152">
            <v>2411468.2400000002</v>
          </cell>
        </row>
        <row r="153">
          <cell r="E153" t="str">
            <v>F56020E</v>
          </cell>
          <cell r="F153" t="str">
            <v>OPERATION SUPERVISION AND ENGINEERING</v>
          </cell>
          <cell r="G153">
            <v>947663.95000000007</v>
          </cell>
          <cell r="J153">
            <v>947663.95000000007</v>
          </cell>
        </row>
        <row r="154">
          <cell r="E154" t="str">
            <v>F56100E</v>
          </cell>
          <cell r="F154" t="str">
            <v>LOAD DISPATCHING</v>
          </cell>
          <cell r="G154">
            <v>3333294.4899999998</v>
          </cell>
          <cell r="J154">
            <v>3333294.4899999998</v>
          </cell>
        </row>
        <row r="155">
          <cell r="E155" t="str">
            <v>F56100E</v>
          </cell>
          <cell r="H155">
            <v>91.09</v>
          </cell>
          <cell r="J155">
            <v>91.09</v>
          </cell>
        </row>
        <row r="156">
          <cell r="E156" t="str">
            <v>F56200E</v>
          </cell>
          <cell r="F156" t="str">
            <v>STATION EXPENSES</v>
          </cell>
          <cell r="G156">
            <v>44765.8</v>
          </cell>
          <cell r="J156">
            <v>44765.8</v>
          </cell>
        </row>
        <row r="157">
          <cell r="E157" t="str">
            <v>F56210E</v>
          </cell>
          <cell r="F157" t="str">
            <v>STATION EXPENSES</v>
          </cell>
          <cell r="G157">
            <v>213118.18</v>
          </cell>
          <cell r="H157">
            <v>-666.01</v>
          </cell>
          <cell r="J157">
            <v>212452.16999999998</v>
          </cell>
        </row>
        <row r="158">
          <cell r="E158" t="str">
            <v>F56210E</v>
          </cell>
          <cell r="J158">
            <v>0</v>
          </cell>
        </row>
        <row r="159">
          <cell r="E159" t="str">
            <v>F56220E</v>
          </cell>
          <cell r="F159" t="str">
            <v>STATION EXPENSES</v>
          </cell>
          <cell r="G159">
            <v>170.81</v>
          </cell>
          <cell r="J159">
            <v>170.81</v>
          </cell>
        </row>
        <row r="160">
          <cell r="E160" t="str">
            <v>F56300E</v>
          </cell>
          <cell r="F160" t="str">
            <v>OVERHEAD LINE EXPENSES</v>
          </cell>
          <cell r="G160">
            <v>14339.1</v>
          </cell>
          <cell r="J160">
            <v>14339.1</v>
          </cell>
        </row>
        <row r="161">
          <cell r="E161" t="str">
            <v>F56310E</v>
          </cell>
          <cell r="F161" t="str">
            <v>OVERHEAD LINE EXPENSES</v>
          </cell>
          <cell r="G161">
            <v>480109.59</v>
          </cell>
          <cell r="J161">
            <v>480109.59</v>
          </cell>
        </row>
        <row r="162">
          <cell r="E162" t="str">
            <v>F56320E</v>
          </cell>
          <cell r="F162" t="str">
            <v>OVERHEAD LINE EXPENSES</v>
          </cell>
          <cell r="G162">
            <v>13544.64</v>
          </cell>
          <cell r="J162">
            <v>13544.64</v>
          </cell>
        </row>
        <row r="163">
          <cell r="E163" t="str">
            <v>F56400E</v>
          </cell>
          <cell r="F163" t="str">
            <v>UNDERGROUND LINE EXPENSES</v>
          </cell>
          <cell r="G163">
            <v>0</v>
          </cell>
          <cell r="J163">
            <v>0</v>
          </cell>
        </row>
        <row r="164">
          <cell r="E164" t="str">
            <v>F56500E</v>
          </cell>
          <cell r="F164" t="str">
            <v>TRANSMISSION OF ELECTRICITY BY OTHERS</v>
          </cell>
          <cell r="G164">
            <v>7899647.4099999992</v>
          </cell>
          <cell r="J164">
            <v>7899647.4099999992</v>
          </cell>
        </row>
        <row r="165">
          <cell r="E165" t="str">
            <v>F56600E</v>
          </cell>
          <cell r="F165" t="str">
            <v>MISCELLANEOUS TRANSMISSION EXPENSES</v>
          </cell>
          <cell r="G165">
            <v>4810802.91</v>
          </cell>
          <cell r="H165">
            <v>-70.23</v>
          </cell>
          <cell r="J165">
            <v>4810732.68</v>
          </cell>
        </row>
        <row r="166">
          <cell r="E166" t="str">
            <v>F56600E</v>
          </cell>
          <cell r="F166" t="str">
            <v>MISCELLANEOUS TRANSMISSION EXPENSES</v>
          </cell>
          <cell r="J166">
            <v>0</v>
          </cell>
        </row>
        <row r="167">
          <cell r="E167" t="str">
            <v>F56620E</v>
          </cell>
          <cell r="F167" t="str">
            <v>MISCELLANEOUS TRANSMISSION EXPENSES</v>
          </cell>
          <cell r="G167">
            <v>0</v>
          </cell>
          <cell r="J167">
            <v>0</v>
          </cell>
        </row>
        <row r="168">
          <cell r="E168" t="str">
            <v>F56621E</v>
          </cell>
          <cell r="F168" t="str">
            <v>MISC TRANSMISSION EXPENSES-ISO GRID MANAGEMENT</v>
          </cell>
          <cell r="G168">
            <v>14887415</v>
          </cell>
          <cell r="J168">
            <v>14887415</v>
          </cell>
        </row>
        <row r="169">
          <cell r="E169" t="str">
            <v>F56622E</v>
          </cell>
          <cell r="F169" t="str">
            <v>MISC TRANSMISSION EXPENSES-ISO MUST RUN</v>
          </cell>
          <cell r="G169">
            <v>128218981.77</v>
          </cell>
          <cell r="J169">
            <v>128218981.77</v>
          </cell>
        </row>
        <row r="170">
          <cell r="E170" t="str">
            <v>F56623E</v>
          </cell>
          <cell r="F170" t="str">
            <v>MISC TRANSMISSION EXPENSES-ISO TRANSMISSION EXP</v>
          </cell>
          <cell r="G170">
            <v>13008722.849999998</v>
          </cell>
          <cell r="J170">
            <v>13008722.849999998</v>
          </cell>
        </row>
        <row r="171">
          <cell r="E171" t="str">
            <v>F56624E</v>
          </cell>
          <cell r="F171" t="str">
            <v>MISC TRANSM EXP-ISO 3RD PARTY SCHEDULE COORDINATOR</v>
          </cell>
          <cell r="G171">
            <v>133.84</v>
          </cell>
          <cell r="J171">
            <v>133.84</v>
          </cell>
        </row>
        <row r="172">
          <cell r="E172" t="str">
            <v>F56700E</v>
          </cell>
          <cell r="F172" t="str">
            <v>RENTS</v>
          </cell>
          <cell r="G172">
            <v>1162631.7099999997</v>
          </cell>
          <cell r="J172">
            <v>1162631.7099999997</v>
          </cell>
        </row>
        <row r="173">
          <cell r="E173" t="str">
            <v xml:space="preserve">     Electric Transmission Operations</v>
          </cell>
          <cell r="G173">
            <v>177647345.25</v>
          </cell>
          <cell r="H173">
            <v>-645.15</v>
          </cell>
          <cell r="J173">
            <v>177646700.09999999</v>
          </cell>
        </row>
        <row r="175">
          <cell r="E175" t="str">
            <v>F58000E</v>
          </cell>
          <cell r="F175" t="str">
            <v>OPERATION SUPERVISION AND ENGINEERING</v>
          </cell>
          <cell r="G175">
            <v>6124242.3199999994</v>
          </cell>
          <cell r="J175">
            <v>6124242.3199999994</v>
          </cell>
        </row>
        <row r="176">
          <cell r="E176" t="str">
            <v>F58010E</v>
          </cell>
          <cell r="F176" t="str">
            <v>OPERATION SUPERVISION AND ENGINEERING</v>
          </cell>
          <cell r="G176">
            <v>2948949.81</v>
          </cell>
          <cell r="J176">
            <v>2948949.81</v>
          </cell>
        </row>
        <row r="177">
          <cell r="E177" t="str">
            <v>F58020E</v>
          </cell>
          <cell r="F177" t="str">
            <v>OPERATION SUPERVISION AND ENGINEERING</v>
          </cell>
          <cell r="G177">
            <v>2837005.44</v>
          </cell>
          <cell r="J177">
            <v>2837005.44</v>
          </cell>
        </row>
        <row r="178">
          <cell r="E178" t="str">
            <v>F58040E</v>
          </cell>
          <cell r="F178" t="str">
            <v>OPERATION SUPERVISION AND ENGINEERING</v>
          </cell>
          <cell r="G178">
            <v>16458.27</v>
          </cell>
          <cell r="J178">
            <v>16458.27</v>
          </cell>
        </row>
        <row r="179">
          <cell r="E179" t="str">
            <v>F58100E</v>
          </cell>
          <cell r="F179" t="str">
            <v>LOAD DISPATCHING</v>
          </cell>
          <cell r="G179">
            <v>1919327.3800000001</v>
          </cell>
          <cell r="J179">
            <v>1919327.3800000001</v>
          </cell>
        </row>
        <row r="180">
          <cell r="E180" t="str">
            <v>F58200E</v>
          </cell>
          <cell r="F180" t="str">
            <v>STATION EXPENSES</v>
          </cell>
          <cell r="G180">
            <v>147077.24000000002</v>
          </cell>
          <cell r="J180">
            <v>147077.24000000002</v>
          </cell>
        </row>
        <row r="181">
          <cell r="E181" t="str">
            <v>F58210E</v>
          </cell>
          <cell r="F181" t="str">
            <v>STATION EXPENSES</v>
          </cell>
          <cell r="G181">
            <v>1301750.3199999998</v>
          </cell>
          <cell r="H181">
            <v>-4766.8100000000004</v>
          </cell>
          <cell r="J181">
            <v>1296983.5099999998</v>
          </cell>
        </row>
        <row r="182">
          <cell r="E182" t="str">
            <v>F58210E</v>
          </cell>
          <cell r="J182">
            <v>0</v>
          </cell>
        </row>
        <row r="183">
          <cell r="E183" t="str">
            <v>F58220E</v>
          </cell>
          <cell r="F183" t="str">
            <v>STATION EXPENSES</v>
          </cell>
          <cell r="G183">
            <v>3812.49</v>
          </cell>
          <cell r="J183">
            <v>3812.49</v>
          </cell>
        </row>
        <row r="184">
          <cell r="E184" t="str">
            <v>F58230E</v>
          </cell>
          <cell r="F184" t="str">
            <v>STATION EXPENSES</v>
          </cell>
          <cell r="G184">
            <v>504.13</v>
          </cell>
          <cell r="J184">
            <v>504.13</v>
          </cell>
        </row>
        <row r="185">
          <cell r="E185" t="str">
            <v>F58240E</v>
          </cell>
          <cell r="F185" t="str">
            <v>STATION EXPENSES</v>
          </cell>
          <cell r="G185">
            <v>1200.82</v>
          </cell>
          <cell r="J185">
            <v>1200.82</v>
          </cell>
        </row>
        <row r="186">
          <cell r="E186" t="str">
            <v>F58250E</v>
          </cell>
          <cell r="F186" t="str">
            <v>STATION EXPENSES</v>
          </cell>
          <cell r="G186">
            <v>13294.52</v>
          </cell>
          <cell r="J186">
            <v>13294.52</v>
          </cell>
        </row>
        <row r="187">
          <cell r="E187" t="str">
            <v>F58270E</v>
          </cell>
          <cell r="F187" t="str">
            <v>STATION EXPENSES</v>
          </cell>
          <cell r="G187">
            <v>2116737.96</v>
          </cell>
          <cell r="J187">
            <v>2116737.96</v>
          </cell>
        </row>
        <row r="188">
          <cell r="E188" t="str">
            <v>F58300E</v>
          </cell>
          <cell r="F188" t="str">
            <v>OVERHEAD LINE EXPENSES</v>
          </cell>
          <cell r="G188">
            <v>1546929.9900000002</v>
          </cell>
          <cell r="J188">
            <v>1546929.9900000002</v>
          </cell>
        </row>
        <row r="189">
          <cell r="E189" t="str">
            <v>F58301E</v>
          </cell>
          <cell r="F189" t="str">
            <v>OVERHEAD LINE EXPENSES</v>
          </cell>
          <cell r="G189">
            <v>0.41</v>
          </cell>
          <cell r="J189">
            <v>0.41</v>
          </cell>
        </row>
        <row r="190">
          <cell r="E190" t="str">
            <v>F58310E</v>
          </cell>
          <cell r="F190" t="str">
            <v>OVERHEAD LINE EXPENSES</v>
          </cell>
          <cell r="G190">
            <v>617058.59</v>
          </cell>
          <cell r="J190">
            <v>617058.59</v>
          </cell>
        </row>
        <row r="191">
          <cell r="E191" t="str">
            <v>F58330E</v>
          </cell>
          <cell r="F191" t="str">
            <v>OVERHEAD LINE EXPENSES</v>
          </cell>
          <cell r="G191">
            <v>-807004.01</v>
          </cell>
          <cell r="J191">
            <v>-807004.01</v>
          </cell>
        </row>
        <row r="192">
          <cell r="E192" t="str">
            <v>F58340E</v>
          </cell>
          <cell r="F192" t="str">
            <v>OVERHEAD LINE EXPENSES</v>
          </cell>
          <cell r="G192">
            <v>0</v>
          </cell>
          <cell r="J192">
            <v>0</v>
          </cell>
        </row>
        <row r="193">
          <cell r="E193" t="str">
            <v>F58350E</v>
          </cell>
          <cell r="F193" t="str">
            <v>OVERHEAD LINE EXPENSES</v>
          </cell>
          <cell r="G193">
            <v>558.64</v>
          </cell>
          <cell r="J193">
            <v>558.64</v>
          </cell>
        </row>
        <row r="194">
          <cell r="E194" t="str">
            <v>F58360E</v>
          </cell>
          <cell r="F194" t="str">
            <v>OVERHEAD LINE EXPENSES</v>
          </cell>
          <cell r="G194">
            <v>14263.82</v>
          </cell>
          <cell r="J194">
            <v>14263.82</v>
          </cell>
        </row>
        <row r="195">
          <cell r="E195" t="str">
            <v>F58400E</v>
          </cell>
          <cell r="F195" t="str">
            <v>UNDERGROUND LINE EXPENSES</v>
          </cell>
          <cell r="G195">
            <v>2684316.7500000005</v>
          </cell>
          <cell r="J195">
            <v>2684316.7500000005</v>
          </cell>
        </row>
        <row r="196">
          <cell r="E196" t="str">
            <v>F58401E</v>
          </cell>
          <cell r="F196" t="str">
            <v>UNDERGROUND LINE EXPENSES</v>
          </cell>
          <cell r="G196">
            <v>0.70000000000000018</v>
          </cell>
          <cell r="J196">
            <v>0.70000000000000018</v>
          </cell>
        </row>
        <row r="197">
          <cell r="E197" t="str">
            <v>F58410E</v>
          </cell>
          <cell r="F197" t="str">
            <v>UNDERGROUND LINE EXPENSES</v>
          </cell>
          <cell r="G197">
            <v>356504.79000000004</v>
          </cell>
          <cell r="J197">
            <v>356504.79000000004</v>
          </cell>
        </row>
        <row r="198">
          <cell r="E198" t="str">
            <v>F58420E</v>
          </cell>
          <cell r="F198" t="str">
            <v>UNDERGROUND LINE EXPENSES</v>
          </cell>
          <cell r="G198">
            <v>-1842617.1199999999</v>
          </cell>
          <cell r="J198">
            <v>-1842617.1199999999</v>
          </cell>
        </row>
        <row r="199">
          <cell r="E199" t="str">
            <v>F58430E</v>
          </cell>
          <cell r="F199" t="str">
            <v>UNDERGROUND LINE EXPENSES</v>
          </cell>
          <cell r="G199">
            <v>0</v>
          </cell>
          <cell r="J199">
            <v>0</v>
          </cell>
        </row>
        <row r="200">
          <cell r="E200" t="str">
            <v>F58440E</v>
          </cell>
          <cell r="F200" t="str">
            <v>UNDERGROUND LINE EXPENSES</v>
          </cell>
          <cell r="G200">
            <v>167478.89000000001</v>
          </cell>
          <cell r="J200">
            <v>167478.89000000001</v>
          </cell>
        </row>
        <row r="201">
          <cell r="E201" t="str">
            <v>F58450E</v>
          </cell>
          <cell r="F201" t="str">
            <v>UNDERGROUND LINE EXPENSES</v>
          </cell>
          <cell r="G201">
            <v>18764.289999999997</v>
          </cell>
          <cell r="J201">
            <v>18764.289999999997</v>
          </cell>
        </row>
        <row r="202">
          <cell r="E202" t="str">
            <v>F58460E</v>
          </cell>
          <cell r="F202" t="str">
            <v>UNDERGROUND LINE EXPENSES</v>
          </cell>
          <cell r="G202">
            <v>1474399.48</v>
          </cell>
          <cell r="J202">
            <v>1474399.48</v>
          </cell>
        </row>
        <row r="203">
          <cell r="E203" t="str">
            <v>F58500E</v>
          </cell>
          <cell r="F203" t="str">
            <v>STREET LIGHTING AND SIGNAL SYSTEM EXPEN</v>
          </cell>
          <cell r="G203">
            <v>14087.300000000001</v>
          </cell>
          <cell r="J203">
            <v>14087.300000000001</v>
          </cell>
        </row>
        <row r="204">
          <cell r="E204" t="str">
            <v>F58510E</v>
          </cell>
          <cell r="F204" t="str">
            <v>STREET LIGHTING AND SIGNAL SYSTEM EXPEN</v>
          </cell>
          <cell r="G204">
            <v>551363.18999999994</v>
          </cell>
          <cell r="H204">
            <v>-27.71</v>
          </cell>
          <cell r="J204">
            <v>551335.48</v>
          </cell>
        </row>
        <row r="205">
          <cell r="E205" t="str">
            <v>F58510E</v>
          </cell>
          <cell r="J205">
            <v>0</v>
          </cell>
        </row>
        <row r="206">
          <cell r="E206" t="str">
            <v>F58540E</v>
          </cell>
          <cell r="F206" t="str">
            <v>STREET LIGHTING AND SIGNAL SYSTEM EXPEN</v>
          </cell>
          <cell r="G206">
            <v>164837.78</v>
          </cell>
          <cell r="J206">
            <v>164837.78</v>
          </cell>
        </row>
        <row r="207">
          <cell r="E207" t="str">
            <v>F58560E</v>
          </cell>
          <cell r="F207" t="str">
            <v>STREET LIGHTING AND SIGNAL SYSTEM EXPEN</v>
          </cell>
          <cell r="G207">
            <v>24731.959999999995</v>
          </cell>
          <cell r="J207">
            <v>24731.959999999995</v>
          </cell>
        </row>
        <row r="208">
          <cell r="E208" t="str">
            <v>F58600E</v>
          </cell>
          <cell r="F208" t="str">
            <v>METER EXPENSES</v>
          </cell>
          <cell r="G208">
            <v>1886149.67</v>
          </cell>
          <cell r="J208">
            <v>1886149.67</v>
          </cell>
        </row>
        <row r="209">
          <cell r="E209" t="str">
            <v>F58610E</v>
          </cell>
          <cell r="F209" t="str">
            <v>METER EXPENSES</v>
          </cell>
          <cell r="G209">
            <v>802942.61999999988</v>
          </cell>
          <cell r="J209">
            <v>802942.61999999988</v>
          </cell>
        </row>
        <row r="210">
          <cell r="E210" t="str">
            <v>F58610E</v>
          </cell>
          <cell r="H210">
            <v>42.22</v>
          </cell>
          <cell r="J210">
            <v>42.22</v>
          </cell>
        </row>
        <row r="211">
          <cell r="E211" t="str">
            <v>F58620E</v>
          </cell>
          <cell r="F211" t="str">
            <v>METER EXPENSES</v>
          </cell>
          <cell r="G211">
            <v>1343400.1700000002</v>
          </cell>
          <cell r="J211">
            <v>1343400.1700000002</v>
          </cell>
        </row>
        <row r="212">
          <cell r="E212" t="str">
            <v>F58622E</v>
          </cell>
          <cell r="F212" t="str">
            <v>METER EXPENSES</v>
          </cell>
          <cell r="G212">
            <v>561081.87</v>
          </cell>
          <cell r="J212">
            <v>561081.87</v>
          </cell>
        </row>
        <row r="213">
          <cell r="E213" t="str">
            <v>F58630E</v>
          </cell>
          <cell r="F213" t="str">
            <v>METER EXPENSES</v>
          </cell>
          <cell r="G213">
            <v>0</v>
          </cell>
          <cell r="J213">
            <v>0</v>
          </cell>
        </row>
        <row r="214">
          <cell r="E214" t="str">
            <v>F58640E</v>
          </cell>
          <cell r="F214" t="str">
            <v>METER EXPENSES</v>
          </cell>
          <cell r="G214">
            <v>2421489.7399999998</v>
          </cell>
          <cell r="J214">
            <v>2421489.7399999998</v>
          </cell>
        </row>
        <row r="215">
          <cell r="E215" t="str">
            <v>F58650E</v>
          </cell>
          <cell r="F215" t="str">
            <v>METER EXPENSES</v>
          </cell>
          <cell r="G215">
            <v>440.88999999999993</v>
          </cell>
          <cell r="J215">
            <v>440.88999999999993</v>
          </cell>
        </row>
        <row r="216">
          <cell r="E216" t="str">
            <v>F58700E</v>
          </cell>
          <cell r="F216" t="str">
            <v>CUSTOMER INSTALLATIONS EXPENSES</v>
          </cell>
          <cell r="G216">
            <v>843627.51000000013</v>
          </cell>
          <cell r="J216">
            <v>843627.51000000013</v>
          </cell>
        </row>
        <row r="217">
          <cell r="E217" t="str">
            <v>F58710E</v>
          </cell>
          <cell r="F217" t="str">
            <v>CUSTOMER INSTALLATIONS EXPENSES</v>
          </cell>
          <cell r="G217">
            <v>20676.940000000006</v>
          </cell>
          <cell r="J217">
            <v>20676.940000000006</v>
          </cell>
        </row>
        <row r="218">
          <cell r="E218" t="str">
            <v>F58720E</v>
          </cell>
          <cell r="F218" t="str">
            <v>CUSTOMER INSTALLATIONS EXPENSES</v>
          </cell>
          <cell r="G218">
            <v>2310821.4899999998</v>
          </cell>
          <cell r="J218">
            <v>2310821.4899999998</v>
          </cell>
        </row>
        <row r="219">
          <cell r="E219" t="str">
            <v>F58740E</v>
          </cell>
          <cell r="F219" t="str">
            <v>CUSTOMER INSTALLATIONS EXPENSES</v>
          </cell>
          <cell r="G219">
            <v>116999.54000000001</v>
          </cell>
          <cell r="J219">
            <v>116999.54000000001</v>
          </cell>
        </row>
        <row r="220">
          <cell r="E220" t="str">
            <v>F58800E</v>
          </cell>
          <cell r="F220" t="str">
            <v>MISCELLANEOUS EXPENSES</v>
          </cell>
          <cell r="G220">
            <v>15691709.789999999</v>
          </cell>
          <cell r="H220">
            <v>0</v>
          </cell>
          <cell r="J220">
            <v>15691709.789999999</v>
          </cell>
        </row>
        <row r="221">
          <cell r="E221" t="str">
            <v>F58800E</v>
          </cell>
          <cell r="F221" t="str">
            <v>MISCELLANEOUS EXPENSES</v>
          </cell>
          <cell r="J221">
            <v>0</v>
          </cell>
        </row>
        <row r="222">
          <cell r="E222" t="str">
            <v>F58801E</v>
          </cell>
          <cell r="F222" t="str">
            <v>MISCELLANEOUS EXPENSES-ADJ</v>
          </cell>
          <cell r="G222">
            <v>0</v>
          </cell>
          <cell r="J222">
            <v>0</v>
          </cell>
        </row>
        <row r="223">
          <cell r="E223" t="str">
            <v>F58810E</v>
          </cell>
          <cell r="F223" t="str">
            <v>MISCELLANEOUS EXPENSES</v>
          </cell>
          <cell r="G223">
            <v>1516808.4000000001</v>
          </cell>
          <cell r="J223">
            <v>1516808.4000000001</v>
          </cell>
        </row>
        <row r="224">
          <cell r="E224" t="str">
            <v>F58840E</v>
          </cell>
          <cell r="F224" t="str">
            <v>MISCELLANEOUS EXPENSES</v>
          </cell>
          <cell r="G224">
            <v>2064022.5699999998</v>
          </cell>
          <cell r="J224">
            <v>2064022.5699999998</v>
          </cell>
        </row>
        <row r="225">
          <cell r="E225" t="str">
            <v>F58900E</v>
          </cell>
          <cell r="F225" t="str">
            <v>RENTS</v>
          </cell>
          <cell r="G225">
            <v>55806.789999999994</v>
          </cell>
          <cell r="J225">
            <v>55806.789999999994</v>
          </cell>
        </row>
        <row r="226">
          <cell r="E226" t="str">
            <v xml:space="preserve">     Electric Distribution Operations</v>
          </cell>
          <cell r="G226">
            <v>52052014.140000001</v>
          </cell>
          <cell r="H226">
            <v>-4752.3</v>
          </cell>
          <cell r="J226">
            <v>52047261.840000004</v>
          </cell>
        </row>
        <row r="228">
          <cell r="E228" t="str">
            <v xml:space="preserve">     Electric Transmission &amp; Distribution</v>
          </cell>
          <cell r="G228">
            <v>229699359.38999999</v>
          </cell>
          <cell r="H228">
            <v>-5397.45</v>
          </cell>
          <cell r="J228">
            <v>229693961.94</v>
          </cell>
        </row>
        <row r="230">
          <cell r="E230" t="str">
            <v>F84000C</v>
          </cell>
          <cell r="F230" t="str">
            <v>OPERATION SUPERVISION AND ENGINEERING</v>
          </cell>
          <cell r="G230">
            <v>0</v>
          </cell>
          <cell r="J230">
            <v>0</v>
          </cell>
        </row>
        <row r="231">
          <cell r="E231" t="str">
            <v>F84000G</v>
          </cell>
          <cell r="F231" t="str">
            <v>OPERATION SUPERVISION AND ENGINEERING</v>
          </cell>
          <cell r="G231">
            <v>0</v>
          </cell>
          <cell r="J231">
            <v>0</v>
          </cell>
        </row>
        <row r="232">
          <cell r="E232" t="str">
            <v>F84100G</v>
          </cell>
          <cell r="F232" t="str">
            <v>OPERATION LABOR AND EXPNESES</v>
          </cell>
          <cell r="G232">
            <v>21321.83</v>
          </cell>
          <cell r="J232">
            <v>21321.83</v>
          </cell>
        </row>
        <row r="233">
          <cell r="E233" t="str">
            <v>F84170G</v>
          </cell>
          <cell r="F233" t="str">
            <v>OPERATION LABOR AND EXPNESES</v>
          </cell>
          <cell r="G233">
            <v>0</v>
          </cell>
          <cell r="J233">
            <v>0</v>
          </cell>
        </row>
        <row r="234">
          <cell r="E234" t="str">
            <v xml:space="preserve">     Gas Other Storage Operations</v>
          </cell>
          <cell r="G234">
            <v>21321.83</v>
          </cell>
          <cell r="H234">
            <v>0</v>
          </cell>
          <cell r="J234">
            <v>21321.83</v>
          </cell>
        </row>
        <row r="236">
          <cell r="E236" t="str">
            <v>F85000G</v>
          </cell>
          <cell r="F236" t="str">
            <v>OPERATION SUPERVISION AND ENGINEERING</v>
          </cell>
          <cell r="G236">
            <v>834726.07</v>
          </cell>
          <cell r="J236">
            <v>834726.07</v>
          </cell>
        </row>
        <row r="237">
          <cell r="E237" t="str">
            <v>F85010G</v>
          </cell>
          <cell r="F237" t="str">
            <v>OPERATION SUPERVISION AND ENGINEERING</v>
          </cell>
          <cell r="G237">
            <v>183167.51</v>
          </cell>
          <cell r="J237">
            <v>183167.51</v>
          </cell>
        </row>
        <row r="238">
          <cell r="E238" t="str">
            <v>F85020G</v>
          </cell>
          <cell r="F238" t="str">
            <v>OPERATION SUPERVISIO</v>
          </cell>
          <cell r="G238">
            <v>142368.31</v>
          </cell>
          <cell r="J238">
            <v>142368.31</v>
          </cell>
        </row>
        <row r="239">
          <cell r="E239" t="str">
            <v>F85100G</v>
          </cell>
          <cell r="F239" t="str">
            <v>SYSTEM CONTROL AND LOAD DISPATCHING</v>
          </cell>
          <cell r="G239">
            <v>363008</v>
          </cell>
          <cell r="J239">
            <v>363008</v>
          </cell>
        </row>
        <row r="240">
          <cell r="E240" t="str">
            <v>F85200G</v>
          </cell>
          <cell r="F240" t="str">
            <v>COMMUNICATION SYSTEM EXPENSES</v>
          </cell>
          <cell r="G240">
            <v>0</v>
          </cell>
          <cell r="J240">
            <v>0</v>
          </cell>
        </row>
        <row r="241">
          <cell r="E241" t="str">
            <v>F85300G</v>
          </cell>
          <cell r="F241" t="str">
            <v>COMPRESSOR STATION LABOR AND EXPENSES</v>
          </cell>
          <cell r="G241">
            <v>30347.579999999998</v>
          </cell>
          <cell r="J241">
            <v>30347.579999999998</v>
          </cell>
        </row>
        <row r="242">
          <cell r="E242" t="str">
            <v>F85310G</v>
          </cell>
          <cell r="F242" t="str">
            <v>COMPRESSOR STATION LABOR AND EXPENSES</v>
          </cell>
          <cell r="G242">
            <v>625801.22999999986</v>
          </cell>
          <cell r="H242">
            <v>-279.5</v>
          </cell>
          <cell r="J242">
            <v>625521.72999999986</v>
          </cell>
        </row>
        <row r="243">
          <cell r="E243" t="str">
            <v>F85310G</v>
          </cell>
          <cell r="J243">
            <v>0</v>
          </cell>
        </row>
        <row r="244">
          <cell r="E244" t="str">
            <v>F85320G</v>
          </cell>
          <cell r="F244" t="str">
            <v>COMPRESSOR STATION LABOR AND EXPENSES</v>
          </cell>
          <cell r="G244">
            <v>201565.44999999998</v>
          </cell>
          <cell r="H244">
            <v>-2.39</v>
          </cell>
          <cell r="J244">
            <v>201563.05999999997</v>
          </cell>
        </row>
        <row r="245">
          <cell r="E245" t="str">
            <v>F85320G</v>
          </cell>
          <cell r="J245">
            <v>0</v>
          </cell>
        </row>
        <row r="246">
          <cell r="E246" t="str">
            <v>F85400G</v>
          </cell>
          <cell r="F246" t="str">
            <v>GAS FOR COMPRESSOR STATION FUEL</v>
          </cell>
          <cell r="G246">
            <v>1050710</v>
          </cell>
          <cell r="J246">
            <v>1050710</v>
          </cell>
        </row>
        <row r="247">
          <cell r="E247" t="str">
            <v>F85500G</v>
          </cell>
          <cell r="F247" t="str">
            <v>OTHER FUEL AND POWER FOR COMPRESSOR STA</v>
          </cell>
          <cell r="G247">
            <v>314.98</v>
          </cell>
          <cell r="J247">
            <v>314.98</v>
          </cell>
        </row>
        <row r="248">
          <cell r="E248" t="str">
            <v>F85510G</v>
          </cell>
          <cell r="F248" t="str">
            <v>OTHER FUEL AND POWER FOR COMPRESSOR STA</v>
          </cell>
          <cell r="G248">
            <v>178122.33</v>
          </cell>
          <cell r="J248">
            <v>178122.33</v>
          </cell>
        </row>
        <row r="249">
          <cell r="E249" t="str">
            <v>F85600G</v>
          </cell>
          <cell r="F249" t="str">
            <v>MAINS EXPENSES</v>
          </cell>
          <cell r="G249">
            <v>768756.62000000011</v>
          </cell>
          <cell r="J249">
            <v>768756.62000000011</v>
          </cell>
        </row>
        <row r="250">
          <cell r="E250" t="str">
            <v>F85610G</v>
          </cell>
          <cell r="F250" t="str">
            <v>MAINS EXPENSES</v>
          </cell>
          <cell r="G250">
            <v>0</v>
          </cell>
          <cell r="J250">
            <v>0</v>
          </cell>
        </row>
        <row r="251">
          <cell r="E251" t="str">
            <v>F85620G</v>
          </cell>
          <cell r="F251" t="str">
            <v>MAINS EXPENSES</v>
          </cell>
          <cell r="G251">
            <v>0</v>
          </cell>
          <cell r="J251">
            <v>0</v>
          </cell>
        </row>
        <row r="252">
          <cell r="E252" t="str">
            <v>F85660G</v>
          </cell>
          <cell r="F252" t="str">
            <v>MAINS EXPENSES</v>
          </cell>
          <cell r="G252">
            <v>0</v>
          </cell>
          <cell r="J252">
            <v>0</v>
          </cell>
        </row>
        <row r="253">
          <cell r="E253" t="str">
            <v>F85700G</v>
          </cell>
          <cell r="F253" t="str">
            <v>MEASURING AND REGULATING STATION EXPENS</v>
          </cell>
          <cell r="G253">
            <v>57998.100000000006</v>
          </cell>
          <cell r="J253">
            <v>57998.100000000006</v>
          </cell>
        </row>
        <row r="254">
          <cell r="E254" t="str">
            <v>F85800G</v>
          </cell>
          <cell r="F254" t="str">
            <v>TRANSMISSION AND COMPRESSION OF GAS BY OTHERS</v>
          </cell>
          <cell r="G254">
            <v>0</v>
          </cell>
          <cell r="J254">
            <v>0</v>
          </cell>
        </row>
        <row r="255">
          <cell r="E255" t="str">
            <v>F85900G</v>
          </cell>
          <cell r="F255" t="str">
            <v>OTHER EXPENSES</v>
          </cell>
          <cell r="G255">
            <v>700071.75</v>
          </cell>
          <cell r="J255">
            <v>700071.75</v>
          </cell>
        </row>
        <row r="256">
          <cell r="E256" t="str">
            <v>F85910G</v>
          </cell>
          <cell r="F256" t="str">
            <v>OTHER EXPENSES</v>
          </cell>
          <cell r="G256">
            <v>75976.83</v>
          </cell>
          <cell r="J256">
            <v>75976.83</v>
          </cell>
        </row>
        <row r="257">
          <cell r="E257" t="str">
            <v>F85920G</v>
          </cell>
          <cell r="F257" t="str">
            <v>OTHER EXPENSES</v>
          </cell>
          <cell r="G257">
            <v>0</v>
          </cell>
          <cell r="J257">
            <v>0</v>
          </cell>
        </row>
        <row r="258">
          <cell r="E258" t="str">
            <v>F85930G</v>
          </cell>
          <cell r="F258" t="str">
            <v>OTHER EXPENSES</v>
          </cell>
          <cell r="G258">
            <v>348378.28999999992</v>
          </cell>
          <cell r="J258">
            <v>348378.28999999992</v>
          </cell>
        </row>
        <row r="259">
          <cell r="E259" t="str">
            <v>F86000G</v>
          </cell>
          <cell r="F259" t="str">
            <v>RENTS</v>
          </cell>
          <cell r="G259">
            <v>399.57000000000005</v>
          </cell>
          <cell r="J259">
            <v>399.57000000000005</v>
          </cell>
        </row>
        <row r="260">
          <cell r="E260" t="str">
            <v xml:space="preserve">     Gas Transmission Operations</v>
          </cell>
          <cell r="G260">
            <v>5561712.6200000001</v>
          </cell>
          <cell r="H260">
            <v>-281.89</v>
          </cell>
          <cell r="J260">
            <v>5561430.7299999995</v>
          </cell>
        </row>
        <row r="262">
          <cell r="E262" t="str">
            <v>F87000G</v>
          </cell>
          <cell r="F262" t="str">
            <v>OPERATION SUPERVISION AND ENGINEERING</v>
          </cell>
          <cell r="G262">
            <v>304148.14999999997</v>
          </cell>
          <cell r="J262">
            <v>304148.14999999997</v>
          </cell>
        </row>
        <row r="263">
          <cell r="E263" t="str">
            <v>F87000G</v>
          </cell>
          <cell r="H263">
            <v>21.71</v>
          </cell>
          <cell r="J263">
            <v>21.71</v>
          </cell>
        </row>
        <row r="264">
          <cell r="E264" t="str">
            <v>F87010G</v>
          </cell>
          <cell r="F264" t="str">
            <v>OPERATION SUPERVISIO</v>
          </cell>
          <cell r="G264">
            <v>2371648.17</v>
          </cell>
          <cell r="J264">
            <v>2371648.17</v>
          </cell>
        </row>
        <row r="265">
          <cell r="E265" t="str">
            <v>F87020G</v>
          </cell>
          <cell r="F265" t="str">
            <v>OPERATION SUPERVISIO</v>
          </cell>
          <cell r="G265">
            <v>1242618.49</v>
          </cell>
          <cell r="J265">
            <v>1242618.49</v>
          </cell>
        </row>
        <row r="266">
          <cell r="E266" t="str">
            <v>F87020G</v>
          </cell>
          <cell r="H266">
            <v>27</v>
          </cell>
          <cell r="J266">
            <v>27</v>
          </cell>
        </row>
        <row r="267">
          <cell r="E267" t="str">
            <v>F87100G</v>
          </cell>
          <cell r="F267" t="str">
            <v>DISTRIBUTION LOAD DISPATCHING</v>
          </cell>
          <cell r="G267">
            <v>42.49</v>
          </cell>
          <cell r="J267">
            <v>42.49</v>
          </cell>
        </row>
        <row r="268">
          <cell r="E268" t="str">
            <v>F87200C</v>
          </cell>
          <cell r="F268" t="str">
            <v>COMPRESSOR STATION LABOR AND EXPENSES</v>
          </cell>
          <cell r="G268">
            <v>0</v>
          </cell>
          <cell r="J268">
            <v>0</v>
          </cell>
        </row>
        <row r="269">
          <cell r="E269" t="str">
            <v>F87200G</v>
          </cell>
          <cell r="F269" t="str">
            <v>COMPRESSOR STATION LABOR AND EXPENSES</v>
          </cell>
          <cell r="G269">
            <v>0</v>
          </cell>
          <cell r="J269">
            <v>0</v>
          </cell>
        </row>
        <row r="270">
          <cell r="E270" t="str">
            <v>F87300G</v>
          </cell>
          <cell r="F270" t="str">
            <v>COMPRESSOR STATION FUEL AND POWER</v>
          </cell>
          <cell r="G270">
            <v>0</v>
          </cell>
          <cell r="J270">
            <v>0</v>
          </cell>
        </row>
        <row r="271">
          <cell r="E271" t="str">
            <v>F87400G</v>
          </cell>
          <cell r="F271" t="str">
            <v>MAINS AND SERVICES EXPENSES</v>
          </cell>
          <cell r="G271">
            <v>319195.03999999998</v>
          </cell>
          <cell r="J271">
            <v>319195.03999999998</v>
          </cell>
        </row>
        <row r="272">
          <cell r="E272" t="str">
            <v>F87410G</v>
          </cell>
          <cell r="F272" t="str">
            <v>MAINS AND SERVICES E</v>
          </cell>
          <cell r="G272">
            <v>645912.88</v>
          </cell>
          <cell r="J272">
            <v>645912.88</v>
          </cell>
        </row>
        <row r="273">
          <cell r="E273" t="str">
            <v>F87430G</v>
          </cell>
          <cell r="F273" t="str">
            <v>MAINS AND SERVICES E</v>
          </cell>
          <cell r="G273">
            <v>1494378.83</v>
          </cell>
          <cell r="J273">
            <v>1494378.83</v>
          </cell>
        </row>
        <row r="274">
          <cell r="E274" t="str">
            <v>F87440G</v>
          </cell>
          <cell r="F274" t="str">
            <v>MAINS AND SERVICES E</v>
          </cell>
          <cell r="G274">
            <v>549122.35</v>
          </cell>
          <cell r="J274">
            <v>549122.35</v>
          </cell>
        </row>
        <row r="275">
          <cell r="E275" t="str">
            <v>F87450G</v>
          </cell>
          <cell r="F275" t="str">
            <v>MAINS AND SERVICES E</v>
          </cell>
          <cell r="G275">
            <v>32119.39</v>
          </cell>
          <cell r="J275">
            <v>32119.39</v>
          </cell>
        </row>
        <row r="276">
          <cell r="E276" t="str">
            <v>F87500G</v>
          </cell>
          <cell r="F276" t="str">
            <v>MEASURING AND REGULATING STATION EXPENS</v>
          </cell>
          <cell r="G276">
            <v>630480.99</v>
          </cell>
          <cell r="H276">
            <v>-11.47</v>
          </cell>
          <cell r="J276">
            <v>630469.52</v>
          </cell>
        </row>
        <row r="277">
          <cell r="E277" t="str">
            <v>F87500G</v>
          </cell>
          <cell r="J277">
            <v>0</v>
          </cell>
        </row>
        <row r="278">
          <cell r="E278" t="str">
            <v>F87800G</v>
          </cell>
          <cell r="F278" t="str">
            <v>METER AND HOUSE REGULATOR EXPENSES</v>
          </cell>
          <cell r="G278">
            <v>1708341.9</v>
          </cell>
          <cell r="J278">
            <v>1708341.9</v>
          </cell>
        </row>
        <row r="279">
          <cell r="E279" t="str">
            <v>F87810G</v>
          </cell>
          <cell r="F279" t="str">
            <v>METER AND HOUSE REGU</v>
          </cell>
          <cell r="G279">
            <v>277737.79000000004</v>
          </cell>
          <cell r="J279">
            <v>277737.79000000004</v>
          </cell>
        </row>
        <row r="280">
          <cell r="E280" t="str">
            <v>F87820G</v>
          </cell>
          <cell r="F280" t="str">
            <v>METER AND HOUSE REGU</v>
          </cell>
          <cell r="G280">
            <v>2072548.2599999998</v>
          </cell>
          <cell r="J280">
            <v>2072548.2599999998</v>
          </cell>
        </row>
        <row r="281">
          <cell r="E281" t="str">
            <v>F87830G</v>
          </cell>
          <cell r="F281" t="str">
            <v>METER AND HOUSE REGU</v>
          </cell>
          <cell r="G281">
            <v>52875.849999999991</v>
          </cell>
          <cell r="J281">
            <v>52875.849999999991</v>
          </cell>
        </row>
        <row r="282">
          <cell r="E282" t="str">
            <v>F87840G</v>
          </cell>
          <cell r="F282" t="str">
            <v>METER AND HOUSE REGU</v>
          </cell>
          <cell r="G282">
            <v>306501.96000000002</v>
          </cell>
          <cell r="J282">
            <v>306501.96000000002</v>
          </cell>
        </row>
        <row r="283">
          <cell r="E283" t="str">
            <v>F87850G</v>
          </cell>
          <cell r="F283" t="str">
            <v>METER AND HOUSE REGU</v>
          </cell>
          <cell r="G283">
            <v>30621.040000000001</v>
          </cell>
          <cell r="J283">
            <v>30621.040000000001</v>
          </cell>
        </row>
        <row r="284">
          <cell r="E284" t="str">
            <v>F87860G</v>
          </cell>
          <cell r="F284" t="str">
            <v>METER AND HOUSE REGU</v>
          </cell>
          <cell r="G284">
            <v>77956.38</v>
          </cell>
          <cell r="J284">
            <v>77956.38</v>
          </cell>
        </row>
        <row r="285">
          <cell r="E285" t="str">
            <v>F87900G</v>
          </cell>
          <cell r="F285" t="str">
            <v>CUSTOMER INSTALLATIONS EXPENSES</v>
          </cell>
          <cell r="G285">
            <v>3054698.76</v>
          </cell>
          <cell r="J285">
            <v>3054698.76</v>
          </cell>
        </row>
        <row r="286">
          <cell r="E286" t="str">
            <v>F87910G</v>
          </cell>
          <cell r="F286" t="str">
            <v>CUSTOMER INSTALLATIO</v>
          </cell>
          <cell r="G286">
            <v>4564229.0999999996</v>
          </cell>
          <cell r="J286">
            <v>4564229.0999999996</v>
          </cell>
        </row>
        <row r="287">
          <cell r="E287" t="str">
            <v>F87920G</v>
          </cell>
          <cell r="F287" t="str">
            <v>CUSTOMER INSTALLATIO</v>
          </cell>
          <cell r="G287">
            <v>136632.57</v>
          </cell>
          <cell r="J287">
            <v>136632.57</v>
          </cell>
        </row>
        <row r="288">
          <cell r="E288" t="str">
            <v>F87940G</v>
          </cell>
          <cell r="F288" t="str">
            <v>CUSTOMER INSTALLATIONS EXPENSES</v>
          </cell>
          <cell r="G288">
            <v>76.5</v>
          </cell>
          <cell r="J288">
            <v>76.5</v>
          </cell>
        </row>
        <row r="289">
          <cell r="E289" t="str">
            <v>F87950G</v>
          </cell>
          <cell r="F289" t="str">
            <v>CUSTOMER INSTALLATIO</v>
          </cell>
          <cell r="G289">
            <v>818885.59000000008</v>
          </cell>
          <cell r="J289">
            <v>818885.59000000008</v>
          </cell>
        </row>
        <row r="290">
          <cell r="E290" t="str">
            <v>F88000G</v>
          </cell>
          <cell r="F290" t="str">
            <v>OTHER EXPENSES</v>
          </cell>
          <cell r="G290">
            <v>3053374.0300000003</v>
          </cell>
          <cell r="J290">
            <v>3053374.0300000003</v>
          </cell>
        </row>
        <row r="291">
          <cell r="E291" t="str">
            <v>F88010G</v>
          </cell>
          <cell r="F291" t="str">
            <v>OTHER EXPENSES</v>
          </cell>
          <cell r="G291">
            <v>538202.63</v>
          </cell>
          <cell r="J291">
            <v>538202.63</v>
          </cell>
        </row>
        <row r="292">
          <cell r="E292" t="str">
            <v>F88030G</v>
          </cell>
          <cell r="F292" t="str">
            <v>OTHER EXPENSES</v>
          </cell>
          <cell r="G292">
            <v>268152.15999999997</v>
          </cell>
          <cell r="J292">
            <v>268152.15999999997</v>
          </cell>
        </row>
        <row r="293">
          <cell r="E293" t="str">
            <v>F88040G</v>
          </cell>
          <cell r="F293" t="str">
            <v>OTHER EXPENSES</v>
          </cell>
          <cell r="G293">
            <v>435773.7</v>
          </cell>
          <cell r="J293">
            <v>435773.7</v>
          </cell>
        </row>
        <row r="294">
          <cell r="E294" t="str">
            <v>F88040G</v>
          </cell>
          <cell r="H294">
            <v>1028.5999999999999</v>
          </cell>
          <cell r="J294">
            <v>1028.5999999999999</v>
          </cell>
        </row>
        <row r="295">
          <cell r="E295" t="str">
            <v>F88040G</v>
          </cell>
          <cell r="H295">
            <v>50.35</v>
          </cell>
          <cell r="J295">
            <v>50.35</v>
          </cell>
        </row>
        <row r="296">
          <cell r="E296" t="str">
            <v>F88100G</v>
          </cell>
          <cell r="F296" t="str">
            <v>RENTS</v>
          </cell>
          <cell r="G296">
            <v>17403.14</v>
          </cell>
          <cell r="J296">
            <v>17403.14</v>
          </cell>
        </row>
        <row r="297">
          <cell r="E297" t="str">
            <v xml:space="preserve">     Gas Distribution Operations</v>
          </cell>
          <cell r="G297">
            <v>25003678.140000001</v>
          </cell>
          <cell r="H297">
            <v>1116.1899999999998</v>
          </cell>
          <cell r="J297">
            <v>25004794.330000006</v>
          </cell>
        </row>
        <row r="299">
          <cell r="E299" t="str">
            <v xml:space="preserve">     Gas Transmission &amp; Distribution</v>
          </cell>
          <cell r="G299">
            <v>30586712.59</v>
          </cell>
          <cell r="H299">
            <v>834.29999999999984</v>
          </cell>
          <cell r="J299">
            <v>30587546.890000004</v>
          </cell>
        </row>
        <row r="301">
          <cell r="E301" t="str">
            <v>Transmission, Distribution &amp; Storage</v>
          </cell>
          <cell r="G301">
            <v>260286071.97999999</v>
          </cell>
          <cell r="H301">
            <v>-4563.1499999999996</v>
          </cell>
          <cell r="J301">
            <v>260281508.83000001</v>
          </cell>
        </row>
        <row r="303">
          <cell r="E303" t="str">
            <v xml:space="preserve">  Customer Accounting</v>
          </cell>
        </row>
        <row r="304">
          <cell r="E304" t="str">
            <v>F90100E</v>
          </cell>
          <cell r="F304" t="str">
            <v>SUPERVISION</v>
          </cell>
          <cell r="G304">
            <v>54.75</v>
          </cell>
          <cell r="J304">
            <v>54.75</v>
          </cell>
        </row>
        <row r="305">
          <cell r="E305" t="str">
            <v>F90100E</v>
          </cell>
          <cell r="H305">
            <v>-54.75</v>
          </cell>
          <cell r="J305">
            <v>-54.75</v>
          </cell>
        </row>
        <row r="306">
          <cell r="E306" t="str">
            <v>F90200E</v>
          </cell>
          <cell r="F306" t="str">
            <v>METER READING EXPENSES</v>
          </cell>
          <cell r="G306">
            <v>6745789.1500000004</v>
          </cell>
          <cell r="J306">
            <v>6745789.1500000004</v>
          </cell>
        </row>
        <row r="307">
          <cell r="E307" t="str">
            <v>F90200E</v>
          </cell>
          <cell r="H307">
            <v>49.5</v>
          </cell>
          <cell r="J307">
            <v>49.5</v>
          </cell>
        </row>
        <row r="308">
          <cell r="E308" t="str">
            <v>F90210E</v>
          </cell>
          <cell r="F308" t="str">
            <v>METER READING EXPENSES</v>
          </cell>
          <cell r="G308">
            <v>327.18</v>
          </cell>
          <cell r="J308">
            <v>327.18</v>
          </cell>
        </row>
        <row r="309">
          <cell r="E309" t="str">
            <v>F90220E</v>
          </cell>
          <cell r="F309" t="str">
            <v>MEASRMNT DATA SRV GEN EXP ELE</v>
          </cell>
          <cell r="G309">
            <v>1371001.04</v>
          </cell>
          <cell r="J309">
            <v>1371001.04</v>
          </cell>
        </row>
        <row r="310">
          <cell r="E310" t="str">
            <v>F90230E</v>
          </cell>
          <cell r="F310" t="str">
            <v>METER READING REMOTE</v>
          </cell>
          <cell r="G310">
            <v>294108.01</v>
          </cell>
          <cell r="J310">
            <v>294108.01</v>
          </cell>
        </row>
        <row r="311">
          <cell r="E311" t="str">
            <v>F90240E</v>
          </cell>
          <cell r="F311" t="str">
            <v>METER READING DATA</v>
          </cell>
          <cell r="G311">
            <v>13201.3</v>
          </cell>
          <cell r="J311">
            <v>13201.3</v>
          </cell>
        </row>
        <row r="312">
          <cell r="E312" t="str">
            <v>F90300E</v>
          </cell>
          <cell r="F312" t="str">
            <v>CUSTOMER RECORDS AND COLLECTION EXPENSE</v>
          </cell>
          <cell r="G312">
            <v>15116987.1</v>
          </cell>
          <cell r="H312">
            <v>-1124.22</v>
          </cell>
          <cell r="J312">
            <v>15115862.879999999</v>
          </cell>
        </row>
        <row r="313">
          <cell r="E313" t="str">
            <v>F90300E</v>
          </cell>
          <cell r="J313">
            <v>0</v>
          </cell>
        </row>
        <row r="314">
          <cell r="E314" t="str">
            <v>F90300E</v>
          </cell>
          <cell r="H314">
            <v>5.25</v>
          </cell>
          <cell r="J314">
            <v>5.25</v>
          </cell>
        </row>
        <row r="315">
          <cell r="E315" t="str">
            <v>F90310E</v>
          </cell>
          <cell r="F315" t="str">
            <v>CUSTOMER RECORDS AND</v>
          </cell>
          <cell r="G315">
            <v>15655105.189999998</v>
          </cell>
          <cell r="J315">
            <v>15655105.189999998</v>
          </cell>
        </row>
        <row r="316">
          <cell r="E316" t="str">
            <v>F90320E</v>
          </cell>
          <cell r="F316" t="str">
            <v>CUSTOMER RECORDS AND</v>
          </cell>
          <cell r="G316">
            <v>38823.47</v>
          </cell>
          <cell r="J316">
            <v>38823.47</v>
          </cell>
        </row>
        <row r="317">
          <cell r="E317" t="str">
            <v>F90330E</v>
          </cell>
          <cell r="F317" t="str">
            <v>CUSTOMER RECORDS AND</v>
          </cell>
          <cell r="G317">
            <v>2189625.7799999998</v>
          </cell>
          <cell r="J317">
            <v>2189625.7799999998</v>
          </cell>
        </row>
        <row r="318">
          <cell r="E318" t="str">
            <v>F90340E</v>
          </cell>
          <cell r="F318" t="str">
            <v>CUSTOMER RECORDS AND COLLECTION EXPENSE</v>
          </cell>
          <cell r="G318">
            <v>1954171.5199999998</v>
          </cell>
          <cell r="J318">
            <v>1954171.5199999998</v>
          </cell>
        </row>
        <row r="319">
          <cell r="E319" t="str">
            <v>F90350E</v>
          </cell>
          <cell r="F319" t="str">
            <v>CUSTOMER RECORDS AND</v>
          </cell>
          <cell r="G319">
            <v>2148497.9500000002</v>
          </cell>
          <cell r="J319">
            <v>2148497.9500000002</v>
          </cell>
        </row>
        <row r="320">
          <cell r="E320" t="str">
            <v>F90360E</v>
          </cell>
          <cell r="F320" t="str">
            <v>CUSTOMER RECORDS AND COLLECTION EXPENSE</v>
          </cell>
          <cell r="G320">
            <v>0</v>
          </cell>
          <cell r="J320">
            <v>0</v>
          </cell>
        </row>
        <row r="321">
          <cell r="E321" t="str">
            <v>F90370E</v>
          </cell>
          <cell r="F321" t="str">
            <v>CUSTOMER RECORDS AND COLLECTION EXPENSE</v>
          </cell>
          <cell r="G321">
            <v>3102011.46</v>
          </cell>
          <cell r="J321">
            <v>3102011.46</v>
          </cell>
        </row>
        <row r="322">
          <cell r="E322" t="str">
            <v>F90380E</v>
          </cell>
          <cell r="F322" t="str">
            <v>CUSTOMER RECORDS AND</v>
          </cell>
          <cell r="G322">
            <v>169872.34999999998</v>
          </cell>
          <cell r="J322">
            <v>169872.34999999998</v>
          </cell>
        </row>
        <row r="323">
          <cell r="E323" t="str">
            <v>F90390E</v>
          </cell>
          <cell r="F323" t="str">
            <v>CUSTOMER RECORDS AND COLLECTION EXPENSE</v>
          </cell>
          <cell r="G323">
            <v>0</v>
          </cell>
          <cell r="J323">
            <v>0</v>
          </cell>
        </row>
        <row r="324">
          <cell r="E324" t="str">
            <v>F90400E</v>
          </cell>
          <cell r="F324" t="str">
            <v>UNCOLLECTIBLE ACCOUNTS</v>
          </cell>
          <cell r="G324">
            <v>1058256.79</v>
          </cell>
          <cell r="J324">
            <v>1058256.79</v>
          </cell>
        </row>
        <row r="325">
          <cell r="E325" t="str">
            <v>F90500E</v>
          </cell>
          <cell r="F325" t="str">
            <v>MISCELLANEOUS CUSTOMER ACCOUNTS EXPENSE</v>
          </cell>
          <cell r="G325">
            <v>-25327.030000000002</v>
          </cell>
          <cell r="J325">
            <v>-25327.030000000002</v>
          </cell>
        </row>
        <row r="326">
          <cell r="E326" t="str">
            <v xml:space="preserve">   Electric Customer Accounting Expenses</v>
          </cell>
          <cell r="G326">
            <v>49832506.010000005</v>
          </cell>
          <cell r="H326">
            <v>-1124.22</v>
          </cell>
          <cell r="J326">
            <v>49831381.790000007</v>
          </cell>
        </row>
        <row r="328">
          <cell r="E328" t="str">
            <v>F90100G</v>
          </cell>
          <cell r="F328" t="str">
            <v>SUPERVISION</v>
          </cell>
          <cell r="G328">
            <v>146.72</v>
          </cell>
          <cell r="J328">
            <v>146.72</v>
          </cell>
        </row>
        <row r="329">
          <cell r="E329" t="str">
            <v>F90100G</v>
          </cell>
          <cell r="H329">
            <v>-62.739999999999995</v>
          </cell>
          <cell r="J329">
            <v>-62.739999999999995</v>
          </cell>
        </row>
        <row r="330">
          <cell r="E330" t="str">
            <v>F90200G</v>
          </cell>
          <cell r="F330" t="str">
            <v>METER READING EXPENSES</v>
          </cell>
          <cell r="G330">
            <v>3692634.3999999994</v>
          </cell>
          <cell r="J330">
            <v>3692634.3999999994</v>
          </cell>
        </row>
        <row r="331">
          <cell r="E331" t="str">
            <v>F90200G</v>
          </cell>
          <cell r="H331">
            <v>27.1</v>
          </cell>
          <cell r="J331">
            <v>27.1</v>
          </cell>
        </row>
        <row r="332">
          <cell r="E332" t="str">
            <v>F90210G</v>
          </cell>
          <cell r="F332" t="str">
            <v>METER READING EXPENSES</v>
          </cell>
          <cell r="G332">
            <v>5.89</v>
          </cell>
          <cell r="J332">
            <v>5.89</v>
          </cell>
        </row>
        <row r="333">
          <cell r="E333" t="str">
            <v>F90220G</v>
          </cell>
          <cell r="F333" t="str">
            <v>MEASRMNT DATA SRV GE</v>
          </cell>
          <cell r="G333">
            <v>1330.73</v>
          </cell>
          <cell r="J333">
            <v>1330.73</v>
          </cell>
        </row>
        <row r="334">
          <cell r="E334" t="str">
            <v>F90230G</v>
          </cell>
          <cell r="F334" t="str">
            <v>METER READING REMOTE</v>
          </cell>
          <cell r="G334">
            <v>39812.61</v>
          </cell>
          <cell r="J334">
            <v>39812.61</v>
          </cell>
        </row>
        <row r="335">
          <cell r="E335" t="str">
            <v>F90300G</v>
          </cell>
          <cell r="F335" t="str">
            <v>CUSTOMER RECORDS AND COLLECTION EXPENSE</v>
          </cell>
          <cell r="G335">
            <v>7371347.0999999987</v>
          </cell>
          <cell r="H335">
            <v>-615.45000000000005</v>
          </cell>
          <cell r="J335">
            <v>7370731.6499999985</v>
          </cell>
        </row>
        <row r="336">
          <cell r="E336" t="str">
            <v>F90300G</v>
          </cell>
          <cell r="J336">
            <v>0</v>
          </cell>
        </row>
        <row r="337">
          <cell r="E337" t="str">
            <v>F90300G</v>
          </cell>
          <cell r="H337">
            <v>35.64</v>
          </cell>
          <cell r="J337">
            <v>35.64</v>
          </cell>
        </row>
        <row r="338">
          <cell r="E338" t="str">
            <v>F90310G</v>
          </cell>
          <cell r="F338" t="str">
            <v>CUSTOMER RECORDS AND</v>
          </cell>
          <cell r="G338">
            <v>8681239.6699999999</v>
          </cell>
          <cell r="J338">
            <v>8681239.6699999999</v>
          </cell>
        </row>
        <row r="339">
          <cell r="E339" t="str">
            <v>F90320G</v>
          </cell>
          <cell r="F339" t="str">
            <v>CUSTOMER RECORDS AND</v>
          </cell>
          <cell r="G339">
            <v>21209.919999999998</v>
          </cell>
          <cell r="J339">
            <v>21209.919999999998</v>
          </cell>
        </row>
        <row r="340">
          <cell r="E340" t="str">
            <v>F90330G</v>
          </cell>
          <cell r="F340" t="str">
            <v>CUSTOMER RECORDS AND</v>
          </cell>
          <cell r="G340">
            <v>1198693.1299999999</v>
          </cell>
          <cell r="J340">
            <v>1198693.1299999999</v>
          </cell>
        </row>
        <row r="341">
          <cell r="E341" t="str">
            <v>F90340G</v>
          </cell>
          <cell r="F341" t="str">
            <v>CUSTOMER RECORDS AND</v>
          </cell>
          <cell r="G341">
            <v>1112600.27</v>
          </cell>
          <cell r="J341">
            <v>1112600.27</v>
          </cell>
        </row>
        <row r="342">
          <cell r="E342" t="str">
            <v>F90350G</v>
          </cell>
          <cell r="F342" t="str">
            <v>CUSTOMER RECORDS AND</v>
          </cell>
          <cell r="G342">
            <v>1175440.2799999998</v>
          </cell>
          <cell r="J342">
            <v>1175440.2799999998</v>
          </cell>
        </row>
        <row r="343">
          <cell r="E343" t="str">
            <v>F90360G</v>
          </cell>
          <cell r="F343" t="str">
            <v>CUSTOMER RECORDS AND</v>
          </cell>
          <cell r="G343">
            <v>0</v>
          </cell>
          <cell r="J343">
            <v>0</v>
          </cell>
        </row>
        <row r="344">
          <cell r="E344" t="str">
            <v>F90370G</v>
          </cell>
          <cell r="F344" t="str">
            <v>CUSTOMER RECORDS AND COLLECTION EXPENSE</v>
          </cell>
          <cell r="G344">
            <v>1698216.6600000001</v>
          </cell>
          <cell r="J344">
            <v>1698216.6600000001</v>
          </cell>
        </row>
        <row r="345">
          <cell r="E345" t="str">
            <v>F90380G</v>
          </cell>
          <cell r="F345" t="str">
            <v>CUSTOMER RECORDS AND</v>
          </cell>
          <cell r="G345">
            <v>92993.200000000012</v>
          </cell>
          <cell r="J345">
            <v>92993.200000000012</v>
          </cell>
        </row>
        <row r="346">
          <cell r="E346" t="str">
            <v>F90400G</v>
          </cell>
          <cell r="F346" t="str">
            <v>UNCOLLECTIBLE ACCOUNTS</v>
          </cell>
          <cell r="G346">
            <v>130023.23999999999</v>
          </cell>
          <cell r="J346">
            <v>130023.23999999999</v>
          </cell>
        </row>
        <row r="347">
          <cell r="E347" t="str">
            <v>F90500G</v>
          </cell>
          <cell r="F347" t="str">
            <v>MISCELLANEOUS CUSTOMER ACCOUNTS EXPENSE</v>
          </cell>
          <cell r="G347">
            <v>1358.46</v>
          </cell>
          <cell r="J347">
            <v>1358.46</v>
          </cell>
        </row>
        <row r="348">
          <cell r="E348" t="str">
            <v xml:space="preserve">   Gas Customer Accounting Expenses</v>
          </cell>
          <cell r="G348">
            <v>25217052.279999997</v>
          </cell>
          <cell r="H348">
            <v>-615.45000000000005</v>
          </cell>
          <cell r="J348">
            <v>25216436.829999998</v>
          </cell>
        </row>
        <row r="350">
          <cell r="E350" t="str">
            <v xml:space="preserve">  Customer Accounting</v>
          </cell>
          <cell r="G350">
            <v>75049558.290000007</v>
          </cell>
          <cell r="H350">
            <v>-1739.67</v>
          </cell>
          <cell r="J350">
            <v>75047818.620000005</v>
          </cell>
        </row>
        <row r="352">
          <cell r="E352" t="str">
            <v xml:space="preserve">  Customer Service, Info and Sales</v>
          </cell>
        </row>
        <row r="353">
          <cell r="E353" t="str">
            <v>F90700C</v>
          </cell>
          <cell r="F353" t="str">
            <v>SUPERVISION</v>
          </cell>
          <cell r="G353">
            <v>0</v>
          </cell>
          <cell r="J353">
            <v>0</v>
          </cell>
        </row>
        <row r="354">
          <cell r="E354" t="str">
            <v>F90710C</v>
          </cell>
          <cell r="F354" t="str">
            <v>SUPERVISION</v>
          </cell>
          <cell r="G354">
            <v>0</v>
          </cell>
          <cell r="J354">
            <v>0</v>
          </cell>
        </row>
        <row r="355">
          <cell r="E355" t="str">
            <v>F90800C</v>
          </cell>
          <cell r="F355" t="str">
            <v>CUSTOMER ASSISTANCE EXPENSES</v>
          </cell>
          <cell r="G355">
            <v>0</v>
          </cell>
          <cell r="J355">
            <v>0</v>
          </cell>
        </row>
        <row r="356">
          <cell r="E356" t="str">
            <v>F90900C</v>
          </cell>
          <cell r="F356" t="str">
            <v>INFORMATIONAL AND INSTRUCTIONAL EXPENSE</v>
          </cell>
          <cell r="G356">
            <v>0</v>
          </cell>
          <cell r="J356">
            <v>0</v>
          </cell>
        </row>
        <row r="357">
          <cell r="E357" t="str">
            <v>F91000C</v>
          </cell>
          <cell r="F357" t="str">
            <v>MISCELLANEOUS CUSTOMER SERV AND INFORMA</v>
          </cell>
          <cell r="G357">
            <v>0</v>
          </cell>
          <cell r="J357">
            <v>0</v>
          </cell>
        </row>
        <row r="358">
          <cell r="E358" t="str">
            <v>F91020C</v>
          </cell>
          <cell r="F358" t="str">
            <v>MISCELLANEOUS CUSTOMER SERV AND INFORMA</v>
          </cell>
          <cell r="G358">
            <v>0</v>
          </cell>
          <cell r="J358">
            <v>0</v>
          </cell>
        </row>
        <row r="359">
          <cell r="E359" t="str">
            <v>F91200C</v>
          </cell>
          <cell r="F359" t="str">
            <v>DEMONSTRATING AND SELLING EXPENSES</v>
          </cell>
          <cell r="G359">
            <v>0</v>
          </cell>
          <cell r="J359">
            <v>0</v>
          </cell>
        </row>
        <row r="360">
          <cell r="E360" t="str">
            <v>F91300C</v>
          </cell>
          <cell r="F360" t="str">
            <v>ADVERTISING EXPENSES</v>
          </cell>
          <cell r="G360">
            <v>0</v>
          </cell>
          <cell r="J360">
            <v>0</v>
          </cell>
        </row>
        <row r="361">
          <cell r="E361" t="str">
            <v xml:space="preserve">   Common Customer Service, Info and Sales</v>
          </cell>
          <cell r="G361">
            <v>0</v>
          </cell>
          <cell r="H361">
            <v>0</v>
          </cell>
          <cell r="J361">
            <v>0</v>
          </cell>
        </row>
        <row r="363">
          <cell r="E363" t="str">
            <v>F90700E</v>
          </cell>
          <cell r="F363" t="str">
            <v>SUPERVISION</v>
          </cell>
          <cell r="G363">
            <v>22520.03</v>
          </cell>
          <cell r="J363">
            <v>22520.03</v>
          </cell>
        </row>
        <row r="364">
          <cell r="E364" t="str">
            <v>F90710E</v>
          </cell>
          <cell r="F364" t="str">
            <v>SUPERVISION</v>
          </cell>
          <cell r="J364">
            <v>0</v>
          </cell>
        </row>
        <row r="365">
          <cell r="E365" t="str">
            <v>F90800E</v>
          </cell>
          <cell r="F365" t="str">
            <v>CUSTOMER ASSISTANCE EXPENSES</v>
          </cell>
          <cell r="G365">
            <v>49509233.479999997</v>
          </cell>
          <cell r="H365">
            <v>0</v>
          </cell>
          <cell r="J365">
            <v>49509233.479999997</v>
          </cell>
        </row>
        <row r="366">
          <cell r="E366" t="str">
            <v>F90800E</v>
          </cell>
          <cell r="J366">
            <v>0</v>
          </cell>
        </row>
        <row r="367">
          <cell r="E367" t="str">
            <v>F90820E</v>
          </cell>
          <cell r="F367" t="str">
            <v>CUSTOMER ASSISTANCE EXPENSES</v>
          </cell>
          <cell r="G367">
            <v>4729.9700000000012</v>
          </cell>
          <cell r="J367">
            <v>4729.9700000000012</v>
          </cell>
        </row>
        <row r="368">
          <cell r="E368" t="str">
            <v>F90900E</v>
          </cell>
          <cell r="F368" t="str">
            <v>INFORMATIONAL AND INSTRUCTIONAL EXPENSE</v>
          </cell>
          <cell r="G368">
            <v>0</v>
          </cell>
          <cell r="J368">
            <v>0</v>
          </cell>
        </row>
        <row r="369">
          <cell r="E369" t="str">
            <v>F91000E</v>
          </cell>
          <cell r="F369" t="str">
            <v>MISCELLANEOUS CUSTOMER SERV AND INFORMA</v>
          </cell>
          <cell r="G369">
            <v>3328776.1</v>
          </cell>
          <cell r="J369">
            <v>3328776.1</v>
          </cell>
        </row>
        <row r="370">
          <cell r="E370" t="str">
            <v>F91020E</v>
          </cell>
          <cell r="F370" t="str">
            <v>MISC CUSTOMER SERVIC</v>
          </cell>
          <cell r="G370">
            <v>0</v>
          </cell>
          <cell r="J370">
            <v>0</v>
          </cell>
        </row>
        <row r="371">
          <cell r="E371" t="str">
            <v>F91080E</v>
          </cell>
          <cell r="F371" t="str">
            <v>MISCELLANEOUS CUSTOMER SERV AND INFORMA</v>
          </cell>
          <cell r="G371">
            <v>64654.03</v>
          </cell>
          <cell r="J371">
            <v>64654.03</v>
          </cell>
        </row>
        <row r="372">
          <cell r="E372" t="str">
            <v>F91100E</v>
          </cell>
          <cell r="F372" t="str">
            <v>SUPERVISION</v>
          </cell>
          <cell r="G372">
            <v>38.36</v>
          </cell>
          <cell r="J372">
            <v>38.36</v>
          </cell>
        </row>
        <row r="373">
          <cell r="E373" t="str">
            <v>F91100E</v>
          </cell>
          <cell r="H373">
            <v>-38.36</v>
          </cell>
          <cell r="J373">
            <v>-38.36</v>
          </cell>
        </row>
        <row r="374">
          <cell r="E374" t="str">
            <v>F91200E</v>
          </cell>
          <cell r="F374" t="str">
            <v>DEMONSTRATING AND SELLING EXPENSES</v>
          </cell>
          <cell r="G374">
            <v>2362.77</v>
          </cell>
          <cell r="J374">
            <v>2362.77</v>
          </cell>
        </row>
        <row r="375">
          <cell r="E375" t="str">
            <v>F91200E</v>
          </cell>
          <cell r="H375">
            <v>-20.16</v>
          </cell>
          <cell r="J375">
            <v>-20.16</v>
          </cell>
        </row>
        <row r="376">
          <cell r="E376" t="str">
            <v>F91210E</v>
          </cell>
          <cell r="F376" t="str">
            <v>DEMONSTRATING AND SELLING EXPENSES</v>
          </cell>
          <cell r="G376">
            <v>0</v>
          </cell>
          <cell r="J376">
            <v>0</v>
          </cell>
        </row>
        <row r="377">
          <cell r="E377" t="str">
            <v>F91300E</v>
          </cell>
          <cell r="F377" t="str">
            <v>ADVERTISING EXPENSES</v>
          </cell>
          <cell r="G377">
            <v>114091.22</v>
          </cell>
          <cell r="J377">
            <v>114091.22</v>
          </cell>
        </row>
        <row r="378">
          <cell r="E378" t="str">
            <v>F91300E</v>
          </cell>
          <cell r="H378">
            <v>20.16</v>
          </cell>
          <cell r="J378">
            <v>20.16</v>
          </cell>
        </row>
        <row r="379">
          <cell r="E379" t="str">
            <v>F91600E</v>
          </cell>
          <cell r="F379" t="str">
            <v>MISCELLANEOUS SALES EXPENSES</v>
          </cell>
          <cell r="G379">
            <v>0</v>
          </cell>
          <cell r="J379">
            <v>0</v>
          </cell>
        </row>
        <row r="380">
          <cell r="E380" t="str">
            <v xml:space="preserve">   Electric Customer Service, Info and Sales</v>
          </cell>
          <cell r="G380">
            <v>53046405.960000001</v>
          </cell>
          <cell r="H380">
            <v>-38.36</v>
          </cell>
          <cell r="J380">
            <v>53046367.600000001</v>
          </cell>
        </row>
        <row r="382">
          <cell r="E382" t="str">
            <v>F90700G</v>
          </cell>
          <cell r="F382" t="str">
            <v>SUPERVISION</v>
          </cell>
          <cell r="G382">
            <v>8249.66</v>
          </cell>
          <cell r="J382">
            <v>8249.66</v>
          </cell>
        </row>
        <row r="383">
          <cell r="E383" t="str">
            <v>F90701G</v>
          </cell>
          <cell r="F383" t="str">
            <v>SUPERVISION</v>
          </cell>
          <cell r="J383">
            <v>0</v>
          </cell>
        </row>
        <row r="384">
          <cell r="E384" t="str">
            <v>F90800G</v>
          </cell>
          <cell r="F384" t="str">
            <v>CUSTOMER ASSISTANCE EXPENSES</v>
          </cell>
          <cell r="G384">
            <v>13203607.09</v>
          </cell>
          <cell r="H384">
            <v>0</v>
          </cell>
          <cell r="J384">
            <v>13203607.09</v>
          </cell>
        </row>
        <row r="385">
          <cell r="E385" t="str">
            <v>F90800G</v>
          </cell>
          <cell r="J385">
            <v>0</v>
          </cell>
        </row>
        <row r="386">
          <cell r="E386" t="str">
            <v>F90900G</v>
          </cell>
          <cell r="F386" t="str">
            <v>INFORMATIONAL AND INSTRUCTIONAL EXPENSE</v>
          </cell>
          <cell r="G386">
            <v>0</v>
          </cell>
          <cell r="J386">
            <v>0</v>
          </cell>
        </row>
        <row r="387">
          <cell r="E387" t="str">
            <v>F91000G</v>
          </cell>
          <cell r="F387" t="str">
            <v>MISCELLANEOUS CUSTOMER SERV AND INFORMA</v>
          </cell>
          <cell r="G387">
            <v>1166245.29</v>
          </cell>
          <cell r="J387">
            <v>1166245.29</v>
          </cell>
        </row>
        <row r="388">
          <cell r="E388" t="str">
            <v>F91100G</v>
          </cell>
          <cell r="F388" t="str">
            <v>SUPERVISION</v>
          </cell>
          <cell r="G388">
            <v>11.99</v>
          </cell>
          <cell r="J388">
            <v>11.99</v>
          </cell>
        </row>
        <row r="389">
          <cell r="E389" t="str">
            <v>F91100G</v>
          </cell>
          <cell r="H389">
            <v>-11.99</v>
          </cell>
          <cell r="J389">
            <v>-11.99</v>
          </cell>
        </row>
        <row r="390">
          <cell r="E390" t="str">
            <v>F91020G</v>
          </cell>
          <cell r="F390" t="str">
            <v>MISC CUSTOMER SERVIC</v>
          </cell>
          <cell r="G390">
            <v>0</v>
          </cell>
          <cell r="J390">
            <v>0</v>
          </cell>
        </row>
        <row r="391">
          <cell r="E391" t="str">
            <v>F91200G</v>
          </cell>
          <cell r="F391" t="str">
            <v>DEMONSTRATING AND SELLING EXPENSES</v>
          </cell>
          <cell r="G391">
            <v>867.55</v>
          </cell>
          <cell r="J391">
            <v>867.55</v>
          </cell>
        </row>
        <row r="392">
          <cell r="E392" t="str">
            <v>F91200G</v>
          </cell>
          <cell r="H392">
            <v>-6.8400000000000007</v>
          </cell>
          <cell r="J392">
            <v>-6.8400000000000007</v>
          </cell>
        </row>
        <row r="393">
          <cell r="E393" t="str">
            <v>F91300G</v>
          </cell>
          <cell r="F393" t="str">
            <v>ADVERTISING EXPENSES</v>
          </cell>
          <cell r="G393">
            <v>40347.570000000007</v>
          </cell>
          <cell r="J393">
            <v>40347.570000000007</v>
          </cell>
        </row>
        <row r="394">
          <cell r="E394" t="str">
            <v>F91300G</v>
          </cell>
          <cell r="H394">
            <v>6.8400000000000007</v>
          </cell>
          <cell r="J394">
            <v>6.8400000000000007</v>
          </cell>
        </row>
        <row r="395">
          <cell r="E395" t="str">
            <v>F91600G</v>
          </cell>
          <cell r="F395" t="str">
            <v>MISCELLANEOUS SALES EXPENSES</v>
          </cell>
          <cell r="G395">
            <v>0</v>
          </cell>
          <cell r="J395">
            <v>0</v>
          </cell>
        </row>
        <row r="396">
          <cell r="E396" t="str">
            <v xml:space="preserve">   Gas Customer Service, Info and Sales</v>
          </cell>
          <cell r="G396">
            <v>14419329.15</v>
          </cell>
          <cell r="H396">
            <v>-11.990000000000002</v>
          </cell>
          <cell r="J396">
            <v>14419317.16</v>
          </cell>
        </row>
        <row r="398">
          <cell r="E398" t="str">
            <v xml:space="preserve">  Customer Service, Info and Sales</v>
          </cell>
          <cell r="G398">
            <v>67465735.109999999</v>
          </cell>
          <cell r="H398">
            <v>-50.35</v>
          </cell>
          <cell r="J398">
            <v>67465684.760000005</v>
          </cell>
        </row>
        <row r="400">
          <cell r="E400" t="str">
            <v xml:space="preserve">  Administrative and General</v>
          </cell>
        </row>
        <row r="401">
          <cell r="E401" t="str">
            <v>F92000C</v>
          </cell>
          <cell r="F401" t="str">
            <v>ADMINISTRATIVE AND GENERAL SALARIES</v>
          </cell>
          <cell r="G401">
            <v>0</v>
          </cell>
          <cell r="J401">
            <v>0</v>
          </cell>
        </row>
        <row r="402">
          <cell r="E402" t="str">
            <v>F92100C</v>
          </cell>
          <cell r="F402" t="str">
            <v>OFFICE SUPPLIES AND EXPENSES</v>
          </cell>
          <cell r="G402">
            <v>0</v>
          </cell>
          <cell r="J402">
            <v>0</v>
          </cell>
        </row>
        <row r="403">
          <cell r="E403" t="str">
            <v>F92100C</v>
          </cell>
          <cell r="F403" t="str">
            <v>OFFICE SUPPLIES AND EXPENSES</v>
          </cell>
          <cell r="H403">
            <v>0</v>
          </cell>
          <cell r="J403">
            <v>0</v>
          </cell>
        </row>
        <row r="404">
          <cell r="E404" t="str">
            <v>F92100C</v>
          </cell>
          <cell r="F404" t="str">
            <v>OFFICE SUPPLIES AND EXPENSES</v>
          </cell>
          <cell r="H404">
            <v>0</v>
          </cell>
          <cell r="J404">
            <v>0</v>
          </cell>
        </row>
        <row r="405">
          <cell r="E405" t="str">
            <v>F92100C</v>
          </cell>
          <cell r="F405" t="str">
            <v>OFFICE SUPPLIES AND EXPENSES</v>
          </cell>
          <cell r="H405">
            <v>-506.55</v>
          </cell>
          <cell r="J405">
            <v>-506.55</v>
          </cell>
        </row>
        <row r="406">
          <cell r="E406" t="str">
            <v>F92100C</v>
          </cell>
          <cell r="F406" t="str">
            <v>OFFICE SUPPLIES AND EXPENSES</v>
          </cell>
          <cell r="H406">
            <v>506.55</v>
          </cell>
          <cell r="J406">
            <v>506.55</v>
          </cell>
        </row>
        <row r="407">
          <cell r="E407" t="str">
            <v>F9210AC</v>
          </cell>
          <cell r="F407" t="str">
            <v>ADMINISTRATIVE EXPENSES TRANSFERRED-CRE</v>
          </cell>
          <cell r="G407">
            <v>0</v>
          </cell>
          <cell r="J407">
            <v>0</v>
          </cell>
        </row>
        <row r="408">
          <cell r="E408" t="str">
            <v>F92101C</v>
          </cell>
          <cell r="F408" t="str">
            <v>OFFICE SUPPLIES AND EXPENSES - FLOW ADJ</v>
          </cell>
          <cell r="G408">
            <v>0</v>
          </cell>
          <cell r="H408">
            <v>0</v>
          </cell>
          <cell r="J408">
            <v>0</v>
          </cell>
        </row>
        <row r="409">
          <cell r="E409" t="str">
            <v>F9210YC</v>
          </cell>
          <cell r="F409" t="str">
            <v>OFFICE SUPPLIES AND EXPENSES - FLOW ADJ</v>
          </cell>
          <cell r="J409">
            <v>0</v>
          </cell>
        </row>
        <row r="410">
          <cell r="E410" t="str">
            <v>F92140C</v>
          </cell>
          <cell r="F410" t="str">
            <v>OFFICE SUPPLIES AND EXPENSES</v>
          </cell>
          <cell r="G410">
            <v>0</v>
          </cell>
          <cell r="J410">
            <v>0</v>
          </cell>
        </row>
        <row r="411">
          <cell r="E411" t="str">
            <v>F92200C</v>
          </cell>
          <cell r="F411" t="str">
            <v>ADMINISTRATIVE EXPENSES TRANSFERRED-CRE</v>
          </cell>
          <cell r="G411">
            <v>0</v>
          </cell>
          <cell r="J411">
            <v>0</v>
          </cell>
        </row>
        <row r="412">
          <cell r="E412" t="str">
            <v>F9220ZC</v>
          </cell>
          <cell r="F412" t="str">
            <v>ADMINISTRATIVE EXPENSES TRANSFERRED-CRE</v>
          </cell>
          <cell r="J412">
            <v>0</v>
          </cell>
        </row>
        <row r="413">
          <cell r="E413" t="str">
            <v>F92300C</v>
          </cell>
          <cell r="F413" t="str">
            <v>OUTSIDE SERVICES EMPLOYED</v>
          </cell>
          <cell r="G413">
            <v>0</v>
          </cell>
          <cell r="J413">
            <v>0</v>
          </cell>
        </row>
        <row r="414">
          <cell r="E414" t="str">
            <v>F92400C</v>
          </cell>
          <cell r="F414" t="str">
            <v>PROPERTY INSURANCE</v>
          </cell>
          <cell r="G414">
            <v>0</v>
          </cell>
          <cell r="J414">
            <v>0</v>
          </cell>
        </row>
        <row r="415">
          <cell r="E415" t="str">
            <v>F92500C</v>
          </cell>
          <cell r="F415" t="str">
            <v>INJURIES AND DAMAGES</v>
          </cell>
          <cell r="G415">
            <v>0</v>
          </cell>
          <cell r="J415">
            <v>0</v>
          </cell>
        </row>
        <row r="416">
          <cell r="E416" t="str">
            <v>F92510C</v>
          </cell>
          <cell r="F416" t="str">
            <v>INJURIES AND DAMAGES - PLPD</v>
          </cell>
          <cell r="G416">
            <v>0</v>
          </cell>
          <cell r="J416">
            <v>0</v>
          </cell>
        </row>
        <row r="417">
          <cell r="E417" t="str">
            <v>F92600C</v>
          </cell>
          <cell r="F417" t="str">
            <v>EMPLOYEE PENSIONS AND BENEFITS</v>
          </cell>
          <cell r="G417">
            <v>0</v>
          </cell>
          <cell r="J417">
            <v>0</v>
          </cell>
        </row>
        <row r="418">
          <cell r="E418" t="str">
            <v>F92800C</v>
          </cell>
          <cell r="F418" t="str">
            <v>REGULATORY COMMISSION EXPENSES</v>
          </cell>
          <cell r="G418">
            <v>0</v>
          </cell>
          <cell r="J418">
            <v>0</v>
          </cell>
        </row>
        <row r="419">
          <cell r="E419" t="str">
            <v>F93020C</v>
          </cell>
          <cell r="F419" t="str">
            <v>MISCELLANEOUS GENERAL EXPENSES</v>
          </cell>
          <cell r="G419">
            <v>0</v>
          </cell>
          <cell r="J419">
            <v>0</v>
          </cell>
        </row>
        <row r="420">
          <cell r="E420" t="str">
            <v>F9302ZC</v>
          </cell>
          <cell r="F420" t="str">
            <v>MISCELLANEOUS GENERAL EXPENSES</v>
          </cell>
          <cell r="J420">
            <v>0</v>
          </cell>
        </row>
        <row r="421">
          <cell r="E421" t="str">
            <v>F93021C</v>
          </cell>
          <cell r="F421" t="str">
            <v>MISCELLANEOUS GENERAL EXPENSES - ADJ</v>
          </cell>
          <cell r="G421">
            <v>0</v>
          </cell>
          <cell r="J421">
            <v>0</v>
          </cell>
        </row>
        <row r="422">
          <cell r="E422" t="str">
            <v>F93022C</v>
          </cell>
          <cell r="F422" t="str">
            <v>MISCELLANEOUS GENERAL EXPENSES - V&amp;S AD</v>
          </cell>
          <cell r="G422">
            <v>0</v>
          </cell>
          <cell r="J422">
            <v>0</v>
          </cell>
        </row>
        <row r="423">
          <cell r="E423" t="str">
            <v>F93100C</v>
          </cell>
          <cell r="F423" t="str">
            <v>RENTS</v>
          </cell>
          <cell r="G423">
            <v>0</v>
          </cell>
          <cell r="J423">
            <v>0</v>
          </cell>
        </row>
        <row r="424">
          <cell r="E424" t="str">
            <v xml:space="preserve">   Common Administrative and General</v>
          </cell>
          <cell r="G424">
            <v>0</v>
          </cell>
          <cell r="H424">
            <v>0</v>
          </cell>
          <cell r="J424">
            <v>0</v>
          </cell>
        </row>
        <row r="426">
          <cell r="E426" t="str">
            <v>F92000E</v>
          </cell>
          <cell r="F426" t="str">
            <v>ADMINISTRATIVE AND GENERAL SALARIES</v>
          </cell>
          <cell r="G426">
            <v>21344515.649999999</v>
          </cell>
          <cell r="H426">
            <v>-1178347.2</v>
          </cell>
          <cell r="I426">
            <v>0.74738000000000004</v>
          </cell>
          <cell r="J426">
            <v>20166168.449999999</v>
          </cell>
        </row>
        <row r="427">
          <cell r="E427" t="str">
            <v>F92000E</v>
          </cell>
          <cell r="J427">
            <v>0</v>
          </cell>
        </row>
        <row r="428">
          <cell r="E428" t="str">
            <v>F92000E</v>
          </cell>
          <cell r="H428">
            <v>-163673.52000000002</v>
          </cell>
          <cell r="J428">
            <v>-163673.52000000002</v>
          </cell>
        </row>
        <row r="429">
          <cell r="E429" t="str">
            <v>F9200AE</v>
          </cell>
          <cell r="F429" t="str">
            <v>ADMINISTRATIVE AND GENERAL SALARIES</v>
          </cell>
          <cell r="G429">
            <v>0</v>
          </cell>
          <cell r="H429">
            <v>0</v>
          </cell>
          <cell r="J429">
            <v>0</v>
          </cell>
        </row>
        <row r="430">
          <cell r="E430" t="str">
            <v>F9200AE</v>
          </cell>
          <cell r="J430">
            <v>0</v>
          </cell>
        </row>
        <row r="431">
          <cell r="E431" t="str">
            <v>F92090E</v>
          </cell>
          <cell r="F431" t="str">
            <v>ADMINISTRATIVE AND GENERAL SALARIES</v>
          </cell>
          <cell r="G431">
            <v>0</v>
          </cell>
          <cell r="I431">
            <v>0.74738000000000004</v>
          </cell>
          <cell r="J431">
            <v>0</v>
          </cell>
        </row>
        <row r="432">
          <cell r="E432" t="str">
            <v>F92100E</v>
          </cell>
          <cell r="F432" t="str">
            <v>OFFICE SUPPLIES AND EXPENSES</v>
          </cell>
          <cell r="G432">
            <v>7924130.9199999999</v>
          </cell>
          <cell r="I432">
            <v>0.74738000000000004</v>
          </cell>
          <cell r="J432">
            <v>7924130.9199999999</v>
          </cell>
        </row>
        <row r="433">
          <cell r="E433" t="str">
            <v>F92100E</v>
          </cell>
          <cell r="H433">
            <v>1178347.2</v>
          </cell>
          <cell r="J433">
            <v>1178347.2</v>
          </cell>
        </row>
        <row r="434">
          <cell r="E434" t="str">
            <v>F92100E</v>
          </cell>
          <cell r="H434">
            <v>-0.65000000000189173</v>
          </cell>
          <cell r="J434">
            <v>-0.65000000000189173</v>
          </cell>
        </row>
        <row r="435">
          <cell r="E435" t="str">
            <v>F92100E</v>
          </cell>
          <cell r="H435">
            <v>-378.58533900000003</v>
          </cell>
          <cell r="I435">
            <v>0.74738000000000004</v>
          </cell>
          <cell r="J435">
            <v>-378.58533900000003</v>
          </cell>
        </row>
        <row r="436">
          <cell r="E436" t="str">
            <v>F92100E</v>
          </cell>
          <cell r="H436">
            <v>163673.52000000002</v>
          </cell>
          <cell r="J436">
            <v>163673.52000000002</v>
          </cell>
        </row>
        <row r="437">
          <cell r="E437" t="str">
            <v>F92100E</v>
          </cell>
          <cell r="H437">
            <v>-6534830.3099999996</v>
          </cell>
          <cell r="J437">
            <v>-6534830.3099999996</v>
          </cell>
        </row>
        <row r="438">
          <cell r="E438" t="str">
            <v>F92100E</v>
          </cell>
          <cell r="H438">
            <v>105.50999999999999</v>
          </cell>
          <cell r="J438">
            <v>105.50999999999999</v>
          </cell>
        </row>
        <row r="439">
          <cell r="E439" t="str">
            <v>F92100E</v>
          </cell>
          <cell r="H439">
            <v>17.38</v>
          </cell>
          <cell r="J439">
            <v>17.38</v>
          </cell>
        </row>
        <row r="440">
          <cell r="E440" t="str">
            <v>F9210AE</v>
          </cell>
          <cell r="F440" t="str">
            <v>OFFICE SUPPLIES AND EXPENSES</v>
          </cell>
          <cell r="G440">
            <v>32832416.459999997</v>
          </cell>
          <cell r="I440">
            <v>0.74738000000000004</v>
          </cell>
          <cell r="J440">
            <v>32832416.459999997</v>
          </cell>
        </row>
        <row r="441">
          <cell r="E441" t="str">
            <v>F9210AE</v>
          </cell>
          <cell r="H441">
            <v>0</v>
          </cell>
          <cell r="J441">
            <v>0</v>
          </cell>
        </row>
        <row r="442">
          <cell r="E442" t="str">
            <v>F9210AE</v>
          </cell>
          <cell r="H442">
            <v>0</v>
          </cell>
          <cell r="J442">
            <v>0</v>
          </cell>
        </row>
        <row r="443">
          <cell r="E443" t="str">
            <v>F92101E</v>
          </cell>
          <cell r="F443" t="str">
            <v>OFFICE SUPPLIES AND EXPENSES - FLOW ADJ</v>
          </cell>
          <cell r="G443">
            <v>0.09</v>
          </cell>
          <cell r="H443">
            <v>0</v>
          </cell>
          <cell r="I443">
            <v>0.74738000000000004</v>
          </cell>
          <cell r="J443">
            <v>0.09</v>
          </cell>
        </row>
        <row r="444">
          <cell r="E444" t="str">
            <v>F92120E</v>
          </cell>
          <cell r="F444" t="str">
            <v>OFFICE SUPPLIES AND EXPENSES</v>
          </cell>
          <cell r="G444">
            <v>27.950000000000003</v>
          </cell>
          <cell r="J444">
            <v>27.950000000000003</v>
          </cell>
        </row>
        <row r="445">
          <cell r="E445" t="str">
            <v>F92140E</v>
          </cell>
          <cell r="F445" t="str">
            <v>OFFICE SUPPLIES AND EXPENSES</v>
          </cell>
          <cell r="G445">
            <v>-167160.67000000001</v>
          </cell>
          <cell r="H445">
            <v>0</v>
          </cell>
          <cell r="I445">
            <v>0.74738000000000004</v>
          </cell>
          <cell r="J445">
            <v>-167160.67000000001</v>
          </cell>
        </row>
        <row r="446">
          <cell r="E446" t="str">
            <v>F92170E</v>
          </cell>
          <cell r="F446" t="str">
            <v>OFFICE SUPPLIES AND EXPENSES-WA DOCS-EL</v>
          </cell>
          <cell r="G446">
            <v>0</v>
          </cell>
          <cell r="J446">
            <v>0</v>
          </cell>
        </row>
        <row r="447">
          <cell r="E447" t="str">
            <v>F92180E</v>
          </cell>
          <cell r="F447" t="str">
            <v>OFFICE SUPPLIES AND EXPENSES-MAT COST A</v>
          </cell>
          <cell r="G447">
            <v>0</v>
          </cell>
          <cell r="J447">
            <v>0</v>
          </cell>
        </row>
        <row r="448">
          <cell r="E448" t="str">
            <v>F92190E</v>
          </cell>
          <cell r="F448" t="str">
            <v>OFFICE SUPPLIES AND EXPENSES-OFFSET ADJ</v>
          </cell>
          <cell r="G448">
            <v>9170.43</v>
          </cell>
          <cell r="J448">
            <v>9170.43</v>
          </cell>
        </row>
        <row r="449">
          <cell r="E449" t="str">
            <v>F92200E</v>
          </cell>
          <cell r="F449" t="str">
            <v>ADMINISTRATIVE EXPENSES TRANSFERRED-CRE</v>
          </cell>
          <cell r="G449">
            <v>-2139419.77</v>
          </cell>
          <cell r="I449">
            <v>0.74738000000000004</v>
          </cell>
          <cell r="J449">
            <v>-2139419.77</v>
          </cell>
        </row>
        <row r="450">
          <cell r="E450" t="str">
            <v>F9220AE</v>
          </cell>
          <cell r="F450" t="str">
            <v>ADMINISTRATIVE EXPENSES TRANSFERRED-CRE</v>
          </cell>
          <cell r="G450">
            <v>0</v>
          </cell>
          <cell r="I450">
            <v>0.74738000000000004</v>
          </cell>
          <cell r="J450">
            <v>0</v>
          </cell>
        </row>
        <row r="451">
          <cell r="E451" t="str">
            <v>F922A0E</v>
          </cell>
          <cell r="F451" t="str">
            <v>ADMINISTRATIVE EXPENSES TRANSFERRED-CRE</v>
          </cell>
          <cell r="G451">
            <v>-4287682.58</v>
          </cell>
          <cell r="I451">
            <v>0.74738000000000004</v>
          </cell>
          <cell r="J451">
            <v>-4287682.58</v>
          </cell>
        </row>
        <row r="452">
          <cell r="E452" t="str">
            <v>F9220ZE</v>
          </cell>
          <cell r="F452" t="str">
            <v>ADMINISTRATIVE EXPENSES TRANSFERRED-CRE</v>
          </cell>
          <cell r="I452">
            <v>0.74738000000000004</v>
          </cell>
          <cell r="J452">
            <v>0</v>
          </cell>
        </row>
        <row r="453">
          <cell r="E453" t="str">
            <v>F92300E</v>
          </cell>
          <cell r="F453" t="str">
            <v>OUTSIDE SERVICES EMPLOYED</v>
          </cell>
          <cell r="G453">
            <v>1156664.7500000002</v>
          </cell>
          <cell r="I453">
            <v>0.74738000000000004</v>
          </cell>
          <cell r="J453">
            <v>1156664.7500000002</v>
          </cell>
        </row>
        <row r="454">
          <cell r="E454" t="str">
            <v>F9230AE</v>
          </cell>
          <cell r="F454" t="str">
            <v>OUTSIDE SERVICES EMPLOYED</v>
          </cell>
          <cell r="G454">
            <v>250132.36</v>
          </cell>
          <cell r="I454">
            <v>0.74738000000000004</v>
          </cell>
          <cell r="J454">
            <v>250132.36</v>
          </cell>
        </row>
        <row r="455">
          <cell r="E455" t="str">
            <v>F92400E</v>
          </cell>
          <cell r="F455" t="str">
            <v>PROPERTY INSURANCE</v>
          </cell>
          <cell r="G455">
            <v>-329708.23000000004</v>
          </cell>
          <cell r="I455">
            <v>0.74738000000000004</v>
          </cell>
          <cell r="J455">
            <v>-329708.23000000004</v>
          </cell>
        </row>
        <row r="456">
          <cell r="E456" t="str">
            <v>F92500E</v>
          </cell>
          <cell r="F456" t="str">
            <v>INJURIES AND DAMAGES</v>
          </cell>
          <cell r="G456">
            <v>5373752.5799999991</v>
          </cell>
          <cell r="H456">
            <v>0</v>
          </cell>
          <cell r="I456">
            <v>0.69545999999999997</v>
          </cell>
          <cell r="J456">
            <v>5373752.5799999991</v>
          </cell>
        </row>
        <row r="457">
          <cell r="E457" t="str">
            <v>F92500E</v>
          </cell>
          <cell r="J457">
            <v>0</v>
          </cell>
        </row>
        <row r="458">
          <cell r="E458" t="str">
            <v>F9250AE</v>
          </cell>
          <cell r="F458" t="str">
            <v>INJURIES AND DAMAGES CORPORATE SHARED SERV O&amp;M</v>
          </cell>
          <cell r="G458">
            <v>1357.98</v>
          </cell>
          <cell r="J458">
            <v>1357.98</v>
          </cell>
        </row>
        <row r="459">
          <cell r="E459" t="str">
            <v>F92510E</v>
          </cell>
          <cell r="F459" t="str">
            <v>INJURIES AND DAMAGES</v>
          </cell>
          <cell r="G459">
            <v>5695013.3500000015</v>
          </cell>
          <cell r="H459">
            <v>0</v>
          </cell>
          <cell r="I459">
            <v>0.69545999999999997</v>
          </cell>
          <cell r="J459">
            <v>5695013.3500000015</v>
          </cell>
        </row>
        <row r="460">
          <cell r="E460" t="str">
            <v>F92510E</v>
          </cell>
          <cell r="J460">
            <v>0</v>
          </cell>
        </row>
        <row r="461">
          <cell r="E461" t="str">
            <v>F92520E</v>
          </cell>
          <cell r="F461" t="str">
            <v>INJURIES AND DAMAGES</v>
          </cell>
          <cell r="G461">
            <v>347115.32</v>
          </cell>
          <cell r="J461">
            <v>347115.32</v>
          </cell>
        </row>
        <row r="462">
          <cell r="E462" t="str">
            <v>F92600E</v>
          </cell>
          <cell r="F462" t="str">
            <v>EMPLOYEE PENSIONS AND BENEFITS</v>
          </cell>
          <cell r="G462">
            <v>13030713.509999998</v>
          </cell>
          <cell r="H462">
            <v>-104222.59</v>
          </cell>
          <cell r="I462">
            <v>0.70125999999999999</v>
          </cell>
          <cell r="J462">
            <v>12926490.919999998</v>
          </cell>
        </row>
        <row r="463">
          <cell r="E463" t="str">
            <v>F92600E</v>
          </cell>
          <cell r="J463">
            <v>0</v>
          </cell>
        </row>
        <row r="464">
          <cell r="E464" t="str">
            <v>F9260AE</v>
          </cell>
          <cell r="F464" t="str">
            <v>EMPLOYEE PENSIONS AND BENEFITS</v>
          </cell>
          <cell r="G464">
            <v>7612063.7700000014</v>
          </cell>
          <cell r="J464">
            <v>7612063.7700000014</v>
          </cell>
        </row>
        <row r="465">
          <cell r="E465" t="str">
            <v>F9260AE</v>
          </cell>
          <cell r="H465">
            <v>0</v>
          </cell>
          <cell r="J465">
            <v>0</v>
          </cell>
        </row>
        <row r="466">
          <cell r="E466" t="str">
            <v>F9260AE</v>
          </cell>
          <cell r="H466">
            <v>0</v>
          </cell>
          <cell r="J466">
            <v>0</v>
          </cell>
        </row>
        <row r="467">
          <cell r="E467" t="str">
            <v>F92800E</v>
          </cell>
          <cell r="F467" t="str">
            <v>REGULATORY COMMISSION EXPENSES</v>
          </cell>
          <cell r="G467">
            <v>9738480.25</v>
          </cell>
          <cell r="H467">
            <v>0</v>
          </cell>
          <cell r="I467">
            <v>0.74738000000000004</v>
          </cell>
          <cell r="J467">
            <v>9738480.25</v>
          </cell>
        </row>
        <row r="468">
          <cell r="E468" t="str">
            <v>F92800E</v>
          </cell>
          <cell r="J468">
            <v>0</v>
          </cell>
        </row>
        <row r="469">
          <cell r="E469" t="str">
            <v>F9280AE</v>
          </cell>
          <cell r="F469" t="str">
            <v>REGULATORY COMMISSION EXPENSES</v>
          </cell>
          <cell r="G469">
            <v>6681833</v>
          </cell>
          <cell r="H469">
            <v>0</v>
          </cell>
          <cell r="J469">
            <v>6681833</v>
          </cell>
        </row>
        <row r="470">
          <cell r="E470" t="str">
            <v>F9280AE</v>
          </cell>
          <cell r="J470">
            <v>0</v>
          </cell>
        </row>
        <row r="471">
          <cell r="E471" t="str">
            <v>F9280AE</v>
          </cell>
          <cell r="H471">
            <v>-8343870.9299999997</v>
          </cell>
          <cell r="J471">
            <v>-8343870.9299999997</v>
          </cell>
        </row>
        <row r="472">
          <cell r="E472" t="str">
            <v>F92850E</v>
          </cell>
          <cell r="F472" t="str">
            <v>REGULATORY COMMISSION EXPENSES</v>
          </cell>
          <cell r="G472">
            <v>0</v>
          </cell>
          <cell r="J472">
            <v>0</v>
          </cell>
        </row>
        <row r="473">
          <cell r="E473" t="str">
            <v>F92900E</v>
          </cell>
          <cell r="F473" t="str">
            <v>DUPLICATE CHARGES-CR.</v>
          </cell>
          <cell r="G473">
            <v>-590663.17000000004</v>
          </cell>
          <cell r="J473">
            <v>-590663.17000000004</v>
          </cell>
        </row>
        <row r="474">
          <cell r="E474" t="str">
            <v>F93001E</v>
          </cell>
          <cell r="F474" t="str">
            <v xml:space="preserve">AFFIL BILLING - SE CORPORATE (1100)      </v>
          </cell>
          <cell r="G474">
            <v>-0.04</v>
          </cell>
          <cell r="H474">
            <v>0.04</v>
          </cell>
          <cell r="J474">
            <v>0</v>
          </cell>
        </row>
        <row r="475">
          <cell r="E475" t="str">
            <v>F93001E</v>
          </cell>
          <cell r="J475">
            <v>0</v>
          </cell>
        </row>
        <row r="476">
          <cell r="E476" t="str">
            <v>F93002E</v>
          </cell>
          <cell r="F476" t="str">
            <v xml:space="preserve">AFFIL BILLING - SE FINANCE (4600)        </v>
          </cell>
          <cell r="G476">
            <v>-826.51</v>
          </cell>
          <cell r="H476">
            <v>826.51</v>
          </cell>
          <cell r="J476">
            <v>0</v>
          </cell>
        </row>
        <row r="477">
          <cell r="E477" t="str">
            <v>F93002E</v>
          </cell>
          <cell r="J477">
            <v>0</v>
          </cell>
        </row>
        <row r="478">
          <cell r="E478" t="str">
            <v>F93003E</v>
          </cell>
          <cell r="F478" t="str">
            <v xml:space="preserve">AFFIL BILLING - SE CONNECTIONS (4900)    </v>
          </cell>
          <cell r="G478">
            <v>0</v>
          </cell>
          <cell r="H478">
            <v>0</v>
          </cell>
          <cell r="J478">
            <v>0</v>
          </cell>
        </row>
        <row r="479">
          <cell r="E479" t="str">
            <v>F93003E</v>
          </cell>
          <cell r="J479">
            <v>0</v>
          </cell>
        </row>
        <row r="480">
          <cell r="E480" t="str">
            <v>F93004E</v>
          </cell>
          <cell r="F480" t="str">
            <v xml:space="preserve">AFFIL BILLING - SE COMMUNICATIONS (4185) </v>
          </cell>
          <cell r="G480">
            <v>0</v>
          </cell>
          <cell r="H480">
            <v>0</v>
          </cell>
          <cell r="J480">
            <v>0</v>
          </cell>
        </row>
        <row r="481">
          <cell r="E481" t="str">
            <v>F93004E</v>
          </cell>
          <cell r="J481">
            <v>0</v>
          </cell>
        </row>
        <row r="482">
          <cell r="E482" t="str">
            <v>F93005E</v>
          </cell>
          <cell r="F482" t="str">
            <v xml:space="preserve">AFFIL BILLING - SE RESOURCES (5000)      </v>
          </cell>
          <cell r="G482">
            <v>-6370.08</v>
          </cell>
          <cell r="H482">
            <v>6370.079999999999</v>
          </cell>
          <cell r="J482">
            <v>0</v>
          </cell>
        </row>
        <row r="483">
          <cell r="E483" t="str">
            <v>F93005E</v>
          </cell>
          <cell r="J483">
            <v>0</v>
          </cell>
        </row>
        <row r="484">
          <cell r="E484" t="str">
            <v>F93006E</v>
          </cell>
          <cell r="F484" t="str">
            <v xml:space="preserve">AFFIL BILLING - SE INTERNATIONAL (4200)  </v>
          </cell>
          <cell r="G484">
            <v>-18577.61</v>
          </cell>
          <cell r="H484">
            <v>18577.61</v>
          </cell>
          <cell r="J484">
            <v>0</v>
          </cell>
        </row>
        <row r="485">
          <cell r="E485" t="str">
            <v>F93006E</v>
          </cell>
          <cell r="J485">
            <v>0</v>
          </cell>
        </row>
        <row r="486">
          <cell r="E486" t="str">
            <v>F93007E</v>
          </cell>
          <cell r="F486" t="str">
            <v xml:space="preserve">AFFIL BILLING - SE GLOBAL (4190)         </v>
          </cell>
          <cell r="G486">
            <v>0</v>
          </cell>
          <cell r="H486">
            <v>0</v>
          </cell>
          <cell r="J486">
            <v>0</v>
          </cell>
        </row>
        <row r="487">
          <cell r="E487" t="str">
            <v>F93007E</v>
          </cell>
          <cell r="J487">
            <v>0</v>
          </cell>
        </row>
        <row r="488">
          <cell r="E488" t="str">
            <v>F93008E</v>
          </cell>
          <cell r="F488" t="str">
            <v xml:space="preserve">AFFIL BILLING - SE VENTURE (4950)        </v>
          </cell>
          <cell r="G488">
            <v>-145.46</v>
          </cell>
          <cell r="H488">
            <v>145.46</v>
          </cell>
          <cell r="J488">
            <v>0</v>
          </cell>
        </row>
        <row r="489">
          <cell r="E489" t="str">
            <v>F93008E</v>
          </cell>
          <cell r="J489">
            <v>0</v>
          </cell>
        </row>
        <row r="490">
          <cell r="E490" t="str">
            <v>F93010E</v>
          </cell>
          <cell r="F490" t="str">
            <v>GENERAL ADVERTISING EXPENSES</v>
          </cell>
          <cell r="G490">
            <v>239.68</v>
          </cell>
          <cell r="J490">
            <v>239.68</v>
          </cell>
        </row>
        <row r="491">
          <cell r="E491" t="str">
            <v>F93011E</v>
          </cell>
          <cell r="F491" t="str">
            <v xml:space="preserve">AFFIL BILLING - SE INFORMATION SOLUTIONS (4500) </v>
          </cell>
          <cell r="G491">
            <v>0</v>
          </cell>
          <cell r="J491">
            <v>0</v>
          </cell>
        </row>
        <row r="492">
          <cell r="E492" t="str">
            <v>F93012E</v>
          </cell>
          <cell r="F492" t="str">
            <v>AFFIL BILLING - SE FIBER LINKS (4960)</v>
          </cell>
          <cell r="G492">
            <v>-3598.39</v>
          </cell>
          <cell r="H492">
            <v>3598.39</v>
          </cell>
          <cell r="J492">
            <v>0</v>
          </cell>
        </row>
        <row r="493">
          <cell r="E493" t="str">
            <v>F93012E</v>
          </cell>
          <cell r="J493">
            <v>0</v>
          </cell>
        </row>
        <row r="494">
          <cell r="E494" t="str">
            <v>F93013E</v>
          </cell>
          <cell r="F494" t="str">
            <v>AFFIL BILLING - SE TRADING (4370)</v>
          </cell>
          <cell r="G494">
            <v>-10261.799999999999</v>
          </cell>
          <cell r="H494">
            <v>10261.800000000001</v>
          </cell>
          <cell r="J494">
            <v>0</v>
          </cell>
        </row>
        <row r="495">
          <cell r="E495" t="str">
            <v>F93013E</v>
          </cell>
          <cell r="J495">
            <v>0</v>
          </cell>
        </row>
        <row r="496">
          <cell r="E496" t="str">
            <v>F93014E</v>
          </cell>
          <cell r="F496" t="str">
            <v>AFFIL BILLING - SE SOLUTIONS (4192)</v>
          </cell>
          <cell r="G496">
            <v>-72658.45</v>
          </cell>
          <cell r="H496">
            <v>72658.45</v>
          </cell>
          <cell r="J496">
            <v>0</v>
          </cell>
        </row>
        <row r="497">
          <cell r="E497" t="str">
            <v>F93014E</v>
          </cell>
          <cell r="J497">
            <v>0</v>
          </cell>
        </row>
        <row r="498">
          <cell r="E498" t="str">
            <v>F93019E</v>
          </cell>
          <cell r="F498" t="str">
            <v xml:space="preserve">SDGE FLOW CORR FOR BILLING $ STRANDED TO F93019E </v>
          </cell>
          <cell r="G498">
            <v>-1524.8600000000001</v>
          </cell>
          <cell r="H498">
            <v>2742.86</v>
          </cell>
          <cell r="J498">
            <v>1218</v>
          </cell>
        </row>
        <row r="499">
          <cell r="E499" t="str">
            <v>F93019E</v>
          </cell>
          <cell r="J499">
            <v>0</v>
          </cell>
        </row>
        <row r="500">
          <cell r="E500" t="str">
            <v>F93020E</v>
          </cell>
          <cell r="F500" t="str">
            <v>MISCELLANEOUS GENERAL EXPENSES</v>
          </cell>
          <cell r="G500">
            <v>27378184.98</v>
          </cell>
          <cell r="H500">
            <v>-1408.77</v>
          </cell>
          <cell r="I500">
            <v>0.74738000000000004</v>
          </cell>
          <cell r="J500">
            <v>27376776.210000001</v>
          </cell>
        </row>
        <row r="501">
          <cell r="E501" t="str">
            <v>F93020E</v>
          </cell>
          <cell r="J501">
            <v>0</v>
          </cell>
        </row>
        <row r="502">
          <cell r="E502" t="str">
            <v>F93020E</v>
          </cell>
          <cell r="H502">
            <v>5286050.32</v>
          </cell>
          <cell r="J502">
            <v>5286050.32</v>
          </cell>
        </row>
        <row r="503">
          <cell r="E503" t="str">
            <v>F93020E</v>
          </cell>
          <cell r="H503">
            <v>0</v>
          </cell>
          <cell r="J503">
            <v>0</v>
          </cell>
        </row>
        <row r="504">
          <cell r="E504" t="str">
            <v>F93021C</v>
          </cell>
          <cell r="F504" t="str">
            <v>MISCELLANEOUS GENERAL EXPENSES - ADJ</v>
          </cell>
          <cell r="G504">
            <v>0</v>
          </cell>
          <cell r="J504">
            <v>0</v>
          </cell>
        </row>
        <row r="505">
          <cell r="E505" t="str">
            <v>F93022E</v>
          </cell>
          <cell r="F505" t="str">
            <v>MISCELLANEOUS GENERAL EXPENSES</v>
          </cell>
          <cell r="G505">
            <v>0</v>
          </cell>
          <cell r="I505">
            <v>0.74738000000000004</v>
          </cell>
          <cell r="J505">
            <v>0</v>
          </cell>
        </row>
        <row r="506">
          <cell r="E506" t="str">
            <v>F93030E</v>
          </cell>
          <cell r="F506" t="str">
            <v>MISC GENERAL EXP-AFFIL. BILLING</v>
          </cell>
          <cell r="G506">
            <v>0</v>
          </cell>
          <cell r="H506">
            <v>0</v>
          </cell>
          <cell r="J506">
            <v>0</v>
          </cell>
        </row>
        <row r="507">
          <cell r="E507" t="str">
            <v>F93030E</v>
          </cell>
          <cell r="J507">
            <v>0</v>
          </cell>
        </row>
        <row r="508">
          <cell r="E508" t="str">
            <v>F93031E</v>
          </cell>
          <cell r="F508" t="str">
            <v>INTERCO BILLING - SCG TO SDGE</v>
          </cell>
          <cell r="G508">
            <v>0</v>
          </cell>
          <cell r="J508">
            <v>0</v>
          </cell>
        </row>
        <row r="509">
          <cell r="E509" t="str">
            <v>F93040E</v>
          </cell>
          <cell r="F509" t="str">
            <v>EMERGING BUSINESS ENT. COSTS</v>
          </cell>
          <cell r="G509">
            <v>0</v>
          </cell>
          <cell r="J509">
            <v>0</v>
          </cell>
        </row>
        <row r="510">
          <cell r="E510" t="str">
            <v>F93080E</v>
          </cell>
          <cell r="F510" t="str">
            <v>MISC A&amp;G- AFFILIATE IT SERVICES</v>
          </cell>
          <cell r="G510">
            <v>0</v>
          </cell>
          <cell r="J510">
            <v>0</v>
          </cell>
        </row>
        <row r="511">
          <cell r="E511" t="str">
            <v>F93100E</v>
          </cell>
          <cell r="F511" t="str">
            <v>RENTS</v>
          </cell>
          <cell r="G511">
            <v>4348570.3</v>
          </cell>
          <cell r="H511">
            <v>0</v>
          </cell>
          <cell r="J511">
            <v>4348570.3</v>
          </cell>
        </row>
        <row r="512">
          <cell r="E512" t="str">
            <v>F93100E</v>
          </cell>
          <cell r="J512">
            <v>0</v>
          </cell>
        </row>
        <row r="513">
          <cell r="E513" t="str">
            <v xml:space="preserve">   Electric Administrative and General</v>
          </cell>
          <cell r="G513">
            <v>136095785.71000001</v>
          </cell>
          <cell r="H513">
            <v>-9583357.4253389984</v>
          </cell>
          <cell r="J513">
            <v>126512428.28466098</v>
          </cell>
        </row>
        <row r="515">
          <cell r="E515" t="str">
            <v>F92000G</v>
          </cell>
          <cell r="F515" t="str">
            <v>ADMINISTRATIVE AND GENERAL SALARIES</v>
          </cell>
          <cell r="G515">
            <v>7127874.9299999997</v>
          </cell>
          <cell r="H515">
            <v>-396872.94</v>
          </cell>
          <cell r="I515">
            <v>0.25262000000000001</v>
          </cell>
          <cell r="J515">
            <v>6731001.9899999993</v>
          </cell>
        </row>
        <row r="516">
          <cell r="E516" t="str">
            <v>F92000G</v>
          </cell>
          <cell r="J516">
            <v>0</v>
          </cell>
        </row>
        <row r="517">
          <cell r="E517" t="str">
            <v>F92000G</v>
          </cell>
          <cell r="H517">
            <v>-55172.17</v>
          </cell>
          <cell r="J517">
            <v>-55172.17</v>
          </cell>
        </row>
        <row r="518">
          <cell r="E518" t="str">
            <v>F9200AG</v>
          </cell>
          <cell r="F518" t="str">
            <v>ADMINISTRATIVE AND GENERAL SALARIES</v>
          </cell>
          <cell r="G518">
            <v>0</v>
          </cell>
          <cell r="H518">
            <v>0</v>
          </cell>
          <cell r="J518">
            <v>0</v>
          </cell>
        </row>
        <row r="519">
          <cell r="E519" t="str">
            <v>F9200AG</v>
          </cell>
          <cell r="J519">
            <v>0</v>
          </cell>
        </row>
        <row r="520">
          <cell r="E520" t="str">
            <v>F92090G</v>
          </cell>
          <cell r="F520" t="str">
            <v>ADMINISTRATIVE AND GENERAL SALARIES</v>
          </cell>
          <cell r="G520">
            <v>0</v>
          </cell>
          <cell r="J520">
            <v>0</v>
          </cell>
        </row>
        <row r="521">
          <cell r="E521" t="str">
            <v>F92100G</v>
          </cell>
          <cell r="F521" t="str">
            <v>OFFICE SUPPLIES AND EXPENSES</v>
          </cell>
          <cell r="G521">
            <v>2670462.9300000002</v>
          </cell>
          <cell r="I521">
            <v>0.25262000000000001</v>
          </cell>
          <cell r="J521">
            <v>2670462.9300000002</v>
          </cell>
        </row>
        <row r="522">
          <cell r="E522" t="str">
            <v>F92100G</v>
          </cell>
          <cell r="H522">
            <v>396872.94</v>
          </cell>
          <cell r="J522">
            <v>396872.94</v>
          </cell>
        </row>
        <row r="523">
          <cell r="E523" t="str">
            <v>F92100G</v>
          </cell>
          <cell r="H523">
            <v>-127.96466100000001</v>
          </cell>
          <cell r="I523">
            <v>0.25262000000000001</v>
          </cell>
          <cell r="J523">
            <v>-127.96466100000001</v>
          </cell>
        </row>
        <row r="524">
          <cell r="E524" t="str">
            <v>F92100G</v>
          </cell>
          <cell r="H524">
            <v>-0.16</v>
          </cell>
          <cell r="J524">
            <v>-0.16</v>
          </cell>
        </row>
        <row r="525">
          <cell r="E525" t="str">
            <v>F92100G</v>
          </cell>
          <cell r="H525">
            <v>55172.17</v>
          </cell>
          <cell r="J525">
            <v>55172.17</v>
          </cell>
        </row>
        <row r="526">
          <cell r="E526" t="str">
            <v>F92100G</v>
          </cell>
          <cell r="H526">
            <v>-2208810.25</v>
          </cell>
          <cell r="J526">
            <v>-2208810.25</v>
          </cell>
        </row>
        <row r="527">
          <cell r="E527" t="str">
            <v>F9210AG</v>
          </cell>
          <cell r="F527" t="str">
            <v>OFFICE SUPPLIES AND EXPENSES</v>
          </cell>
          <cell r="G527">
            <v>10969685.1</v>
          </cell>
          <cell r="I527">
            <v>0.25262000000000001</v>
          </cell>
          <cell r="J527">
            <v>10969685.1</v>
          </cell>
        </row>
        <row r="528">
          <cell r="E528" t="str">
            <v>F9210AG</v>
          </cell>
          <cell r="H528">
            <v>0</v>
          </cell>
          <cell r="J528">
            <v>0</v>
          </cell>
        </row>
        <row r="529">
          <cell r="E529" t="str">
            <v>F9210AG</v>
          </cell>
          <cell r="H529">
            <v>0</v>
          </cell>
          <cell r="J529">
            <v>0</v>
          </cell>
        </row>
        <row r="530">
          <cell r="E530" t="str">
            <v>F92101G</v>
          </cell>
          <cell r="F530" t="str">
            <v>OFFICE SUPPLIES AND EXPENSES - FLOW ADJ</v>
          </cell>
          <cell r="G530">
            <v>0</v>
          </cell>
          <cell r="I530">
            <v>0.25262000000000001</v>
          </cell>
          <cell r="J530">
            <v>0</v>
          </cell>
        </row>
        <row r="531">
          <cell r="E531" t="str">
            <v>F9210YG</v>
          </cell>
          <cell r="F531" t="str">
            <v>OFFICE SUPPLIES AND EXPENSES - FLOW ADJ</v>
          </cell>
          <cell r="I531">
            <v>0.25262000000000001</v>
          </cell>
          <cell r="J531">
            <v>0</v>
          </cell>
        </row>
        <row r="532">
          <cell r="E532" t="str">
            <v>F92120G</v>
          </cell>
          <cell r="F532" t="str">
            <v>OFFICE SUPPLIES AND</v>
          </cell>
          <cell r="G532">
            <v>9.4400000000000013</v>
          </cell>
          <cell r="J532">
            <v>9.4400000000000013</v>
          </cell>
        </row>
        <row r="533">
          <cell r="E533" t="str">
            <v>F92140G</v>
          </cell>
          <cell r="F533" t="str">
            <v>OFFICE SUPPLIES AND</v>
          </cell>
          <cell r="G533">
            <v>-55889.39</v>
          </cell>
          <cell r="I533">
            <v>0.25262000000000001</v>
          </cell>
          <cell r="J533">
            <v>-55889.39</v>
          </cell>
        </row>
        <row r="534">
          <cell r="E534" t="str">
            <v>F92170G</v>
          </cell>
          <cell r="F534" t="str">
            <v>OFFICE SUPPLIES AND EXPENSES-WA DOCS-GA</v>
          </cell>
          <cell r="G534">
            <v>0</v>
          </cell>
          <cell r="J534">
            <v>0</v>
          </cell>
        </row>
        <row r="535">
          <cell r="E535" t="str">
            <v>F92180G</v>
          </cell>
          <cell r="F535" t="str">
            <v>OFFICE SUPPLIES AND EXPENSES-MAT COST A</v>
          </cell>
          <cell r="G535">
            <v>0</v>
          </cell>
          <cell r="J535">
            <v>0</v>
          </cell>
        </row>
        <row r="536">
          <cell r="E536" t="str">
            <v>F92190G</v>
          </cell>
          <cell r="F536" t="str">
            <v>OFFICE SUPPLIES AND EXPENSES-OFFSET ADJ</v>
          </cell>
          <cell r="G536">
            <v>2982.24</v>
          </cell>
          <cell r="J536">
            <v>2982.24</v>
          </cell>
        </row>
        <row r="537">
          <cell r="E537" t="str">
            <v>F92200G</v>
          </cell>
          <cell r="F537" t="str">
            <v>ADMINISTRATIVE EXPENSES TRANSFERRED-CRE</v>
          </cell>
          <cell r="G537">
            <v>-711162.67999999993</v>
          </cell>
          <cell r="I537">
            <v>0.25262000000000001</v>
          </cell>
          <cell r="J537">
            <v>-711162.67999999993</v>
          </cell>
        </row>
        <row r="538">
          <cell r="E538" t="str">
            <v>F9220AG</v>
          </cell>
          <cell r="F538" t="str">
            <v>ADMINISTRATIVE EXPENSES TRANSFERRED-CRE</v>
          </cell>
          <cell r="G538">
            <v>0</v>
          </cell>
          <cell r="I538">
            <v>0.25262000000000001</v>
          </cell>
          <cell r="J538">
            <v>0</v>
          </cell>
        </row>
        <row r="539">
          <cell r="E539" t="str">
            <v>F922A0G</v>
          </cell>
          <cell r="F539" t="str">
            <v>ADMINISTRATIVE EXPENSES TRANSFERRED-CRE</v>
          </cell>
          <cell r="G539">
            <v>-1432333.47</v>
          </cell>
          <cell r="I539">
            <v>0.25262000000000001</v>
          </cell>
          <cell r="J539">
            <v>-1432333.47</v>
          </cell>
        </row>
        <row r="540">
          <cell r="E540" t="str">
            <v>F9220ZG</v>
          </cell>
          <cell r="F540" t="str">
            <v>ADMINISTRATIVE EXPENSES TRANSFERRED-CRE</v>
          </cell>
          <cell r="I540">
            <v>0.25262000000000001</v>
          </cell>
          <cell r="J540">
            <v>0</v>
          </cell>
        </row>
        <row r="541">
          <cell r="E541" t="str">
            <v>F92300G</v>
          </cell>
          <cell r="F541" t="str">
            <v>OUTSIDE SERVICES EMPLOYED</v>
          </cell>
          <cell r="G541">
            <v>8900791.3900000025</v>
          </cell>
          <cell r="I541">
            <v>0.25262000000000001</v>
          </cell>
          <cell r="J541">
            <v>8900791.3900000025</v>
          </cell>
        </row>
        <row r="542">
          <cell r="E542" t="str">
            <v>F9230AG</v>
          </cell>
          <cell r="F542" t="str">
            <v>OUTSIDE SERVICES EMPLOYED</v>
          </cell>
          <cell r="G542">
            <v>84546.64</v>
          </cell>
          <cell r="I542">
            <v>0.25262000000000001</v>
          </cell>
          <cell r="J542">
            <v>84546.64</v>
          </cell>
        </row>
        <row r="543">
          <cell r="E543" t="str">
            <v>F9230AG</v>
          </cell>
          <cell r="H543">
            <v>10835233.57</v>
          </cell>
          <cell r="J543">
            <v>10835233.57</v>
          </cell>
        </row>
        <row r="544">
          <cell r="E544" t="str">
            <v>F92400G</v>
          </cell>
          <cell r="F544" t="str">
            <v>PROPERTY INSURANCE</v>
          </cell>
          <cell r="G544">
            <v>86184.93</v>
          </cell>
          <cell r="I544">
            <v>0.25262000000000001</v>
          </cell>
          <cell r="J544">
            <v>86184.93</v>
          </cell>
        </row>
        <row r="545">
          <cell r="E545" t="str">
            <v>F92500G</v>
          </cell>
          <cell r="F545" t="str">
            <v>INJURIES AND DAMAGES</v>
          </cell>
          <cell r="G545">
            <v>2213768.64</v>
          </cell>
          <cell r="H545">
            <v>0</v>
          </cell>
          <cell r="I545">
            <v>0.30453999999999998</v>
          </cell>
          <cell r="J545">
            <v>2213768.64</v>
          </cell>
        </row>
        <row r="546">
          <cell r="E546" t="str">
            <v>F92500G</v>
          </cell>
          <cell r="J546">
            <v>0</v>
          </cell>
        </row>
        <row r="547">
          <cell r="E547" t="str">
            <v>F9250AG</v>
          </cell>
          <cell r="F547" t="str">
            <v>INJURIES AND DAMAGES CORPORATE SHARED SERV O&amp;M</v>
          </cell>
          <cell r="G547">
            <v>594.66</v>
          </cell>
          <cell r="J547">
            <v>594.66</v>
          </cell>
        </row>
        <row r="548">
          <cell r="E548" t="str">
            <v>F92510G</v>
          </cell>
          <cell r="F548" t="str">
            <v>INJURIES AND DAMAGES</v>
          </cell>
          <cell r="G548">
            <v>2225590.7800000003</v>
          </cell>
          <cell r="H548">
            <v>0</v>
          </cell>
          <cell r="I548">
            <v>0.30453999999999998</v>
          </cell>
          <cell r="J548">
            <v>2225590.7800000003</v>
          </cell>
        </row>
        <row r="549">
          <cell r="E549" t="str">
            <v>F92510G</v>
          </cell>
          <cell r="J549">
            <v>0</v>
          </cell>
        </row>
        <row r="550">
          <cell r="E550" t="str">
            <v>F92520G</v>
          </cell>
          <cell r="F550" t="str">
            <v>INJURIES AND DAMAGES</v>
          </cell>
          <cell r="G550">
            <v>4.08</v>
          </cell>
          <cell r="J550">
            <v>4.08</v>
          </cell>
        </row>
        <row r="551">
          <cell r="E551" t="str">
            <v>F92600G</v>
          </cell>
          <cell r="F551" t="str">
            <v>EMPLOYEE PENSIONS AND BENEFITS</v>
          </cell>
          <cell r="G551">
            <v>5508248.2699999996</v>
          </cell>
          <cell r="H551">
            <v>-44399.3</v>
          </cell>
          <cell r="I551">
            <v>0.29874000000000001</v>
          </cell>
          <cell r="J551">
            <v>5463848.9699999997</v>
          </cell>
        </row>
        <row r="552">
          <cell r="E552" t="str">
            <v>F92600G</v>
          </cell>
          <cell r="J552">
            <v>0</v>
          </cell>
        </row>
        <row r="553">
          <cell r="E553" t="str">
            <v>F9260AG</v>
          </cell>
          <cell r="F553" t="str">
            <v>EMPLOYEE PENSIONS AND BENEFITS</v>
          </cell>
          <cell r="G553">
            <v>2505055.2399999998</v>
          </cell>
          <cell r="J553">
            <v>2505055.2399999998</v>
          </cell>
        </row>
        <row r="554">
          <cell r="E554" t="str">
            <v>F9260AG</v>
          </cell>
          <cell r="H554">
            <v>0</v>
          </cell>
          <cell r="J554">
            <v>0</v>
          </cell>
        </row>
        <row r="555">
          <cell r="E555" t="str">
            <v>F9260AG</v>
          </cell>
          <cell r="H555">
            <v>0</v>
          </cell>
          <cell r="J555">
            <v>0</v>
          </cell>
        </row>
        <row r="556">
          <cell r="E556" t="str">
            <v>F92800G</v>
          </cell>
          <cell r="F556" t="str">
            <v>REGULATORY COMMISSION EXPENSES</v>
          </cell>
          <cell r="G556">
            <v>2857027.3699999996</v>
          </cell>
          <cell r="H556">
            <v>0</v>
          </cell>
          <cell r="I556">
            <v>0.25262000000000001</v>
          </cell>
          <cell r="J556">
            <v>2857027.3699999996</v>
          </cell>
        </row>
        <row r="557">
          <cell r="E557" t="str">
            <v>F92800G</v>
          </cell>
          <cell r="J557">
            <v>0</v>
          </cell>
        </row>
        <row r="558">
          <cell r="E558" t="str">
            <v>F9280AG</v>
          </cell>
          <cell r="F558" t="str">
            <v>REGULATORY COMMISSION EXPENSES</v>
          </cell>
          <cell r="G558">
            <v>2212457.86</v>
          </cell>
          <cell r="H558">
            <v>0</v>
          </cell>
          <cell r="J558">
            <v>2212457.86</v>
          </cell>
        </row>
        <row r="559">
          <cell r="E559" t="str">
            <v>F9280AG</v>
          </cell>
          <cell r="J559">
            <v>0</v>
          </cell>
        </row>
        <row r="560">
          <cell r="E560" t="str">
            <v>F9280AG</v>
          </cell>
          <cell r="H560">
            <v>-2491362.64</v>
          </cell>
          <cell r="J560">
            <v>-2491362.64</v>
          </cell>
        </row>
        <row r="561">
          <cell r="E561" t="str">
            <v>F92850G</v>
          </cell>
          <cell r="F561" t="str">
            <v>REGULATORY COMMISSION EXPENSES</v>
          </cell>
          <cell r="G561">
            <v>0</v>
          </cell>
          <cell r="J561">
            <v>0</v>
          </cell>
        </row>
        <row r="562">
          <cell r="E562" t="str">
            <v>F93010G</v>
          </cell>
          <cell r="F562" t="str">
            <v>GENERAL ADVERTISING EXPENSES</v>
          </cell>
          <cell r="G562">
            <v>79.560000000000031</v>
          </cell>
          <cell r="I562">
            <v>0.25262000000000001</v>
          </cell>
          <cell r="J562">
            <v>79.560000000000031</v>
          </cell>
        </row>
        <row r="563">
          <cell r="E563" t="str">
            <v>F93020G</v>
          </cell>
          <cell r="F563" t="str">
            <v>MISCELLANEOUS GENERAL EXPENSES</v>
          </cell>
          <cell r="G563">
            <v>4441695.54</v>
          </cell>
          <cell r="H563">
            <v>-715.06999999999994</v>
          </cell>
          <cell r="I563">
            <v>0.25262000000000001</v>
          </cell>
          <cell r="J563">
            <v>4440980.47</v>
          </cell>
        </row>
        <row r="564">
          <cell r="E564" t="str">
            <v>F93020G</v>
          </cell>
          <cell r="J564">
            <v>0</v>
          </cell>
        </row>
        <row r="565">
          <cell r="E565" t="str">
            <v>F93020G</v>
          </cell>
          <cell r="H565">
            <v>3457590.24</v>
          </cell>
          <cell r="J565">
            <v>3457590.24</v>
          </cell>
        </row>
        <row r="566">
          <cell r="E566" t="str">
            <v>F93020G</v>
          </cell>
          <cell r="H566">
            <v>0</v>
          </cell>
          <cell r="J566">
            <v>0</v>
          </cell>
        </row>
        <row r="567">
          <cell r="E567" t="str">
            <v>F93022G</v>
          </cell>
          <cell r="F567" t="str">
            <v>MISCELLANEOUS GENERAL EXPENSES</v>
          </cell>
          <cell r="G567">
            <v>0</v>
          </cell>
          <cell r="I567">
            <v>0.25262000000000001</v>
          </cell>
          <cell r="J567">
            <v>0</v>
          </cell>
        </row>
        <row r="568">
          <cell r="E568" t="str">
            <v>F93030G</v>
          </cell>
          <cell r="F568" t="str">
            <v>MISC GENERAL EXP-AFFIL. BILLING</v>
          </cell>
          <cell r="G568">
            <v>0</v>
          </cell>
          <cell r="H568">
            <v>0</v>
          </cell>
          <cell r="J568">
            <v>0</v>
          </cell>
        </row>
        <row r="569">
          <cell r="E569" t="str">
            <v>F93031G</v>
          </cell>
          <cell r="F569" t="str">
            <v>INTERCO BILLING - SCG TO SDGE</v>
          </cell>
          <cell r="G569">
            <v>0</v>
          </cell>
          <cell r="J569">
            <v>0</v>
          </cell>
        </row>
        <row r="570">
          <cell r="E570" t="str">
            <v>F93040G</v>
          </cell>
          <cell r="F570" t="str">
            <v>FLEET COSTS</v>
          </cell>
          <cell r="G570">
            <v>0</v>
          </cell>
          <cell r="J570">
            <v>0</v>
          </cell>
        </row>
        <row r="571">
          <cell r="E571" t="str">
            <v>F93080G</v>
          </cell>
          <cell r="F571" t="str">
            <v>MISC A&amp;G- AFFILIATE IT SERVICES</v>
          </cell>
          <cell r="G571">
            <v>0</v>
          </cell>
          <cell r="J571">
            <v>0</v>
          </cell>
        </row>
        <row r="572">
          <cell r="E572" t="str">
            <v>F93100G</v>
          </cell>
          <cell r="F572" t="str">
            <v>RENTS</v>
          </cell>
          <cell r="G572">
            <v>1463250.63</v>
          </cell>
          <cell r="H572">
            <v>0</v>
          </cell>
          <cell r="I572">
            <v>0.25262000000000001</v>
          </cell>
          <cell r="J572">
            <v>1463250.63</v>
          </cell>
        </row>
        <row r="573">
          <cell r="E573" t="str">
            <v>F93100G</v>
          </cell>
          <cell r="J573">
            <v>0</v>
          </cell>
        </row>
        <row r="574">
          <cell r="E574" t="str">
            <v xml:space="preserve">   Gas Administrative and General</v>
          </cell>
          <cell r="G574">
            <v>51070924.690000005</v>
          </cell>
          <cell r="H574">
            <v>9547408.4253389984</v>
          </cell>
          <cell r="J574">
            <v>60618333.115339004</v>
          </cell>
        </row>
        <row r="576">
          <cell r="E576" t="str">
            <v xml:space="preserve">  Administrative and General</v>
          </cell>
          <cell r="G576">
            <v>187166710.40000001</v>
          </cell>
          <cell r="H576">
            <v>-35949</v>
          </cell>
          <cell r="J576">
            <v>187130761.39999998</v>
          </cell>
        </row>
        <row r="578">
          <cell r="E578" t="str">
            <v>F92700C</v>
          </cell>
          <cell r="F578" t="str">
            <v>FRANCHISE REQUIREMENTS</v>
          </cell>
          <cell r="G578">
            <v>0</v>
          </cell>
          <cell r="J578">
            <v>0</v>
          </cell>
        </row>
        <row r="579">
          <cell r="E579" t="str">
            <v>F92700E</v>
          </cell>
          <cell r="F579" t="str">
            <v>FRANCHISE REQUIREMENTS</v>
          </cell>
          <cell r="G579">
            <v>58130419.210000001</v>
          </cell>
          <cell r="J579">
            <v>58130419.210000001</v>
          </cell>
        </row>
        <row r="580">
          <cell r="E580" t="str">
            <v>F92700G</v>
          </cell>
          <cell r="F580" t="str">
            <v>FRANCHISE REQUIREMENTS</v>
          </cell>
          <cell r="G580">
            <v>8597441.129999999</v>
          </cell>
          <cell r="J580">
            <v>8597441.129999999</v>
          </cell>
        </row>
        <row r="581">
          <cell r="E581" t="str">
            <v xml:space="preserve"> Franchise Fees</v>
          </cell>
          <cell r="G581">
            <v>66727860.340000004</v>
          </cell>
          <cell r="H581">
            <v>0</v>
          </cell>
          <cell r="J581">
            <v>66727860.340000004</v>
          </cell>
        </row>
        <row r="583">
          <cell r="E583" t="str">
            <v>Maintenance</v>
          </cell>
        </row>
        <row r="584">
          <cell r="E584" t="str">
            <v>F51000E</v>
          </cell>
          <cell r="F584" t="str">
            <v>MAINTENANCE SUPERVISION AND ENGINEERING</v>
          </cell>
          <cell r="G584">
            <v>175.66999999999996</v>
          </cell>
          <cell r="J584">
            <v>175.66999999999996</v>
          </cell>
        </row>
        <row r="585">
          <cell r="E585" t="str">
            <v>F51000E</v>
          </cell>
          <cell r="H585">
            <v>-87.539999999999992</v>
          </cell>
          <cell r="J585">
            <v>-87.539999999999992</v>
          </cell>
        </row>
        <row r="586">
          <cell r="E586" t="str">
            <v>F51010E</v>
          </cell>
          <cell r="F586" t="str">
            <v>MAINTENANCE SUPERVISION AND ENGINEERING</v>
          </cell>
          <cell r="G586">
            <v>45.23</v>
          </cell>
          <cell r="J586">
            <v>45.23</v>
          </cell>
        </row>
        <row r="587">
          <cell r="E587" t="str">
            <v>F51010E</v>
          </cell>
          <cell r="H587">
            <v>-45.23</v>
          </cell>
          <cell r="J587">
            <v>-45.23</v>
          </cell>
        </row>
        <row r="588">
          <cell r="E588" t="str">
            <v>F51020E</v>
          </cell>
          <cell r="F588" t="str">
            <v>MAINTENANCE SUPERVISION AND ENGINEERING</v>
          </cell>
          <cell r="G588">
            <v>1836</v>
          </cell>
          <cell r="J588">
            <v>1836</v>
          </cell>
        </row>
        <row r="589">
          <cell r="E589" t="str">
            <v>F51020E</v>
          </cell>
          <cell r="H589">
            <v>-907.2</v>
          </cell>
          <cell r="J589">
            <v>-907.2</v>
          </cell>
        </row>
        <row r="590">
          <cell r="E590" t="str">
            <v>F51030E</v>
          </cell>
          <cell r="F590" t="str">
            <v>MAINTENANCE SUPERVISION AND ENGINEERING</v>
          </cell>
          <cell r="G590">
            <v>0</v>
          </cell>
          <cell r="J590">
            <v>0</v>
          </cell>
        </row>
        <row r="591">
          <cell r="E591" t="str">
            <v>F51100E</v>
          </cell>
          <cell r="F591" t="str">
            <v>MAINTENANCE OF STRUCTURES</v>
          </cell>
          <cell r="G591">
            <v>-2860.8100000000004</v>
          </cell>
          <cell r="J591">
            <v>-2860.8100000000004</v>
          </cell>
        </row>
        <row r="592">
          <cell r="E592" t="str">
            <v>F51100E</v>
          </cell>
          <cell r="H592">
            <v>2860.8100000000004</v>
          </cell>
          <cell r="J592">
            <v>2860.8100000000004</v>
          </cell>
        </row>
        <row r="593">
          <cell r="E593" t="str">
            <v>F51200E</v>
          </cell>
          <cell r="F593" t="str">
            <v>MAINTENANCE OF BOILER PLANT</v>
          </cell>
          <cell r="G593">
            <v>-4855.62</v>
          </cell>
          <cell r="J593">
            <v>-4855.62</v>
          </cell>
        </row>
        <row r="594">
          <cell r="E594" t="str">
            <v>F51200E</v>
          </cell>
          <cell r="H594">
            <v>4855.62</v>
          </cell>
          <cell r="J594">
            <v>4855.62</v>
          </cell>
        </row>
        <row r="595">
          <cell r="E595" t="str">
            <v>F51220E</v>
          </cell>
          <cell r="F595" t="str">
            <v>MAINTENANCE OF BOILER PLANT</v>
          </cell>
          <cell r="G595">
            <v>0</v>
          </cell>
          <cell r="J595">
            <v>0</v>
          </cell>
        </row>
        <row r="596">
          <cell r="E596" t="str">
            <v>F51300E</v>
          </cell>
          <cell r="F596" t="str">
            <v>MAINTENANCE OF ELECTRIC PLANT</v>
          </cell>
          <cell r="G596">
            <v>-16788.23</v>
          </cell>
          <cell r="J596">
            <v>-16788.23</v>
          </cell>
        </row>
        <row r="597">
          <cell r="E597" t="str">
            <v>F51300E</v>
          </cell>
          <cell r="H597">
            <v>16788.23</v>
          </cell>
          <cell r="J597">
            <v>16788.23</v>
          </cell>
        </row>
        <row r="598">
          <cell r="E598" t="str">
            <v>F51320E</v>
          </cell>
          <cell r="F598" t="str">
            <v>MAINTENANCE OF ELECTRIC PLANT</v>
          </cell>
          <cell r="G598">
            <v>261.60000000000002</v>
          </cell>
          <cell r="J598">
            <v>261.60000000000002</v>
          </cell>
        </row>
        <row r="599">
          <cell r="E599" t="str">
            <v>F51320E</v>
          </cell>
          <cell r="H599">
            <v>-261.60000000000002</v>
          </cell>
          <cell r="J599">
            <v>-261.60000000000002</v>
          </cell>
        </row>
        <row r="600">
          <cell r="E600" t="str">
            <v>F51400E</v>
          </cell>
          <cell r="F600" t="str">
            <v>MAINTENANCE OF MISCELLANEOUS STEAM PLAN</v>
          </cell>
          <cell r="G600">
            <v>-2203.9</v>
          </cell>
          <cell r="J600">
            <v>-2203.9</v>
          </cell>
        </row>
        <row r="601">
          <cell r="E601" t="str">
            <v>F51400E</v>
          </cell>
          <cell r="H601">
            <v>-24667.21</v>
          </cell>
          <cell r="J601">
            <v>-24667.21</v>
          </cell>
        </row>
        <row r="602">
          <cell r="E602" t="str">
            <v>F51420E</v>
          </cell>
          <cell r="F602" t="str">
            <v>MAINTENANCE OF MISCELLANEOUS STEAM PLAN</v>
          </cell>
          <cell r="G602">
            <v>0</v>
          </cell>
          <cell r="J602">
            <v>0</v>
          </cell>
        </row>
        <row r="603">
          <cell r="E603" t="str">
            <v xml:space="preserve">     Steam Power Production Maintenance</v>
          </cell>
          <cell r="G603">
            <v>-24390.060000000005</v>
          </cell>
          <cell r="H603">
            <v>-1464.119999999999</v>
          </cell>
          <cell r="J603">
            <v>-25854.18</v>
          </cell>
        </row>
        <row r="605">
          <cell r="E605" t="str">
            <v>F52800E</v>
          </cell>
          <cell r="F605" t="str">
            <v>MAINTENANCE SUPERVISION AND ENGINEERING</v>
          </cell>
          <cell r="G605">
            <v>5606257.8500000006</v>
          </cell>
          <cell r="J605">
            <v>5606257.8500000006</v>
          </cell>
        </row>
        <row r="606">
          <cell r="E606" t="str">
            <v>F52900E</v>
          </cell>
          <cell r="F606" t="str">
            <v>MAINTENANCE OF STRUCTURES</v>
          </cell>
          <cell r="G606">
            <v>3847544.77</v>
          </cell>
          <cell r="J606">
            <v>3847544.77</v>
          </cell>
        </row>
        <row r="607">
          <cell r="E607" t="str">
            <v>F53000E</v>
          </cell>
          <cell r="F607" t="str">
            <v>MAINTENANCE OF REACTOR PLANT EQUIPMENT</v>
          </cell>
          <cell r="G607">
            <v>11778159.049999999</v>
          </cell>
          <cell r="J607">
            <v>11778159.049999999</v>
          </cell>
        </row>
        <row r="608">
          <cell r="E608" t="str">
            <v>F53100E</v>
          </cell>
          <cell r="F608" t="str">
            <v>MAINTENANCE OF ELECTRIC PLANT</v>
          </cell>
          <cell r="G608">
            <v>5977527.75</v>
          </cell>
          <cell r="J608">
            <v>5977527.75</v>
          </cell>
        </row>
        <row r="609">
          <cell r="E609" t="str">
            <v>F53200E</v>
          </cell>
          <cell r="F609" t="str">
            <v>MAINTENANCE OF MISCELLANEOUS NUCLEAR PL</v>
          </cell>
          <cell r="G609">
            <v>10443302.509999998</v>
          </cell>
          <cell r="J609">
            <v>10443302.509999998</v>
          </cell>
        </row>
        <row r="610">
          <cell r="E610" t="str">
            <v xml:space="preserve">     Nuclear Production Maintenance</v>
          </cell>
          <cell r="G610">
            <v>37652791.93</v>
          </cell>
          <cell r="H610">
            <v>0</v>
          </cell>
          <cell r="J610">
            <v>37652791.93</v>
          </cell>
        </row>
        <row r="612">
          <cell r="E612" t="str">
            <v>F55100E</v>
          </cell>
          <cell r="F612" t="str">
            <v>MAINTENANCE SUPERVISION AND ENGINEERING</v>
          </cell>
          <cell r="G612">
            <v>0</v>
          </cell>
          <cell r="J612">
            <v>0</v>
          </cell>
        </row>
        <row r="613">
          <cell r="E613" t="str">
            <v>F55200E</v>
          </cell>
          <cell r="F613" t="str">
            <v>MAINTENANCE OF STRUCTURES</v>
          </cell>
          <cell r="G613">
            <v>-57.8</v>
          </cell>
          <cell r="J613">
            <v>-57.8</v>
          </cell>
        </row>
        <row r="614">
          <cell r="E614" t="str">
            <v>F55200E</v>
          </cell>
          <cell r="H614">
            <v>57.8</v>
          </cell>
          <cell r="J614">
            <v>57.8</v>
          </cell>
        </row>
        <row r="615">
          <cell r="E615" t="str">
            <v>F55300E</v>
          </cell>
          <cell r="F615" t="str">
            <v>MAINTENANCE OF GENERATING AND ELECTRIC</v>
          </cell>
          <cell r="G615">
            <v>-2667.72</v>
          </cell>
          <cell r="J615">
            <v>-2667.72</v>
          </cell>
        </row>
        <row r="616">
          <cell r="E616" t="str">
            <v>F55300E</v>
          </cell>
          <cell r="H616">
            <v>-1312.18</v>
          </cell>
          <cell r="J616">
            <v>-1312.18</v>
          </cell>
        </row>
        <row r="617">
          <cell r="E617" t="str">
            <v>F55400E</v>
          </cell>
          <cell r="F617" t="str">
            <v>MAINT OF MISCELLANEOUS OTHER POWER GENE</v>
          </cell>
          <cell r="G617">
            <v>0</v>
          </cell>
          <cell r="J617">
            <v>0</v>
          </cell>
        </row>
        <row r="618">
          <cell r="E618" t="str">
            <v>F55400E</v>
          </cell>
          <cell r="H618">
            <v>0</v>
          </cell>
          <cell r="J618">
            <v>0</v>
          </cell>
        </row>
        <row r="619">
          <cell r="E619" t="str">
            <v xml:space="preserve">     Other Generation Maintenance</v>
          </cell>
          <cell r="G619">
            <v>-2725.52</v>
          </cell>
          <cell r="H619">
            <v>-1254.3800000000001</v>
          </cell>
          <cell r="I619">
            <v>0</v>
          </cell>
          <cell r="J619">
            <v>-3979.8999999999996</v>
          </cell>
        </row>
        <row r="621">
          <cell r="E621" t="str">
            <v xml:space="preserve">     Generation Maintenance</v>
          </cell>
          <cell r="G621">
            <v>37625676.349999994</v>
          </cell>
          <cell r="H621">
            <v>-2718.4999999999991</v>
          </cell>
          <cell r="J621">
            <v>37622957.850000001</v>
          </cell>
        </row>
        <row r="623">
          <cell r="E623" t="str">
            <v>F56800E</v>
          </cell>
          <cell r="F623" t="str">
            <v>MAINTENANCE SUPERVISION AND ENGINEERING</v>
          </cell>
          <cell r="G623">
            <v>41051.089999999997</v>
          </cell>
          <cell r="J623">
            <v>41051.089999999997</v>
          </cell>
        </row>
        <row r="624">
          <cell r="E624" t="str">
            <v>F56810E</v>
          </cell>
          <cell r="F624" t="str">
            <v>MAINTENANCE SUPERVISION AND ENGINEERING</v>
          </cell>
          <cell r="G624">
            <v>800161.21</v>
          </cell>
          <cell r="J624">
            <v>800161.21</v>
          </cell>
        </row>
        <row r="625">
          <cell r="E625" t="str">
            <v>F56820E</v>
          </cell>
          <cell r="F625" t="str">
            <v>MAINTENANCE SUPERVISION AND ENGINEERING</v>
          </cell>
          <cell r="G625">
            <v>13879.300000000001</v>
          </cell>
          <cell r="J625">
            <v>13879.300000000001</v>
          </cell>
        </row>
        <row r="626">
          <cell r="E626" t="str">
            <v>F56820E</v>
          </cell>
          <cell r="H626">
            <v>14.820000000000002</v>
          </cell>
          <cell r="J626">
            <v>14.820000000000002</v>
          </cell>
        </row>
        <row r="627">
          <cell r="E627" t="str">
            <v>F56900E</v>
          </cell>
          <cell r="F627" t="str">
            <v>MAINTENANCE OF STRUCTURES</v>
          </cell>
          <cell r="G627">
            <v>7714.9800000000005</v>
          </cell>
          <cell r="J627">
            <v>7714.9800000000005</v>
          </cell>
        </row>
        <row r="628">
          <cell r="E628" t="str">
            <v>F57000E</v>
          </cell>
          <cell r="F628" t="str">
            <v>MAINTENANCE OF STATION EQUIPMENT</v>
          </cell>
          <cell r="G628">
            <v>343447.72000000009</v>
          </cell>
          <cell r="J628">
            <v>343447.72000000009</v>
          </cell>
        </row>
        <row r="629">
          <cell r="E629" t="str">
            <v>F57010E</v>
          </cell>
          <cell r="F629" t="str">
            <v>MAINTENANCE OF STATION EQUIPMENT</v>
          </cell>
          <cell r="G629">
            <v>2578786.12</v>
          </cell>
          <cell r="J629">
            <v>2578786.12</v>
          </cell>
        </row>
        <row r="630">
          <cell r="E630" t="str">
            <v>F57020E</v>
          </cell>
          <cell r="F630" t="str">
            <v>MAINTENANCE OF STATION EQUIPMENT</v>
          </cell>
          <cell r="G630">
            <v>277514.39</v>
          </cell>
          <cell r="J630">
            <v>277514.39</v>
          </cell>
        </row>
        <row r="631">
          <cell r="E631" t="str">
            <v>F57050E</v>
          </cell>
          <cell r="F631" t="str">
            <v>MAINTENANCE OF STATION EQUIPMENT</v>
          </cell>
          <cell r="G631">
            <v>0</v>
          </cell>
          <cell r="J631">
            <v>0</v>
          </cell>
        </row>
        <row r="632">
          <cell r="E632" t="str">
            <v>F57060E</v>
          </cell>
          <cell r="F632" t="str">
            <v>MAINTENANCE OF STATION EQUIPMENT</v>
          </cell>
          <cell r="G632">
            <v>37749.9</v>
          </cell>
          <cell r="J632">
            <v>37749.9</v>
          </cell>
        </row>
        <row r="633">
          <cell r="E633" t="str">
            <v>F57070E</v>
          </cell>
          <cell r="F633" t="str">
            <v>MAINTENANCE OF STATION EQUIPMENT</v>
          </cell>
          <cell r="G633">
            <v>34308.75</v>
          </cell>
          <cell r="J633">
            <v>34308.75</v>
          </cell>
        </row>
        <row r="634">
          <cell r="E634" t="str">
            <v>F57100E</v>
          </cell>
          <cell r="F634" t="str">
            <v>MAINTENANCE OF OVERHEAD LINES</v>
          </cell>
          <cell r="G634">
            <v>3125755.0100000002</v>
          </cell>
          <cell r="J634">
            <v>3125755.0100000002</v>
          </cell>
        </row>
        <row r="635">
          <cell r="E635" t="str">
            <v>F57110E</v>
          </cell>
          <cell r="F635" t="str">
            <v>MAINTENANCE OF OVERHEAD LINES</v>
          </cell>
          <cell r="G635">
            <v>647280.56000000006</v>
          </cell>
          <cell r="J635">
            <v>647280.56000000006</v>
          </cell>
        </row>
        <row r="636">
          <cell r="E636" t="str">
            <v>F57120E</v>
          </cell>
          <cell r="F636" t="str">
            <v>MAINTENANCE OF OVERHEAD LINES</v>
          </cell>
          <cell r="G636">
            <v>661930.77</v>
          </cell>
          <cell r="J636">
            <v>661930.77</v>
          </cell>
        </row>
        <row r="637">
          <cell r="E637" t="str">
            <v>F57130E</v>
          </cell>
          <cell r="F637" t="str">
            <v>MAINTENANCE OF OVERHEAD LINES</v>
          </cell>
          <cell r="G637">
            <v>1027928.03</v>
          </cell>
          <cell r="J637">
            <v>1027928.03</v>
          </cell>
        </row>
        <row r="638">
          <cell r="E638" t="str">
            <v>F57170E</v>
          </cell>
          <cell r="F638" t="str">
            <v>MAINTENANCE OF OVERHEAD LINES</v>
          </cell>
          <cell r="G638">
            <v>44509.669999999955</v>
          </cell>
          <cell r="J638">
            <v>44509.669999999955</v>
          </cell>
        </row>
        <row r="639">
          <cell r="E639" t="str">
            <v>F57180E</v>
          </cell>
          <cell r="F639" t="str">
            <v>MAINTENANCE OF OVERHEAD LINES</v>
          </cell>
          <cell r="G639">
            <v>1946.87</v>
          </cell>
          <cell r="J639">
            <v>1946.87</v>
          </cell>
        </row>
        <row r="640">
          <cell r="E640" t="str">
            <v>F57190E</v>
          </cell>
          <cell r="F640" t="str">
            <v>MAINTENANCE OF OVERHEAD LINES</v>
          </cell>
          <cell r="G640">
            <v>101474.43000000001</v>
          </cell>
          <cell r="J640">
            <v>101474.43000000001</v>
          </cell>
        </row>
        <row r="641">
          <cell r="E641" t="str">
            <v>F57200E</v>
          </cell>
          <cell r="F641" t="str">
            <v>MAINTENANCE OF UNDERGROUND LINES</v>
          </cell>
          <cell r="G641">
            <v>31729.47</v>
          </cell>
          <cell r="J641">
            <v>31729.47</v>
          </cell>
        </row>
        <row r="642">
          <cell r="E642" t="str">
            <v>F57300E</v>
          </cell>
          <cell r="F642" t="str">
            <v>MAINTENANCE OF MISCELLANEOUS TRANSMISSI</v>
          </cell>
          <cell r="G642">
            <v>24170.3400000002</v>
          </cell>
          <cell r="J642">
            <v>24170.3400000002</v>
          </cell>
        </row>
        <row r="643">
          <cell r="E643" t="str">
            <v xml:space="preserve">     Electric Transmission Maintenance</v>
          </cell>
          <cell r="G643">
            <v>9801338.6099999994</v>
          </cell>
          <cell r="H643">
            <v>14.820000000000002</v>
          </cell>
          <cell r="J643">
            <v>9801353.4299999997</v>
          </cell>
        </row>
        <row r="645">
          <cell r="E645" t="str">
            <v>F59000E</v>
          </cell>
          <cell r="F645" t="str">
            <v>MAINTENANCE SUPERVISION AND ENGINEERING</v>
          </cell>
          <cell r="G645">
            <v>723944.27</v>
          </cell>
          <cell r="J645">
            <v>723944.27</v>
          </cell>
        </row>
        <row r="646">
          <cell r="E646" t="str">
            <v>F59010E</v>
          </cell>
          <cell r="F646" t="str">
            <v>MAINTENANCE SUPERVISION AND ENGINEERING</v>
          </cell>
          <cell r="G646">
            <v>27819.869999999995</v>
          </cell>
          <cell r="J646">
            <v>27819.869999999995</v>
          </cell>
        </row>
        <row r="647">
          <cell r="E647" t="str">
            <v>F59010E</v>
          </cell>
          <cell r="H647">
            <v>1301.57</v>
          </cell>
          <cell r="J647">
            <v>1301.57</v>
          </cell>
        </row>
        <row r="648">
          <cell r="E648" t="str">
            <v>F59020E</v>
          </cell>
          <cell r="F648" t="str">
            <v>MAINTENANCE SUPERVISION AND ENGINEERING</v>
          </cell>
          <cell r="G648">
            <v>35.6</v>
          </cell>
          <cell r="J648">
            <v>35.6</v>
          </cell>
        </row>
        <row r="649">
          <cell r="E649" t="str">
            <v>F59100E</v>
          </cell>
          <cell r="F649" t="str">
            <v>MAINTENANCE OF STRUCTURES</v>
          </cell>
          <cell r="G649">
            <v>31678.41</v>
          </cell>
          <cell r="J649">
            <v>31678.41</v>
          </cell>
        </row>
        <row r="650">
          <cell r="E650" t="str">
            <v>F59200E</v>
          </cell>
          <cell r="F650" t="str">
            <v>MAINTENANCE OF STATION EQUIPMENT</v>
          </cell>
          <cell r="G650">
            <v>1294089.0299999998</v>
          </cell>
          <cell r="J650">
            <v>1294089.0299999998</v>
          </cell>
        </row>
        <row r="651">
          <cell r="E651" t="str">
            <v>F59210E</v>
          </cell>
          <cell r="F651" t="str">
            <v>MAINTENANCE OF STATION EQUIPMENT</v>
          </cell>
          <cell r="G651">
            <v>3228938.7399999998</v>
          </cell>
          <cell r="H651">
            <v>-2742.86</v>
          </cell>
          <cell r="J651">
            <v>3226195.88</v>
          </cell>
        </row>
        <row r="652">
          <cell r="E652" t="str">
            <v>F59210E</v>
          </cell>
          <cell r="J652">
            <v>0</v>
          </cell>
        </row>
        <row r="653">
          <cell r="E653" t="str">
            <v>F59210E</v>
          </cell>
          <cell r="H653">
            <v>1227.3800000000001</v>
          </cell>
          <cell r="J653">
            <v>1227.3800000000001</v>
          </cell>
        </row>
        <row r="654">
          <cell r="E654" t="str">
            <v>F59220E</v>
          </cell>
          <cell r="F654" t="str">
            <v>MAINTENANCE OF STATION EQUIPMENT</v>
          </cell>
          <cell r="G654">
            <v>133326.28000000003</v>
          </cell>
          <cell r="J654">
            <v>133326.28000000003</v>
          </cell>
        </row>
        <row r="655">
          <cell r="E655" t="str">
            <v>F59290E</v>
          </cell>
          <cell r="F655" t="str">
            <v>MAINTENANCE OF STATION EQUIPMENT</v>
          </cell>
          <cell r="G655">
            <v>0</v>
          </cell>
          <cell r="J655">
            <v>0</v>
          </cell>
        </row>
        <row r="656">
          <cell r="E656" t="str">
            <v>F59300E</v>
          </cell>
          <cell r="F656" t="str">
            <v>MAINTENANCE OF OVERHEAD LINES</v>
          </cell>
          <cell r="G656">
            <v>23774908.410000004</v>
          </cell>
          <cell r="J656">
            <v>23774908.410000004</v>
          </cell>
        </row>
        <row r="657">
          <cell r="E657" t="str">
            <v>F59310E</v>
          </cell>
          <cell r="F657" t="str">
            <v>MAINTENANCE OF OVERHEAD LINES</v>
          </cell>
          <cell r="G657">
            <v>1007732.83</v>
          </cell>
          <cell r="J657">
            <v>1007732.83</v>
          </cell>
        </row>
        <row r="658">
          <cell r="E658" t="str">
            <v>F59320E</v>
          </cell>
          <cell r="F658" t="str">
            <v>MAINTENANCE OF OVERHEAD LINES</v>
          </cell>
          <cell r="G658">
            <v>23476146.280000001</v>
          </cell>
          <cell r="J658">
            <v>23476146.280000001</v>
          </cell>
        </row>
        <row r="659">
          <cell r="E659" t="str">
            <v>F59340E</v>
          </cell>
          <cell r="F659" t="str">
            <v>MAINTENANCE OF OVERHEAD LINES</v>
          </cell>
          <cell r="G659">
            <v>2996.8299999999995</v>
          </cell>
          <cell r="J659">
            <v>2996.8299999999995</v>
          </cell>
        </row>
        <row r="660">
          <cell r="E660" t="str">
            <v>F59350E</v>
          </cell>
          <cell r="F660" t="str">
            <v>MAINTENANCE OF OVERHEAD LINES</v>
          </cell>
          <cell r="G660">
            <v>38842.629999999997</v>
          </cell>
          <cell r="J660">
            <v>38842.629999999997</v>
          </cell>
        </row>
        <row r="661">
          <cell r="E661" t="str">
            <v>F59370E</v>
          </cell>
          <cell r="F661" t="str">
            <v>MAINTENANCE OF OVERHEAD LINES</v>
          </cell>
          <cell r="G661">
            <v>-6620.92</v>
          </cell>
          <cell r="J661">
            <v>-6620.92</v>
          </cell>
        </row>
        <row r="662">
          <cell r="E662" t="str">
            <v>F59390E</v>
          </cell>
          <cell r="F662" t="str">
            <v>MAINTENANCE OF OVERHEAD LINES</v>
          </cell>
          <cell r="G662">
            <v>2756806.6199999996</v>
          </cell>
          <cell r="J662">
            <v>2756806.6199999996</v>
          </cell>
        </row>
        <row r="663">
          <cell r="E663" t="str">
            <v>F59400E</v>
          </cell>
          <cell r="F663" t="str">
            <v>MAINTENANCE OF UNDERGROUND LINES</v>
          </cell>
          <cell r="G663">
            <v>2917469.07</v>
          </cell>
          <cell r="J663">
            <v>2917469.07</v>
          </cell>
        </row>
        <row r="664">
          <cell r="E664" t="str">
            <v>F59410E</v>
          </cell>
          <cell r="F664" t="str">
            <v>MAINTENANCE OF UNDERGROUND LINES</v>
          </cell>
          <cell r="G664">
            <v>808073.64999999991</v>
          </cell>
          <cell r="J664">
            <v>808073.64999999991</v>
          </cell>
        </row>
        <row r="665">
          <cell r="E665" t="str">
            <v>F59420E</v>
          </cell>
          <cell r="F665" t="str">
            <v>MAINTENANCE OF UNDERGROUND LINES</v>
          </cell>
          <cell r="G665">
            <v>5285.6600000000008</v>
          </cell>
          <cell r="J665">
            <v>5285.6600000000008</v>
          </cell>
        </row>
        <row r="666">
          <cell r="E666" t="str">
            <v>F59430E</v>
          </cell>
          <cell r="F666" t="str">
            <v>MAINTENANCE OF UNDERGROUND LINES</v>
          </cell>
          <cell r="G666">
            <v>-109.26</v>
          </cell>
          <cell r="J666">
            <v>-109.26</v>
          </cell>
        </row>
        <row r="667">
          <cell r="E667" t="str">
            <v>F59450E</v>
          </cell>
          <cell r="F667" t="str">
            <v>MAINTENANCE OF UNDERGROUND LINES</v>
          </cell>
          <cell r="G667">
            <v>24824.04</v>
          </cell>
          <cell r="J667">
            <v>24824.04</v>
          </cell>
        </row>
        <row r="668">
          <cell r="E668" t="str">
            <v>F59460E</v>
          </cell>
          <cell r="F668" t="str">
            <v>MAINTENANCE OF UNDERGROUND LINES</v>
          </cell>
          <cell r="G668">
            <v>2648554.9200000004</v>
          </cell>
          <cell r="J668">
            <v>2648554.9200000004</v>
          </cell>
        </row>
        <row r="669">
          <cell r="E669" t="str">
            <v>F59500E</v>
          </cell>
          <cell r="F669" t="str">
            <v>MAINTENANCE OF LINE TRANSFORMERS</v>
          </cell>
          <cell r="G669">
            <v>316007.64999999997</v>
          </cell>
          <cell r="J669">
            <v>316007.64999999997</v>
          </cell>
        </row>
        <row r="670">
          <cell r="E670" t="str">
            <v>F59510E</v>
          </cell>
          <cell r="F670" t="str">
            <v>MAINTENANCE OF LINE TRANSFORMERS</v>
          </cell>
          <cell r="G670">
            <v>324.61</v>
          </cell>
          <cell r="J670">
            <v>324.61</v>
          </cell>
        </row>
        <row r="671">
          <cell r="E671" t="str">
            <v>F59520E</v>
          </cell>
          <cell r="F671" t="str">
            <v>MAINTENANCE OF LINE TRANSFORMERS</v>
          </cell>
          <cell r="G671">
            <v>15821.45</v>
          </cell>
          <cell r="J671">
            <v>15821.45</v>
          </cell>
        </row>
        <row r="672">
          <cell r="E672" t="str">
            <v>F59550E</v>
          </cell>
          <cell r="F672" t="str">
            <v>MAINTENANCE OF LINE TRANSFORMERS</v>
          </cell>
          <cell r="G672">
            <v>1087.6099999999999</v>
          </cell>
          <cell r="J672">
            <v>1087.6099999999999</v>
          </cell>
        </row>
        <row r="673">
          <cell r="E673" t="str">
            <v>F59570E</v>
          </cell>
          <cell r="F673" t="str">
            <v>MAINTENANCE OF LINE TRANSFORMERS</v>
          </cell>
          <cell r="G673">
            <v>0</v>
          </cell>
          <cell r="J673">
            <v>0</v>
          </cell>
        </row>
        <row r="674">
          <cell r="E674" t="str">
            <v>F59600E</v>
          </cell>
          <cell r="F674" t="str">
            <v>MAINTENANCE OF STREET LIGHTING AND SIGN</v>
          </cell>
          <cell r="G674">
            <v>80769.830000000016</v>
          </cell>
          <cell r="J674">
            <v>80769.830000000016</v>
          </cell>
        </row>
        <row r="675">
          <cell r="E675" t="str">
            <v>F59700E</v>
          </cell>
          <cell r="F675" t="str">
            <v>MAINTENANCE OF METERS</v>
          </cell>
          <cell r="G675">
            <v>422873.07</v>
          </cell>
          <cell r="J675">
            <v>422873.07</v>
          </cell>
        </row>
        <row r="676">
          <cell r="E676" t="str">
            <v>F59800E</v>
          </cell>
          <cell r="F676" t="str">
            <v>MAINTENANCE OF MISCELLANEOUS DISTRIBUTI</v>
          </cell>
          <cell r="G676">
            <v>377192.57999999914</v>
          </cell>
          <cell r="J676">
            <v>377192.57999999914</v>
          </cell>
        </row>
        <row r="677">
          <cell r="E677" t="str">
            <v xml:space="preserve">     Electric Distribution Maintenance</v>
          </cell>
          <cell r="G677">
            <v>64108819.75999999</v>
          </cell>
          <cell r="H677">
            <v>-213.91000000000008</v>
          </cell>
          <cell r="J677">
            <v>64108605.849999994</v>
          </cell>
        </row>
        <row r="679">
          <cell r="E679" t="str">
            <v xml:space="preserve">     Electric Maintenance</v>
          </cell>
          <cell r="G679">
            <v>111535834.71999998</v>
          </cell>
          <cell r="H679">
            <v>-2917.5899999999992</v>
          </cell>
          <cell r="J679">
            <v>111532917.13</v>
          </cell>
        </row>
        <row r="681">
          <cell r="E681" t="str">
            <v>F83000C</v>
          </cell>
          <cell r="F681" t="str">
            <v>MAINTENANCE SUPERVISION AND ENGINEERING</v>
          </cell>
          <cell r="G681">
            <v>0</v>
          </cell>
          <cell r="H681">
            <v>0</v>
          </cell>
          <cell r="J681">
            <v>0</v>
          </cell>
        </row>
        <row r="682">
          <cell r="E682" t="str">
            <v>F83000G</v>
          </cell>
          <cell r="F682" t="str">
            <v>MAINTENANCE SUPERVISION AND ENGINEERING</v>
          </cell>
          <cell r="G682">
            <v>0</v>
          </cell>
          <cell r="H682">
            <v>0</v>
          </cell>
          <cell r="J682">
            <v>0</v>
          </cell>
        </row>
        <row r="683">
          <cell r="E683" t="str">
            <v>F83100C</v>
          </cell>
          <cell r="F683" t="str">
            <v>MAINTENANCE OF STRUCTURES AND IMPROVEME</v>
          </cell>
          <cell r="G683">
            <v>0</v>
          </cell>
          <cell r="H683">
            <v>0</v>
          </cell>
          <cell r="J683">
            <v>0</v>
          </cell>
        </row>
        <row r="684">
          <cell r="E684" t="str">
            <v>F83100G</v>
          </cell>
          <cell r="F684" t="str">
            <v>MAINTENANCE OF STRUCTURES AND IMPROVEME</v>
          </cell>
          <cell r="G684">
            <v>0</v>
          </cell>
          <cell r="H684">
            <v>0</v>
          </cell>
          <cell r="J684">
            <v>0</v>
          </cell>
        </row>
        <row r="685">
          <cell r="E685" t="str">
            <v>F83200G</v>
          </cell>
          <cell r="F685" t="str">
            <v>MAINTENANCE OF RESERVOIRS AND WELLS</v>
          </cell>
          <cell r="G685">
            <v>0</v>
          </cell>
          <cell r="H685">
            <v>0</v>
          </cell>
          <cell r="J685">
            <v>0</v>
          </cell>
        </row>
        <row r="686">
          <cell r="E686" t="str">
            <v>F83500C</v>
          </cell>
          <cell r="F686" t="str">
            <v>MAINTENANCE OF MEASURING AND REGULATING</v>
          </cell>
          <cell r="G686">
            <v>0</v>
          </cell>
          <cell r="H686">
            <v>0</v>
          </cell>
          <cell r="J686">
            <v>0</v>
          </cell>
        </row>
        <row r="687">
          <cell r="E687" t="str">
            <v>F83500G</v>
          </cell>
          <cell r="F687" t="str">
            <v>MAINTENANCE OF MEASURING AND REGULATING</v>
          </cell>
          <cell r="G687">
            <v>0</v>
          </cell>
          <cell r="H687">
            <v>0</v>
          </cell>
          <cell r="J687">
            <v>0</v>
          </cell>
        </row>
        <row r="688">
          <cell r="E688" t="str">
            <v>F83500G</v>
          </cell>
          <cell r="J688">
            <v>0</v>
          </cell>
        </row>
        <row r="689">
          <cell r="E689" t="str">
            <v>F83700G</v>
          </cell>
          <cell r="F689" t="str">
            <v>MAINTENANCE OF OTHER EQUIPMENT</v>
          </cell>
          <cell r="G689">
            <v>0</v>
          </cell>
          <cell r="H689">
            <v>0</v>
          </cell>
          <cell r="J689">
            <v>0</v>
          </cell>
        </row>
        <row r="690">
          <cell r="E690" t="str">
            <v>F84310G</v>
          </cell>
          <cell r="F690" t="str">
            <v>MAINTENANCE SUPERVISION AND ENGINEERING</v>
          </cell>
          <cell r="G690">
            <v>0</v>
          </cell>
          <cell r="H690">
            <v>0</v>
          </cell>
          <cell r="J690">
            <v>0</v>
          </cell>
        </row>
        <row r="691">
          <cell r="E691" t="str">
            <v>F84320G</v>
          </cell>
          <cell r="F691" t="str">
            <v>MAINTENANCE OF STRUCTURES AND IMPROVEME</v>
          </cell>
          <cell r="G691">
            <v>0</v>
          </cell>
          <cell r="H691">
            <v>0</v>
          </cell>
          <cell r="J691">
            <v>0</v>
          </cell>
        </row>
        <row r="692">
          <cell r="E692" t="str">
            <v>F84330G</v>
          </cell>
          <cell r="F692" t="str">
            <v>MAINTENANCE OF GAS HOLDERS</v>
          </cell>
          <cell r="G692">
            <v>0</v>
          </cell>
          <cell r="J692">
            <v>0</v>
          </cell>
        </row>
        <row r="693">
          <cell r="E693" t="str">
            <v>F84370G</v>
          </cell>
          <cell r="F693" t="str">
            <v>MAINTENANCE OF COMPRESSOR EQUIPMENT</v>
          </cell>
          <cell r="G693">
            <v>0</v>
          </cell>
          <cell r="J693">
            <v>0</v>
          </cell>
        </row>
        <row r="694">
          <cell r="E694" t="str">
            <v>F84380G</v>
          </cell>
          <cell r="F694" t="str">
            <v>MAINTENANCE OF MEASURING AND REGULATING</v>
          </cell>
          <cell r="G694">
            <v>356.07999999999993</v>
          </cell>
          <cell r="H694">
            <v>0</v>
          </cell>
          <cell r="J694">
            <v>356.07999999999993</v>
          </cell>
        </row>
        <row r="695">
          <cell r="E695" t="str">
            <v>F84380G</v>
          </cell>
          <cell r="J695">
            <v>0</v>
          </cell>
        </row>
        <row r="696">
          <cell r="E696" t="str">
            <v>F84380G</v>
          </cell>
          <cell r="H696">
            <v>-356.07999999999993</v>
          </cell>
          <cell r="J696">
            <v>-356.07999999999993</v>
          </cell>
        </row>
        <row r="697">
          <cell r="E697" t="str">
            <v>F84390G</v>
          </cell>
          <cell r="F697" t="str">
            <v>MAINTENANCE OF OTHER EQUIPMENT</v>
          </cell>
          <cell r="G697">
            <v>0</v>
          </cell>
          <cell r="H697">
            <v>0</v>
          </cell>
          <cell r="J697">
            <v>0</v>
          </cell>
        </row>
        <row r="698">
          <cell r="E698" t="str">
            <v xml:space="preserve">     Gas Storage Maintenance</v>
          </cell>
          <cell r="G698">
            <v>356.07999999999993</v>
          </cell>
          <cell r="H698">
            <v>-356.07999999999993</v>
          </cell>
          <cell r="J698">
            <v>0</v>
          </cell>
        </row>
        <row r="700">
          <cell r="E700" t="str">
            <v>F86100G</v>
          </cell>
          <cell r="F700" t="str">
            <v>MAINTENANCE SUPERVISION AND ENGINEERING</v>
          </cell>
          <cell r="G700">
            <v>-45161.63999999997</v>
          </cell>
          <cell r="J700">
            <v>-45161.63999999997</v>
          </cell>
        </row>
        <row r="701">
          <cell r="E701" t="str">
            <v>F86110G</v>
          </cell>
          <cell r="F701" t="str">
            <v>MAINTENANCE SUPERVISION AND ENGINEERING</v>
          </cell>
          <cell r="G701">
            <v>71955.17</v>
          </cell>
          <cell r="J701">
            <v>71955.17</v>
          </cell>
        </row>
        <row r="702">
          <cell r="E702" t="str">
            <v>F86120G</v>
          </cell>
          <cell r="F702" t="str">
            <v>MAINTENANCE SUPERVISION AND ENGINEERING</v>
          </cell>
          <cell r="G702">
            <v>0</v>
          </cell>
          <cell r="J702">
            <v>0</v>
          </cell>
        </row>
        <row r="703">
          <cell r="E703" t="str">
            <v>F86200G</v>
          </cell>
          <cell r="F703" t="str">
            <v>MAINTENANCE OF STRUCTURES AND IMPROVEME</v>
          </cell>
          <cell r="G703">
            <v>1427.02</v>
          </cell>
          <cell r="J703">
            <v>1427.02</v>
          </cell>
        </row>
        <row r="704">
          <cell r="E704" t="str">
            <v>F86300G</v>
          </cell>
          <cell r="F704" t="str">
            <v>MAINTENANCE OF MAINS</v>
          </cell>
          <cell r="G704">
            <v>59178.530000000006</v>
          </cell>
          <cell r="J704">
            <v>59178.530000000006</v>
          </cell>
        </row>
        <row r="705">
          <cell r="E705" t="str">
            <v>F86310G</v>
          </cell>
          <cell r="F705" t="str">
            <v>MAINTENANCE OF MAINS</v>
          </cell>
          <cell r="G705">
            <v>270563.19</v>
          </cell>
          <cell r="J705">
            <v>270563.19</v>
          </cell>
        </row>
        <row r="706">
          <cell r="E706" t="str">
            <v>F86400G</v>
          </cell>
          <cell r="F706" t="str">
            <v>MAINTENANCE OF COMPRESSOR STATION EQUIP</v>
          </cell>
          <cell r="G706">
            <v>5581.3600000000006</v>
          </cell>
          <cell r="J706">
            <v>5581.3600000000006</v>
          </cell>
        </row>
        <row r="707">
          <cell r="E707" t="str">
            <v>F86410G</v>
          </cell>
          <cell r="F707" t="str">
            <v>MAINTENANCE OF COMPRESSOR STATION EQUIP</v>
          </cell>
          <cell r="G707">
            <v>597312.87</v>
          </cell>
          <cell r="J707">
            <v>597312.87</v>
          </cell>
        </row>
        <row r="708">
          <cell r="E708" t="str">
            <v>F86420G</v>
          </cell>
          <cell r="F708" t="str">
            <v>MAINTENANCE OF COMPRESSOR STATION EQUIP</v>
          </cell>
          <cell r="G708">
            <v>35165.11</v>
          </cell>
          <cell r="J708">
            <v>35165.11</v>
          </cell>
        </row>
        <row r="709">
          <cell r="E709" t="str">
            <v>F86500G</v>
          </cell>
          <cell r="F709" t="str">
            <v>MAINTENANCE OF MEASURING AND REG. STATI</v>
          </cell>
          <cell r="G709">
            <v>211228.55999999994</v>
          </cell>
          <cell r="J709">
            <v>211228.55999999994</v>
          </cell>
        </row>
        <row r="710">
          <cell r="E710" t="str">
            <v>F86700G</v>
          </cell>
          <cell r="F710" t="str">
            <v>MAINTENANCE OF OTHER EQUIPMENT</v>
          </cell>
          <cell r="G710">
            <v>159.18</v>
          </cell>
          <cell r="J710">
            <v>159.18</v>
          </cell>
        </row>
        <row r="711">
          <cell r="E711" t="str">
            <v xml:space="preserve">     Gas Transmission Maintenance</v>
          </cell>
          <cell r="G711">
            <v>1207409.3499999999</v>
          </cell>
          <cell r="H711">
            <v>0</v>
          </cell>
          <cell r="J711">
            <v>1207409.3499999999</v>
          </cell>
        </row>
        <row r="713">
          <cell r="E713" t="str">
            <v>F88500G</v>
          </cell>
          <cell r="F713" t="str">
            <v>MAINTENANCE SUPERVISION AND ENGINEERING</v>
          </cell>
          <cell r="G713">
            <v>340487.5</v>
          </cell>
          <cell r="J713">
            <v>340487.5</v>
          </cell>
        </row>
        <row r="714">
          <cell r="E714" t="str">
            <v>F88510G</v>
          </cell>
          <cell r="F714" t="str">
            <v>MAINT SUPERVISION AN</v>
          </cell>
          <cell r="G714">
            <v>99490.779999999984</v>
          </cell>
          <cell r="H714">
            <v>-21.26</v>
          </cell>
          <cell r="J714">
            <v>99469.51999999999</v>
          </cell>
        </row>
        <row r="715">
          <cell r="E715" t="str">
            <v>F88510G</v>
          </cell>
          <cell r="J715">
            <v>0</v>
          </cell>
        </row>
        <row r="716">
          <cell r="E716" t="str">
            <v>F88520G</v>
          </cell>
          <cell r="F716" t="str">
            <v>MAINT SUPERVISION AN</v>
          </cell>
          <cell r="G716">
            <v>29579.969999999998</v>
          </cell>
          <cell r="J716">
            <v>29579.969999999998</v>
          </cell>
        </row>
        <row r="717">
          <cell r="E717" t="str">
            <v>F88600G</v>
          </cell>
          <cell r="F717" t="str">
            <v>MAINTENANCE OF STRUCTURES AND IMPROVEME</v>
          </cell>
          <cell r="G717">
            <v>238.02</v>
          </cell>
          <cell r="J717">
            <v>238.02</v>
          </cell>
        </row>
        <row r="718">
          <cell r="E718" t="str">
            <v>F88700G</v>
          </cell>
          <cell r="F718" t="str">
            <v>MAINTENANCE OF MAINS</v>
          </cell>
          <cell r="G718">
            <v>338106.69</v>
          </cell>
          <cell r="J718">
            <v>338106.69</v>
          </cell>
        </row>
        <row r="719">
          <cell r="E719" t="str">
            <v>F88710G</v>
          </cell>
          <cell r="F719" t="str">
            <v>MAINT OF MAINS</v>
          </cell>
          <cell r="G719">
            <v>472540.68000000005</v>
          </cell>
          <cell r="J719">
            <v>472540.68000000005</v>
          </cell>
        </row>
        <row r="720">
          <cell r="E720" t="str">
            <v>F88720G</v>
          </cell>
          <cell r="F720" t="str">
            <v>MAINT OF MAINS</v>
          </cell>
          <cell r="G720">
            <v>370302.64999999997</v>
          </cell>
          <cell r="J720">
            <v>370302.64999999997</v>
          </cell>
        </row>
        <row r="721">
          <cell r="E721" t="str">
            <v>F88730G</v>
          </cell>
          <cell r="F721" t="str">
            <v>MAINT OF MAINS</v>
          </cell>
          <cell r="G721">
            <v>694518.75999999989</v>
          </cell>
          <cell r="J721">
            <v>694518.75999999989</v>
          </cell>
        </row>
        <row r="722">
          <cell r="E722" t="str">
            <v>F88740G</v>
          </cell>
          <cell r="F722" t="str">
            <v>MAINT OF MAINS</v>
          </cell>
          <cell r="G722">
            <v>20508.72</v>
          </cell>
          <cell r="J722">
            <v>20508.72</v>
          </cell>
        </row>
        <row r="723">
          <cell r="E723" t="str">
            <v>F88750G</v>
          </cell>
          <cell r="F723" t="str">
            <v>MAINT OF MAINS</v>
          </cell>
          <cell r="G723">
            <v>312.45999999999998</v>
          </cell>
          <cell r="J723">
            <v>312.45999999999998</v>
          </cell>
        </row>
        <row r="724">
          <cell r="E724" t="str">
            <v>F88760G</v>
          </cell>
          <cell r="F724" t="str">
            <v>MAINT OF MAINS</v>
          </cell>
          <cell r="G724">
            <v>0</v>
          </cell>
          <cell r="J724">
            <v>0</v>
          </cell>
        </row>
        <row r="725">
          <cell r="E725" t="str">
            <v>F88800G</v>
          </cell>
          <cell r="F725" t="str">
            <v xml:space="preserve">MAINTENANCE OF COMPRESSOR STATION EQUIPMENT </v>
          </cell>
          <cell r="G725">
            <v>0</v>
          </cell>
          <cell r="J725">
            <v>0</v>
          </cell>
        </row>
        <row r="726">
          <cell r="E726" t="str">
            <v>F88900G</v>
          </cell>
          <cell r="F726" t="str">
            <v>MAINTENANCE OF MEAS. AND REG. STA. EQUI</v>
          </cell>
          <cell r="G726">
            <v>119216.53</v>
          </cell>
          <cell r="H726">
            <v>0</v>
          </cell>
          <cell r="J726">
            <v>119216.53</v>
          </cell>
        </row>
        <row r="727">
          <cell r="E727" t="str">
            <v>F88900G</v>
          </cell>
          <cell r="J727">
            <v>0</v>
          </cell>
        </row>
        <row r="728">
          <cell r="E728" t="str">
            <v>F88900G</v>
          </cell>
          <cell r="H728">
            <v>356.07999999999993</v>
          </cell>
          <cell r="J728">
            <v>356.07999999999993</v>
          </cell>
        </row>
        <row r="729">
          <cell r="E729" t="str">
            <v>F89100G</v>
          </cell>
          <cell r="F729" t="str">
            <v>MAINT. OF MEAS. &amp; REG. STA. EQUIP.-CITY GATE CHECK</v>
          </cell>
          <cell r="G729">
            <v>223.6</v>
          </cell>
          <cell r="J729">
            <v>223.6</v>
          </cell>
        </row>
        <row r="730">
          <cell r="E730" t="str">
            <v>F89200G</v>
          </cell>
          <cell r="F730" t="str">
            <v>MAINTENANCE OF SERVICES</v>
          </cell>
          <cell r="G730">
            <v>662842.52</v>
          </cell>
          <cell r="J730">
            <v>662842.52</v>
          </cell>
        </row>
        <row r="731">
          <cell r="E731" t="str">
            <v>F89210G</v>
          </cell>
          <cell r="F731" t="str">
            <v>MAINT OF SERVICES</v>
          </cell>
          <cell r="G731">
            <v>3168.28</v>
          </cell>
          <cell r="J731">
            <v>3168.28</v>
          </cell>
        </row>
        <row r="732">
          <cell r="E732" t="str">
            <v>F89220G</v>
          </cell>
          <cell r="F732" t="str">
            <v>MAINT OF SERVICES</v>
          </cell>
          <cell r="G732">
            <v>37476.239999999998</v>
          </cell>
          <cell r="J732">
            <v>37476.239999999998</v>
          </cell>
        </row>
        <row r="733">
          <cell r="E733" t="str">
            <v>F89230G</v>
          </cell>
          <cell r="F733" t="str">
            <v>MAINT OF SERVICES</v>
          </cell>
          <cell r="G733">
            <v>20510.559999999998</v>
          </cell>
          <cell r="J733">
            <v>20510.559999999998</v>
          </cell>
        </row>
        <row r="734">
          <cell r="E734" t="str">
            <v>F89300G</v>
          </cell>
          <cell r="F734" t="str">
            <v>MAINTENANCE OF METERS AND HOUSE REGULAT</v>
          </cell>
          <cell r="G734">
            <v>378560.58000000007</v>
          </cell>
          <cell r="J734">
            <v>378560.58000000007</v>
          </cell>
        </row>
        <row r="735">
          <cell r="E735" t="str">
            <v>F89310G</v>
          </cell>
          <cell r="F735" t="str">
            <v>MAINT OF METERS AND</v>
          </cell>
          <cell r="G735">
            <v>112413.94</v>
          </cell>
          <cell r="J735">
            <v>112413.94</v>
          </cell>
        </row>
        <row r="736">
          <cell r="E736" t="str">
            <v>F89320G</v>
          </cell>
          <cell r="F736" t="str">
            <v>MAINT OF METERS AND</v>
          </cell>
          <cell r="G736">
            <v>490210.18999999994</v>
          </cell>
          <cell r="J736">
            <v>490210.18999999994</v>
          </cell>
        </row>
        <row r="737">
          <cell r="E737" t="str">
            <v>F89400G</v>
          </cell>
          <cell r="F737" t="str">
            <v>MAINTENANCE OF OTHER EQUIPMENT</v>
          </cell>
          <cell r="G737">
            <v>154013.41</v>
          </cell>
          <cell r="J737">
            <v>154013.41</v>
          </cell>
        </row>
        <row r="738">
          <cell r="E738" t="str">
            <v>F89410G</v>
          </cell>
          <cell r="F738" t="str">
            <v>MAINTENANCE OF OTHER EQUIPMENT</v>
          </cell>
          <cell r="G738">
            <v>47.08</v>
          </cell>
          <cell r="J738">
            <v>47.08</v>
          </cell>
        </row>
        <row r="739">
          <cell r="E739" t="str">
            <v>F89430G</v>
          </cell>
          <cell r="F739" t="str">
            <v>GDM MAINTENANCE OF CNG FUELING STATION</v>
          </cell>
          <cell r="G739">
            <v>86386.28</v>
          </cell>
          <cell r="J739">
            <v>86386.28</v>
          </cell>
        </row>
        <row r="740">
          <cell r="E740" t="str">
            <v xml:space="preserve">     Gas Distribution Maintenance</v>
          </cell>
          <cell r="G740">
            <v>4431155.4400000004</v>
          </cell>
          <cell r="H740">
            <v>334.81999999999994</v>
          </cell>
          <cell r="J740">
            <v>4431490.26</v>
          </cell>
        </row>
        <row r="742">
          <cell r="E742" t="str">
            <v xml:space="preserve">     Gas Maintenance</v>
          </cell>
          <cell r="G742">
            <v>5638920.8700000001</v>
          </cell>
          <cell r="H742">
            <v>-21.259999999999991</v>
          </cell>
          <cell r="J742">
            <v>5638899.6099999994</v>
          </cell>
        </row>
        <row r="744">
          <cell r="E744" t="str">
            <v>F93500C</v>
          </cell>
          <cell r="F744" t="str">
            <v>MAINTENANCE OF GENERAL PLANT</v>
          </cell>
          <cell r="G744">
            <v>0</v>
          </cell>
          <cell r="J744">
            <v>0</v>
          </cell>
        </row>
        <row r="745">
          <cell r="E745" t="str">
            <v>F93500E</v>
          </cell>
          <cell r="F745" t="str">
            <v>MAINTENANCE OF GENERAL PLANT</v>
          </cell>
          <cell r="G745">
            <v>4697607.29</v>
          </cell>
          <cell r="H745">
            <v>83983.79</v>
          </cell>
          <cell r="I745">
            <v>0.74738700000000002</v>
          </cell>
          <cell r="J745">
            <v>4781591.08</v>
          </cell>
        </row>
        <row r="746">
          <cell r="E746" t="str">
            <v>F93500E</v>
          </cell>
          <cell r="J746">
            <v>0</v>
          </cell>
        </row>
        <row r="747">
          <cell r="E747" t="str">
            <v>F93500E</v>
          </cell>
          <cell r="H747">
            <v>29411.1</v>
          </cell>
          <cell r="J747">
            <v>29411.1</v>
          </cell>
        </row>
        <row r="748">
          <cell r="E748" t="str">
            <v>F93500G</v>
          </cell>
          <cell r="F748" t="str">
            <v>MAINTENANCE OF GENERAL PLANT</v>
          </cell>
          <cell r="G748">
            <v>1392923.26</v>
          </cell>
          <cell r="H748">
            <v>28155.350000000002</v>
          </cell>
          <cell r="I748">
            <v>0.25262000000000001</v>
          </cell>
          <cell r="J748">
            <v>1421078.61</v>
          </cell>
        </row>
        <row r="749">
          <cell r="E749" t="str">
            <v>F93500G</v>
          </cell>
          <cell r="J749">
            <v>0</v>
          </cell>
        </row>
        <row r="750">
          <cell r="E750" t="str">
            <v>F93500G</v>
          </cell>
          <cell r="H750">
            <v>-29411.1</v>
          </cell>
          <cell r="J750">
            <v>-29411.1</v>
          </cell>
        </row>
        <row r="751">
          <cell r="E751" t="str">
            <v>F9350AE</v>
          </cell>
          <cell r="F751" t="str">
            <v>MAINTENANCE OF GENERAL PLANT-SEMPRA CHARGES</v>
          </cell>
          <cell r="G751">
            <v>6459326.879999998</v>
          </cell>
          <cell r="H751">
            <v>0</v>
          </cell>
          <cell r="J751">
            <v>6459326.879999998</v>
          </cell>
        </row>
        <row r="752">
          <cell r="E752" t="str">
            <v>F9350AE</v>
          </cell>
          <cell r="J752">
            <v>0</v>
          </cell>
        </row>
        <row r="753">
          <cell r="E753" t="str">
            <v>F9350AG</v>
          </cell>
          <cell r="F753" t="str">
            <v>MAINTENANCE OF GENERAL PLANT-SEMPRA CHARGES</v>
          </cell>
          <cell r="G753">
            <v>2157662.6900000004</v>
          </cell>
          <cell r="H753">
            <v>0</v>
          </cell>
          <cell r="J753">
            <v>2157662.6900000004</v>
          </cell>
        </row>
        <row r="754">
          <cell r="E754" t="str">
            <v>F9350AG</v>
          </cell>
          <cell r="J754">
            <v>0</v>
          </cell>
        </row>
        <row r="755">
          <cell r="E755" t="str">
            <v>F93510E</v>
          </cell>
          <cell r="F755" t="str">
            <v>MAINT OF GENERAL PLA</v>
          </cell>
          <cell r="G755">
            <v>2309668.4300000002</v>
          </cell>
          <cell r="H755">
            <v>0</v>
          </cell>
          <cell r="J755">
            <v>2309668.4300000002</v>
          </cell>
        </row>
        <row r="756">
          <cell r="E756" t="str">
            <v>F93510E</v>
          </cell>
          <cell r="J756">
            <v>0</v>
          </cell>
        </row>
        <row r="757">
          <cell r="E757" t="str">
            <v>F93510G</v>
          </cell>
          <cell r="F757" t="str">
            <v>MAINT OF GENERAL PLA</v>
          </cell>
          <cell r="G757">
            <v>659885.33000000007</v>
          </cell>
          <cell r="H757">
            <v>0</v>
          </cell>
          <cell r="J757">
            <v>659885.33000000007</v>
          </cell>
        </row>
        <row r="758">
          <cell r="E758" t="str">
            <v>F93510G</v>
          </cell>
          <cell r="J758">
            <v>0</v>
          </cell>
        </row>
        <row r="759">
          <cell r="E759" t="str">
            <v xml:space="preserve">     General Maintenance</v>
          </cell>
          <cell r="G759">
            <v>17677073.879999995</v>
          </cell>
          <cell r="H759">
            <v>112139.13999999998</v>
          </cell>
          <cell r="J759">
            <v>17789213.019999996</v>
          </cell>
        </row>
        <row r="761">
          <cell r="E761" t="str">
            <v xml:space="preserve">     Maintenance</v>
          </cell>
          <cell r="G761">
            <v>134851829.46999997</v>
          </cell>
          <cell r="H761">
            <v>109200.28999999998</v>
          </cell>
          <cell r="J761">
            <v>134961029.75999999</v>
          </cell>
        </row>
        <row r="763">
          <cell r="E763" t="str">
            <v xml:space="preserve">    Total Expenses Before Depre and Taxes</v>
          </cell>
          <cell r="G763">
            <v>1527925598.2599998</v>
          </cell>
          <cell r="H763">
            <v>65483.25999999998</v>
          </cell>
          <cell r="J763">
            <v>1527991081.52</v>
          </cell>
        </row>
        <row r="765">
          <cell r="E765" t="str">
            <v>F40300C</v>
          </cell>
          <cell r="F765" t="str">
            <v>DEPRECIATION EXPENSE</v>
          </cell>
          <cell r="G765">
            <v>0</v>
          </cell>
          <cell r="H765">
            <v>0</v>
          </cell>
          <cell r="J765">
            <v>0</v>
          </cell>
        </row>
        <row r="766">
          <cell r="E766" t="str">
            <v>F4030ZC</v>
          </cell>
        </row>
        <row r="767">
          <cell r="E767" t="str">
            <v>F40300E</v>
          </cell>
          <cell r="F767" t="str">
            <v>DEPRECIATION EXPENSE</v>
          </cell>
          <cell r="G767">
            <v>194274110.22999999</v>
          </cell>
          <cell r="H767">
            <v>72998.39</v>
          </cell>
          <cell r="J767">
            <v>194347108.61999997</v>
          </cell>
        </row>
        <row r="768">
          <cell r="E768" t="str">
            <v>F4030ZE</v>
          </cell>
        </row>
        <row r="769">
          <cell r="E769" t="str">
            <v>F40300G</v>
          </cell>
          <cell r="F769" t="str">
            <v>DEPRECIATION EXPENSE</v>
          </cell>
          <cell r="G769">
            <v>42960441.909999996</v>
          </cell>
          <cell r="H769">
            <v>-72998.39</v>
          </cell>
          <cell r="J769">
            <v>42887443.519999996</v>
          </cell>
        </row>
        <row r="770">
          <cell r="E770" t="str">
            <v>F4030ZG</v>
          </cell>
        </row>
        <row r="771">
          <cell r="E771" t="str">
            <v>F40400C</v>
          </cell>
          <cell r="F771" t="str">
            <v>AMORTIZATION OF LIMITED-TERM INVESTMENT</v>
          </cell>
          <cell r="G771">
            <v>0</v>
          </cell>
          <cell r="H771">
            <v>0</v>
          </cell>
          <cell r="J771">
            <v>0</v>
          </cell>
        </row>
        <row r="772">
          <cell r="E772" t="str">
            <v>F4040ZC</v>
          </cell>
        </row>
        <row r="773">
          <cell r="E773" t="str">
            <v>F40400E</v>
          </cell>
          <cell r="F773" t="str">
            <v>AMORTIZATION OF LIMITED-TERM INVESTMENT</v>
          </cell>
          <cell r="G773">
            <v>16264459.310000001</v>
          </cell>
          <cell r="H773">
            <v>47887.87</v>
          </cell>
          <cell r="J773">
            <v>16312347.18</v>
          </cell>
        </row>
        <row r="774">
          <cell r="E774" t="str">
            <v>F4040ZE</v>
          </cell>
        </row>
        <row r="775">
          <cell r="E775" t="str">
            <v>F40400G</v>
          </cell>
          <cell r="F775" t="str">
            <v>AMORTIZATION OF LIMITED-TERM INVESTMENT</v>
          </cell>
          <cell r="G775">
            <v>4543503.37</v>
          </cell>
          <cell r="H775">
            <v>-47887.87</v>
          </cell>
          <cell r="J775">
            <v>4495615.5</v>
          </cell>
        </row>
        <row r="776">
          <cell r="E776" t="str">
            <v>F4040ZG</v>
          </cell>
        </row>
        <row r="777">
          <cell r="E777" t="str">
            <v>F40500C</v>
          </cell>
          <cell r="F777" t="str">
            <v>AMORTIZATION OF OTHER PLANT</v>
          </cell>
          <cell r="G777">
            <v>0</v>
          </cell>
          <cell r="J777">
            <v>0</v>
          </cell>
        </row>
        <row r="778">
          <cell r="E778" t="str">
            <v>F4050ZC</v>
          </cell>
        </row>
        <row r="779">
          <cell r="E779" t="str">
            <v>F40500E</v>
          </cell>
          <cell r="F779" t="str">
            <v>AMORTIZATION OF OTHER PLANT</v>
          </cell>
          <cell r="G779">
            <v>2241576.4799999995</v>
          </cell>
          <cell r="J779">
            <v>2241576.4799999995</v>
          </cell>
        </row>
        <row r="780">
          <cell r="E780" t="str">
            <v>F40500E</v>
          </cell>
          <cell r="H780">
            <v>-473173.44000000006</v>
          </cell>
          <cell r="J780">
            <v>-473173.44000000006</v>
          </cell>
        </row>
        <row r="781">
          <cell r="E781" t="str">
            <v>F4050ZE</v>
          </cell>
        </row>
        <row r="782">
          <cell r="E782" t="str">
            <v>F40500G</v>
          </cell>
          <cell r="F782" t="str">
            <v>AMORTIZATION OF OTHER PLANT</v>
          </cell>
          <cell r="G782">
            <v>268561.53000000003</v>
          </cell>
          <cell r="J782">
            <v>268561.53000000003</v>
          </cell>
        </row>
        <row r="783">
          <cell r="E783" t="str">
            <v>F4050ZG</v>
          </cell>
        </row>
        <row r="784">
          <cell r="E784" t="str">
            <v>F40600C</v>
          </cell>
          <cell r="F784" t="str">
            <v>AMORT. OF UTILITY PLANT ACQ. ADJ.</v>
          </cell>
          <cell r="G784">
            <v>15744</v>
          </cell>
          <cell r="J784">
            <v>15744</v>
          </cell>
        </row>
        <row r="785">
          <cell r="E785" t="str">
            <v>F40700E</v>
          </cell>
          <cell r="F785" t="str">
            <v>AMORT. OF PROP LOSSES  UNREC PLANT AND REG STUDY C</v>
          </cell>
          <cell r="G785">
            <v>946346.88</v>
          </cell>
          <cell r="J785">
            <v>946346.88</v>
          </cell>
        </row>
        <row r="786">
          <cell r="E786" t="str">
            <v>F40700E</v>
          </cell>
          <cell r="H786">
            <v>473173.44000000006</v>
          </cell>
          <cell r="J786">
            <v>473173.44000000006</v>
          </cell>
        </row>
        <row r="787">
          <cell r="E787" t="str">
            <v>F40710C</v>
          </cell>
          <cell r="F787" t="str">
            <v>AMORT. OF PROP LOSSES  UNREC PLANT AND</v>
          </cell>
          <cell r="G787">
            <v>0</v>
          </cell>
          <cell r="J787">
            <v>0</v>
          </cell>
        </row>
        <row r="788">
          <cell r="E788" t="str">
            <v>F40730E</v>
          </cell>
          <cell r="F788" t="str">
            <v>REGULATORY DEBITS</v>
          </cell>
          <cell r="G788">
            <v>0</v>
          </cell>
          <cell r="J788">
            <v>0</v>
          </cell>
        </row>
        <row r="789">
          <cell r="E789" t="str">
            <v xml:space="preserve">  Depreciation and Amortization</v>
          </cell>
          <cell r="G789">
            <v>261514743.70999998</v>
          </cell>
          <cell r="H789">
            <v>0</v>
          </cell>
          <cell r="J789">
            <v>261514743.70999998</v>
          </cell>
        </row>
        <row r="791">
          <cell r="E791" t="str">
            <v xml:space="preserve">  Taxes:</v>
          </cell>
        </row>
        <row r="792">
          <cell r="E792" t="str">
            <v>F40811E</v>
          </cell>
          <cell r="F792" t="str">
            <v>PROPERTY TAXES ELEC</v>
          </cell>
          <cell r="G792">
            <v>0</v>
          </cell>
          <cell r="J792">
            <v>0</v>
          </cell>
        </row>
        <row r="793">
          <cell r="E793" t="str">
            <v>F40811G</v>
          </cell>
          <cell r="F793" t="str">
            <v>PROPERTY TAXES GAS</v>
          </cell>
          <cell r="G793">
            <v>0</v>
          </cell>
          <cell r="J793">
            <v>0</v>
          </cell>
        </row>
        <row r="794">
          <cell r="E794" t="str">
            <v>F40830C</v>
          </cell>
          <cell r="F794" t="str">
            <v>TAXES OTHER THAN INCOME TAXES-PROPERTY</v>
          </cell>
          <cell r="G794">
            <v>0</v>
          </cell>
          <cell r="J794">
            <v>0</v>
          </cell>
        </row>
        <row r="795">
          <cell r="E795" t="str">
            <v>F40830E</v>
          </cell>
          <cell r="F795" t="str">
            <v>TAXES OTHER THAN INCOME TAXES-PROPERTY</v>
          </cell>
          <cell r="G795">
            <v>27320538.530000001</v>
          </cell>
          <cell r="J795">
            <v>27320538.530000001</v>
          </cell>
        </row>
        <row r="796">
          <cell r="E796" t="str">
            <v>F40830G</v>
          </cell>
          <cell r="F796" t="str">
            <v>TAXES OTHER THAN INCOME TAXES-PROPERTY</v>
          </cell>
          <cell r="G796">
            <v>7881421.7200000007</v>
          </cell>
          <cell r="J796">
            <v>7881421.7200000007</v>
          </cell>
        </row>
        <row r="797">
          <cell r="E797" t="str">
            <v xml:space="preserve"> Property</v>
          </cell>
          <cell r="G797">
            <v>35201960.25</v>
          </cell>
          <cell r="H797">
            <v>0</v>
          </cell>
          <cell r="J797">
            <v>35201960.25</v>
          </cell>
        </row>
        <row r="799">
          <cell r="E799" t="str">
            <v>F40910E</v>
          </cell>
          <cell r="F799" t="str">
            <v>INCOME TAXES - FEDERAL (409.1)</v>
          </cell>
          <cell r="G799">
            <v>41236000</v>
          </cell>
          <cell r="J799">
            <v>41236000</v>
          </cell>
        </row>
        <row r="800">
          <cell r="E800" t="str">
            <v>F40910G</v>
          </cell>
          <cell r="F800" t="str">
            <v>INCOME TAXES - FEDERAL (409.1)</v>
          </cell>
          <cell r="G800">
            <v>43633000</v>
          </cell>
          <cell r="J800">
            <v>43633000</v>
          </cell>
        </row>
        <row r="801">
          <cell r="E801" t="str">
            <v>F41010E</v>
          </cell>
          <cell r="F801" t="str">
            <v>PROVISION FOR DEFERRED INCOME TAXES FED</v>
          </cell>
          <cell r="G801">
            <v>311560153</v>
          </cell>
          <cell r="J801">
            <v>311560153</v>
          </cell>
        </row>
        <row r="802">
          <cell r="E802" t="str">
            <v>F41010G</v>
          </cell>
          <cell r="F802" t="str">
            <v>PROVISION FOR DEFERRED INCOME TAXES FED</v>
          </cell>
          <cell r="G802">
            <v>24488000</v>
          </cell>
          <cell r="J802">
            <v>24488000</v>
          </cell>
        </row>
        <row r="803">
          <cell r="E803" t="str">
            <v>F41110E</v>
          </cell>
          <cell r="F803" t="str">
            <v>(LESS) PROVISION FOR DEFERRED INCOME TA</v>
          </cell>
          <cell r="G803">
            <v>-281156642</v>
          </cell>
          <cell r="J803">
            <v>-281156642</v>
          </cell>
        </row>
        <row r="804">
          <cell r="E804" t="str">
            <v>F41110G</v>
          </cell>
          <cell r="F804" t="str">
            <v>(LESS) PROVISION FOR DEFERRED INCOME TA</v>
          </cell>
          <cell r="G804">
            <v>-50467000</v>
          </cell>
          <cell r="J804">
            <v>-50467000</v>
          </cell>
        </row>
        <row r="805">
          <cell r="E805" t="str">
            <v>F41140E</v>
          </cell>
          <cell r="F805" t="str">
            <v>INVESTMENT TAX CREDIT ADJ. - FED ELECTR</v>
          </cell>
          <cell r="G805">
            <v>-2000000</v>
          </cell>
          <cell r="J805">
            <v>-2000000</v>
          </cell>
        </row>
        <row r="806">
          <cell r="E806" t="str">
            <v>F41140G</v>
          </cell>
          <cell r="F806" t="str">
            <v>INVESTMENT TAX CREDIT ADJ. - FED GAS</v>
          </cell>
          <cell r="G806">
            <v>-546000</v>
          </cell>
          <cell r="J806">
            <v>-546000</v>
          </cell>
        </row>
        <row r="807">
          <cell r="E807" t="str">
            <v xml:space="preserve">    Federal Income</v>
          </cell>
          <cell r="G807">
            <v>86747511</v>
          </cell>
          <cell r="H807">
            <v>0</v>
          </cell>
          <cell r="J807">
            <v>86747511</v>
          </cell>
        </row>
        <row r="809">
          <cell r="E809" t="str">
            <v>F40911E</v>
          </cell>
          <cell r="F809" t="str">
            <v>STATE INCOME TAXES ELEC</v>
          </cell>
          <cell r="G809">
            <v>12706000</v>
          </cell>
          <cell r="J809">
            <v>12706000</v>
          </cell>
        </row>
        <row r="810">
          <cell r="E810" t="str">
            <v>F40911G</v>
          </cell>
          <cell r="F810" t="str">
            <v>STATE INCOME TAXES GAS</v>
          </cell>
          <cell r="G810">
            <v>14063000</v>
          </cell>
          <cell r="J810">
            <v>14063000</v>
          </cell>
        </row>
        <row r="811">
          <cell r="E811" t="str">
            <v>F41011E</v>
          </cell>
          <cell r="F811" t="str">
            <v>PROVISION FOR DEFERRED INCOME TAXES STA</v>
          </cell>
          <cell r="G811">
            <v>57261490</v>
          </cell>
          <cell r="J811">
            <v>57261490</v>
          </cell>
        </row>
        <row r="812">
          <cell r="E812" t="str">
            <v>F41011G</v>
          </cell>
          <cell r="F812" t="str">
            <v>PROVISION FOR DEFERRED INCOME TAXES STA</v>
          </cell>
          <cell r="G812">
            <v>5189000</v>
          </cell>
          <cell r="J812">
            <v>5189000</v>
          </cell>
        </row>
        <row r="813">
          <cell r="E813" t="str">
            <v>F41112E</v>
          </cell>
          <cell r="F813" t="str">
            <v>(LESS) PROVISION FOR DEFERRED INCOME TA</v>
          </cell>
          <cell r="G813">
            <v>-43872000</v>
          </cell>
          <cell r="J813">
            <v>-43872000</v>
          </cell>
        </row>
        <row r="814">
          <cell r="E814" t="str">
            <v>F41112G</v>
          </cell>
          <cell r="F814" t="str">
            <v>(LESS) PROVISION FOR DEFERRED INCOME TA</v>
          </cell>
          <cell r="G814">
            <v>-13525000</v>
          </cell>
          <cell r="J814">
            <v>-13525000</v>
          </cell>
        </row>
        <row r="815">
          <cell r="E815" t="str">
            <v xml:space="preserve">    State Franchise</v>
          </cell>
          <cell r="G815">
            <v>31822490</v>
          </cell>
          <cell r="H815">
            <v>0</v>
          </cell>
          <cell r="J815">
            <v>31822490</v>
          </cell>
        </row>
        <row r="817">
          <cell r="E817" t="str">
            <v>F40810C</v>
          </cell>
          <cell r="F817" t="str">
            <v>TAXES OTHER THAN INCOME TAXES</v>
          </cell>
          <cell r="G817">
            <v>844665</v>
          </cell>
          <cell r="H817">
            <v>-844665</v>
          </cell>
          <cell r="J817">
            <v>0</v>
          </cell>
        </row>
        <row r="818">
          <cell r="E818" t="str">
            <v>F40810C</v>
          </cell>
          <cell r="J818">
            <v>0</v>
          </cell>
        </row>
        <row r="819">
          <cell r="E819" t="str">
            <v>F40810E</v>
          </cell>
          <cell r="F819" t="str">
            <v>TAXES OTHER THAN INCOME TAXES</v>
          </cell>
          <cell r="G819">
            <v>6533323.6299999999</v>
          </cell>
          <cell r="H819">
            <v>0</v>
          </cell>
          <cell r="J819">
            <v>6533323.6299999999</v>
          </cell>
        </row>
        <row r="820">
          <cell r="E820" t="str">
            <v>F40810E</v>
          </cell>
          <cell r="J820">
            <v>0</v>
          </cell>
        </row>
        <row r="821">
          <cell r="E821" t="str">
            <v>F40810E</v>
          </cell>
          <cell r="H821">
            <v>586249.94550000003</v>
          </cell>
          <cell r="J821">
            <v>586249.94550000003</v>
          </cell>
        </row>
        <row r="822">
          <cell r="E822" t="str">
            <v>F40810G</v>
          </cell>
          <cell r="F822" t="str">
            <v>TAXES OTHER THAN INCOME TAXES</v>
          </cell>
          <cell r="G822">
            <v>2621286.9499999997</v>
          </cell>
          <cell r="H822">
            <v>0</v>
          </cell>
          <cell r="J822">
            <v>2621286.9499999997</v>
          </cell>
        </row>
        <row r="823">
          <cell r="E823" t="str">
            <v>F40810G</v>
          </cell>
          <cell r="J823">
            <v>0</v>
          </cell>
        </row>
        <row r="824">
          <cell r="E824" t="str">
            <v>F40810G</v>
          </cell>
          <cell r="H824">
            <v>258415.0545</v>
          </cell>
          <cell r="J824">
            <v>258415.0545</v>
          </cell>
        </row>
        <row r="825">
          <cell r="E825" t="str">
            <v>F40840E</v>
          </cell>
          <cell r="F825" t="str">
            <v>TAXES OTHER THAN INCOME TAXES-OTHER ELE</v>
          </cell>
          <cell r="G825">
            <v>0</v>
          </cell>
          <cell r="J825">
            <v>0</v>
          </cell>
        </row>
        <row r="826">
          <cell r="E826" t="str">
            <v>F40840G</v>
          </cell>
          <cell r="F826" t="str">
            <v>TAXES OTHER THAN INCOME TAXES-OTHER GAS</v>
          </cell>
          <cell r="G826">
            <v>0</v>
          </cell>
          <cell r="J826">
            <v>0</v>
          </cell>
        </row>
        <row r="827">
          <cell r="E827" t="str">
            <v xml:space="preserve">    Other</v>
          </cell>
          <cell r="G827">
            <v>9999275.5800000001</v>
          </cell>
          <cell r="H827">
            <v>0</v>
          </cell>
          <cell r="J827">
            <v>9999275.5800000001</v>
          </cell>
        </row>
        <row r="829">
          <cell r="E829" t="str">
            <v xml:space="preserve">      Total Taxes</v>
          </cell>
          <cell r="G829">
            <v>163771236.83000001</v>
          </cell>
          <cell r="H829">
            <v>0</v>
          </cell>
          <cell r="J829">
            <v>163771236.83000001</v>
          </cell>
        </row>
        <row r="831">
          <cell r="E831" t="str">
            <v xml:space="preserve">        Total Operating Expenses</v>
          </cell>
          <cell r="G831">
            <v>1953211578.7999997</v>
          </cell>
          <cell r="H831">
            <v>65483.25999999998</v>
          </cell>
          <cell r="J831">
            <v>1953277062.0599999</v>
          </cell>
        </row>
        <row r="833">
          <cell r="E833" t="str">
            <v>Operating Income</v>
          </cell>
          <cell r="G833">
            <v>-371418212.07000017</v>
          </cell>
          <cell r="H833">
            <v>65483.25999999998</v>
          </cell>
          <cell r="J833">
            <v>-371352728.80999994</v>
          </cell>
        </row>
        <row r="836">
          <cell r="E836" t="str">
            <v>Operating Income per Books</v>
          </cell>
          <cell r="G836">
            <v>-371329302.85000002</v>
          </cell>
          <cell r="J836">
            <v>-371329302.85000002</v>
          </cell>
        </row>
        <row r="838">
          <cell r="E838" t="str">
            <v>Difference</v>
          </cell>
          <cell r="G838">
            <v>-88909.22000014782</v>
          </cell>
          <cell r="H838">
            <v>-65483.260000228882</v>
          </cell>
          <cell r="J838">
            <v>-23425.959999918938</v>
          </cell>
        </row>
        <row r="840">
          <cell r="E840" t="str">
            <v>Reconcilling Items:</v>
          </cell>
        </row>
        <row r="842">
          <cell r="E842" t="str">
            <v>F42610C</v>
          </cell>
          <cell r="F842" t="str">
            <v>Capitalized Donations (F42610C) - all cleared</v>
          </cell>
          <cell r="J842">
            <v>0</v>
          </cell>
        </row>
        <row r="843">
          <cell r="E843" t="str">
            <v>NonOperating items in Operating Natural Accounts</v>
          </cell>
        </row>
        <row r="844">
          <cell r="E844" t="str">
            <v>F40820C</v>
          </cell>
          <cell r="F844" t="str">
            <v>F40820C</v>
          </cell>
          <cell r="J844">
            <v>0</v>
          </cell>
        </row>
        <row r="845">
          <cell r="E845" t="str">
            <v>F41700C</v>
          </cell>
          <cell r="F845" t="str">
            <v>F41700C</v>
          </cell>
          <cell r="J845">
            <v>-4842.6400000000003</v>
          </cell>
        </row>
        <row r="846">
          <cell r="E846" t="str">
            <v>F41800C</v>
          </cell>
          <cell r="F846" t="str">
            <v>F41800C</v>
          </cell>
          <cell r="J846">
            <v>0</v>
          </cell>
        </row>
        <row r="847">
          <cell r="E847" t="str">
            <v>F42610C</v>
          </cell>
          <cell r="F847" t="str">
            <v>F42610C</v>
          </cell>
          <cell r="J847">
            <v>-18583.32</v>
          </cell>
        </row>
        <row r="848">
          <cell r="E848" t="str">
            <v>F42630C</v>
          </cell>
          <cell r="F848" t="str">
            <v>F42630C</v>
          </cell>
          <cell r="J848">
            <v>0</v>
          </cell>
        </row>
        <row r="849">
          <cell r="E849" t="str">
            <v>F42110C</v>
          </cell>
          <cell r="F849" t="str">
            <v>F42110C</v>
          </cell>
          <cell r="J849">
            <v>0</v>
          </cell>
        </row>
        <row r="850">
          <cell r="E850" t="str">
            <v>F42640C</v>
          </cell>
          <cell r="F850" t="str">
            <v>F42640C</v>
          </cell>
          <cell r="J850">
            <v>0</v>
          </cell>
        </row>
        <row r="851">
          <cell r="E851" t="str">
            <v>F42650C</v>
          </cell>
          <cell r="F851" t="str">
            <v>F42650C</v>
          </cell>
          <cell r="J851">
            <v>0</v>
          </cell>
        </row>
        <row r="852">
          <cell r="E852" t="str">
            <v>F43100C</v>
          </cell>
          <cell r="F852" t="str">
            <v>F43100C</v>
          </cell>
          <cell r="J852">
            <v>0</v>
          </cell>
        </row>
        <row r="853">
          <cell r="J853">
            <v>-23425.96</v>
          </cell>
        </row>
        <row r="855">
          <cell r="E855" t="str">
            <v>Net Difference</v>
          </cell>
          <cell r="J855">
            <v>8.1061443779617548E-8</v>
          </cell>
        </row>
        <row r="860">
          <cell r="E860" t="str">
            <v>Other Income Credits:</v>
          </cell>
        </row>
        <row r="861">
          <cell r="E861" t="str">
            <v>F41910C</v>
          </cell>
          <cell r="F861" t="str">
            <v>ALLOWANCE FOR OTHER FUNDS USED DURING C</v>
          </cell>
          <cell r="G861">
            <v>-11321815.85</v>
          </cell>
          <cell r="H861">
            <v>0</v>
          </cell>
          <cell r="J861">
            <v>-11321815.85</v>
          </cell>
        </row>
        <row r="862">
          <cell r="E862" t="str">
            <v>F41910C</v>
          </cell>
        </row>
        <row r="863">
          <cell r="E863" t="str">
            <v xml:space="preserve">  Allowance for Other Funds Used During Const</v>
          </cell>
          <cell r="G863">
            <v>-11321815.85</v>
          </cell>
          <cell r="H863">
            <v>0</v>
          </cell>
          <cell r="J863">
            <v>-11321815.85</v>
          </cell>
        </row>
        <row r="865">
          <cell r="E865" t="str">
            <v>F40820C</v>
          </cell>
          <cell r="F865" t="str">
            <v>TAXES OTHER THAN INCOME TAXES</v>
          </cell>
          <cell r="G865">
            <v>163261.83000000002</v>
          </cell>
          <cell r="J865">
            <v>163261.83000000002</v>
          </cell>
        </row>
        <row r="866">
          <cell r="E866" t="str">
            <v>F41700C</v>
          </cell>
          <cell r="F866" t="str">
            <v>REVENUES FROM NONUTILITY OPERATIONS</v>
          </cell>
          <cell r="G866">
            <v>-9.6399999999994179</v>
          </cell>
          <cell r="J866">
            <v>-9.6399999999994179</v>
          </cell>
        </row>
        <row r="867">
          <cell r="E867" t="str">
            <v>F41710C</v>
          </cell>
          <cell r="F867" t="str">
            <v>EXPENSES OF NONUTILITY OPERATIONS</v>
          </cell>
          <cell r="G867">
            <v>153074.82</v>
          </cell>
          <cell r="J867">
            <v>153074.82</v>
          </cell>
        </row>
        <row r="868">
          <cell r="E868" t="str">
            <v>F41800C</v>
          </cell>
          <cell r="F868" t="str">
            <v>NONOPERATING RENTAL INCOME</v>
          </cell>
          <cell r="G868">
            <v>-291511.71999999997</v>
          </cell>
          <cell r="J868">
            <v>-291511.71999999997</v>
          </cell>
        </row>
        <row r="869">
          <cell r="E869" t="str">
            <v>F41900C</v>
          </cell>
          <cell r="F869" t="str">
            <v>INTEREST AND DIVIDEND INCOME</v>
          </cell>
          <cell r="G869">
            <v>-46175794.32</v>
          </cell>
          <cell r="J869">
            <v>-46175794.32</v>
          </cell>
        </row>
        <row r="870">
          <cell r="E870" t="str">
            <v>F42100C</v>
          </cell>
          <cell r="F870" t="str">
            <v>MISCELLANEOUS NONOPERATING INCOME</v>
          </cell>
          <cell r="G870">
            <v>-5257338.59</v>
          </cell>
          <cell r="J870">
            <v>-5257338.59</v>
          </cell>
        </row>
        <row r="871">
          <cell r="E871" t="str">
            <v>F42110C</v>
          </cell>
          <cell r="F871" t="str">
            <v>GAIN ON DISPOSITION OF PROPERTY</v>
          </cell>
          <cell r="G871">
            <v>-1301471.17</v>
          </cell>
          <cell r="J871">
            <v>-1301471.17</v>
          </cell>
        </row>
        <row r="872">
          <cell r="E872" t="str">
            <v>F42120C</v>
          </cell>
          <cell r="F872" t="str">
            <v>LOSS ON DISPOSITION OF PROPERTY</v>
          </cell>
          <cell r="G872">
            <v>0</v>
          </cell>
          <cell r="J872">
            <v>0</v>
          </cell>
        </row>
        <row r="873">
          <cell r="E873" t="str">
            <v>F42610C</v>
          </cell>
          <cell r="F873" t="str">
            <v>DONATIONS</v>
          </cell>
          <cell r="G873">
            <v>1535708.05</v>
          </cell>
          <cell r="J873">
            <v>1535708.05</v>
          </cell>
        </row>
        <row r="874">
          <cell r="E874" t="str">
            <v>F42610C</v>
          </cell>
          <cell r="H874">
            <v>506.55</v>
          </cell>
          <cell r="J874">
            <v>506.55</v>
          </cell>
        </row>
        <row r="875">
          <cell r="E875" t="str">
            <v>F42620C</v>
          </cell>
          <cell r="F875" t="str">
            <v>LIFE INSURANCE</v>
          </cell>
          <cell r="G875">
            <v>-2028468</v>
          </cell>
          <cell r="J875">
            <v>-2028468</v>
          </cell>
        </row>
        <row r="876">
          <cell r="E876" t="str">
            <v>F42630C</v>
          </cell>
          <cell r="F876" t="str">
            <v>PENALTIES</v>
          </cell>
          <cell r="G876">
            <v>54982.61</v>
          </cell>
          <cell r="J876">
            <v>54982.61</v>
          </cell>
        </row>
        <row r="877">
          <cell r="E877" t="str">
            <v>F42640C</v>
          </cell>
          <cell r="F877" t="str">
            <v>EXPENDITURES FOR CIVIC  POLITICAL AND R</v>
          </cell>
          <cell r="G877">
            <v>211891.06</v>
          </cell>
          <cell r="J877">
            <v>211891.06</v>
          </cell>
        </row>
        <row r="878">
          <cell r="E878" t="str">
            <v>F42650C</v>
          </cell>
          <cell r="F878" t="str">
            <v>OTHER DEDUCTIONS</v>
          </cell>
          <cell r="G878">
            <v>-3914160.03</v>
          </cell>
          <cell r="J878">
            <v>-3914160.03</v>
          </cell>
        </row>
        <row r="879">
          <cell r="E879" t="str">
            <v xml:space="preserve">  Other-Net</v>
          </cell>
          <cell r="G879">
            <v>-56849835.100000009</v>
          </cell>
          <cell r="H879">
            <v>506.55</v>
          </cell>
          <cell r="J879">
            <v>-56849328.550000012</v>
          </cell>
        </row>
        <row r="881">
          <cell r="E881" t="str">
            <v>F40920C</v>
          </cell>
          <cell r="F881" t="str">
            <v>TAXES ON NON OPERATING INCOME</v>
          </cell>
          <cell r="G881">
            <v>24724000</v>
          </cell>
          <cell r="J881">
            <v>24724000</v>
          </cell>
        </row>
        <row r="882">
          <cell r="E882" t="str">
            <v>F40920C</v>
          </cell>
          <cell r="H882">
            <v>-746000</v>
          </cell>
          <cell r="J882">
            <v>-746000</v>
          </cell>
        </row>
        <row r="883">
          <cell r="E883" t="str">
            <v>F40920C</v>
          </cell>
          <cell r="F883" t="str">
            <v>TAXES ON NON OPERATING INCOME - FEDERAL</v>
          </cell>
          <cell r="H883">
            <v>584000</v>
          </cell>
          <cell r="J883">
            <v>584000</v>
          </cell>
        </row>
        <row r="884">
          <cell r="E884" t="str">
            <v>F40920C</v>
          </cell>
          <cell r="F884" t="str">
            <v>TAXES ON NON OPERATING INCOME - OTHER</v>
          </cell>
          <cell r="H884">
            <v>162000</v>
          </cell>
          <cell r="J884">
            <v>162000</v>
          </cell>
        </row>
        <row r="885">
          <cell r="E885" t="str">
            <v>F41020C</v>
          </cell>
          <cell r="F885" t="str">
            <v>PROVISION FOR DEFERRED INC. TAXES NON O</v>
          </cell>
          <cell r="G885">
            <v>9127000</v>
          </cell>
          <cell r="J885">
            <v>9127000</v>
          </cell>
        </row>
        <row r="886">
          <cell r="E886" t="str">
            <v>F41120C</v>
          </cell>
          <cell r="F886" t="str">
            <v>(LESS) PROVISION FOR DEFERRED INCOME TA</v>
          </cell>
          <cell r="G886">
            <v>-4572000</v>
          </cell>
          <cell r="J886">
            <v>-4572000</v>
          </cell>
        </row>
        <row r="887">
          <cell r="E887" t="str">
            <v xml:space="preserve">  Taxes on Non-Operating Income</v>
          </cell>
          <cell r="G887">
            <v>29279000</v>
          </cell>
          <cell r="H887">
            <v>0</v>
          </cell>
          <cell r="J887">
            <v>29279000</v>
          </cell>
        </row>
        <row r="889">
          <cell r="E889" t="str">
            <v xml:space="preserve">    Total Other Income Credits</v>
          </cell>
          <cell r="G889">
            <v>-38892650.950000003</v>
          </cell>
          <cell r="H889">
            <v>506.55</v>
          </cell>
          <cell r="J889">
            <v>-38892144.400000006</v>
          </cell>
        </row>
        <row r="891">
          <cell r="E891" t="str">
            <v>Income Before Interest Charges</v>
          </cell>
          <cell r="G891">
            <v>-410310863.02000016</v>
          </cell>
          <cell r="H891">
            <v>65989.809999999983</v>
          </cell>
          <cell r="J891">
            <v>-410244873.20999992</v>
          </cell>
        </row>
        <row r="893">
          <cell r="E893" t="str">
            <v>Interest Charges:</v>
          </cell>
        </row>
        <row r="894">
          <cell r="E894" t="str">
            <v>F42700C</v>
          </cell>
          <cell r="F894" t="str">
            <v>INTEREST ON LONG-TERM DEBT</v>
          </cell>
          <cell r="G894">
            <v>47532385</v>
          </cell>
          <cell r="J894">
            <v>47532385</v>
          </cell>
        </row>
        <row r="895">
          <cell r="E895" t="str">
            <v>F42701C</v>
          </cell>
          <cell r="F895" t="str">
            <v>INTEREST ON LONG-TERM DEBT</v>
          </cell>
          <cell r="G895">
            <v>888593.86</v>
          </cell>
          <cell r="H895">
            <v>697656.25</v>
          </cell>
          <cell r="J895">
            <v>1586250.1099999999</v>
          </cell>
        </row>
        <row r="896">
          <cell r="E896" t="str">
            <v>F42701C</v>
          </cell>
          <cell r="J896">
            <v>0</v>
          </cell>
        </row>
        <row r="897">
          <cell r="E897" t="str">
            <v xml:space="preserve">  Long-Term Debt</v>
          </cell>
          <cell r="G897">
            <v>48420978.859999999</v>
          </cell>
          <cell r="H897">
            <v>697656.25</v>
          </cell>
          <cell r="J897">
            <v>49118635.109999999</v>
          </cell>
        </row>
        <row r="899">
          <cell r="E899" t="str">
            <v>F43000C</v>
          </cell>
          <cell r="F899" t="str">
            <v>INTEREST ON DEBT TO ASSOC. COMPANIES</v>
          </cell>
          <cell r="G899">
            <v>17215021.729999997</v>
          </cell>
          <cell r="J899">
            <v>17215021.729999997</v>
          </cell>
        </row>
        <row r="900">
          <cell r="E900" t="str">
            <v>F43100C</v>
          </cell>
          <cell r="F900" t="str">
            <v>OTHER INTEREST EXPENSE</v>
          </cell>
          <cell r="G900">
            <v>9507643.2100000009</v>
          </cell>
          <cell r="J900">
            <v>9507643.2100000009</v>
          </cell>
        </row>
        <row r="901">
          <cell r="E901" t="str">
            <v xml:space="preserve">  Short-Term Debt and Other</v>
          </cell>
          <cell r="G901">
            <v>26722664.939999998</v>
          </cell>
          <cell r="H901">
            <v>0</v>
          </cell>
          <cell r="J901">
            <v>26722664.939999998</v>
          </cell>
        </row>
        <row r="903">
          <cell r="E903" t="str">
            <v>F42800C</v>
          </cell>
          <cell r="F903" t="str">
            <v>AMORTIZATION OF DEBT DISC. AND EXPENSE</v>
          </cell>
          <cell r="G903">
            <v>648932.75999999989</v>
          </cell>
          <cell r="J903">
            <v>648932.75999999989</v>
          </cell>
        </row>
        <row r="904">
          <cell r="E904" t="str">
            <v>F42810C</v>
          </cell>
          <cell r="F904" t="str">
            <v>AMORTIZATION OF LOSS ON REACQUIRED DEBT</v>
          </cell>
          <cell r="G904">
            <v>4185039.64</v>
          </cell>
          <cell r="J904">
            <v>4185039.64</v>
          </cell>
        </row>
        <row r="905">
          <cell r="E905" t="str">
            <v>F42900C</v>
          </cell>
          <cell r="F905" t="str">
            <v>(LESS) AMORT. OF PREMIUM ON DEBT - CRED</v>
          </cell>
          <cell r="G905">
            <v>-25273.08</v>
          </cell>
          <cell r="J905">
            <v>-25273.08</v>
          </cell>
        </row>
        <row r="906">
          <cell r="E906" t="str">
            <v xml:space="preserve">  Amortization of Debt Discount and Expense</v>
          </cell>
          <cell r="G906">
            <v>4808699.32</v>
          </cell>
          <cell r="H906">
            <v>0</v>
          </cell>
          <cell r="J906">
            <v>4808699.32</v>
          </cell>
        </row>
        <row r="908">
          <cell r="E908" t="str">
            <v>F43200C</v>
          </cell>
          <cell r="F908" t="str">
            <v>(LESS) ALLOW FOR BORROWED FUNDS USED DU</v>
          </cell>
          <cell r="G908">
            <v>-4113453.7</v>
          </cell>
          <cell r="J908">
            <v>-4113453.7</v>
          </cell>
        </row>
        <row r="909">
          <cell r="E909" t="str">
            <v xml:space="preserve">  Allowance for Borrowed Funds Used in Const</v>
          </cell>
          <cell r="G909">
            <v>-4113453.7</v>
          </cell>
          <cell r="H909">
            <v>0</v>
          </cell>
          <cell r="J909">
            <v>-4113453.7</v>
          </cell>
        </row>
        <row r="911">
          <cell r="E911" t="str">
            <v xml:space="preserve">    Total Interest Charges</v>
          </cell>
          <cell r="G911">
            <v>75838889.420000002</v>
          </cell>
          <cell r="H911">
            <v>697656.25</v>
          </cell>
          <cell r="J911">
            <v>76536545.670000002</v>
          </cell>
        </row>
        <row r="913">
          <cell r="E913" t="str">
            <v>Net Income (Before Preferred Div Requirement)</v>
          </cell>
          <cell r="G913">
            <v>-334471973.60000014</v>
          </cell>
          <cell r="H913">
            <v>763646.05999999994</v>
          </cell>
          <cell r="J913">
            <v>-333708327.5399999</v>
          </cell>
        </row>
        <row r="915">
          <cell r="E915" t="str">
            <v>F43701C</v>
          </cell>
          <cell r="F915" t="str">
            <v>DIVIDENDS DECLARED - PREFERRED STOCK (A</v>
          </cell>
          <cell r="G915">
            <v>0</v>
          </cell>
          <cell r="J915">
            <v>0</v>
          </cell>
        </row>
        <row r="916">
          <cell r="E916" t="str">
            <v>F43700C</v>
          </cell>
          <cell r="F916" t="str">
            <v>DIVIDENDS DECLARED-PREFERRED STOCK (ACCOUNT 437)</v>
          </cell>
          <cell r="G916">
            <v>5517324.6400000015</v>
          </cell>
          <cell r="H916">
            <v>-697656.25</v>
          </cell>
          <cell r="J916">
            <v>4819668.3900000015</v>
          </cell>
        </row>
        <row r="917">
          <cell r="E917" t="str">
            <v>F43700C</v>
          </cell>
          <cell r="J917">
            <v>0</v>
          </cell>
        </row>
        <row r="918">
          <cell r="E918" t="str">
            <v>Preferred Dividend Requirement</v>
          </cell>
          <cell r="G918">
            <v>5517324.6400000015</v>
          </cell>
          <cell r="H918">
            <v>-697656.25</v>
          </cell>
          <cell r="J918">
            <v>4819668.3900000015</v>
          </cell>
        </row>
        <row r="920">
          <cell r="E920" t="str">
            <v>Net Income</v>
          </cell>
          <cell r="G920">
            <v>-328954648.96000016</v>
          </cell>
          <cell r="H920">
            <v>65989.809999999939</v>
          </cell>
          <cell r="J920">
            <v>-328888659.14999992</v>
          </cell>
        </row>
        <row r="923">
          <cell r="E923" t="str">
            <v>Net Income Per Books</v>
          </cell>
          <cell r="G923">
            <v>-328888659.15000004</v>
          </cell>
          <cell r="J923">
            <v>-328888659.15000004</v>
          </cell>
        </row>
        <row r="925">
          <cell r="E925" t="str">
            <v>Difference</v>
          </cell>
          <cell r="G925">
            <v>-65989.810000121593</v>
          </cell>
          <cell r="H925">
            <v>-65989.810000121593</v>
          </cell>
          <cell r="J925">
            <v>0</v>
          </cell>
        </row>
        <row r="931">
          <cell r="J931">
            <v>8.1061443779617548E-8</v>
          </cell>
        </row>
        <row r="937">
          <cell r="E937">
            <v>2100</v>
          </cell>
          <cell r="F937" t="str">
            <v>Business area</v>
          </cell>
          <cell r="G937" t="str">
            <v>****</v>
          </cell>
        </row>
        <row r="939">
          <cell r="E939" t="str">
            <v>Texts</v>
          </cell>
          <cell r="G939" t="str">
            <v>Reporting period</v>
          </cell>
        </row>
        <row r="940">
          <cell r="G940" t="str">
            <v>(07.2003-06.2004)</v>
          </cell>
        </row>
        <row r="942">
          <cell r="E942" t="str">
            <v>Profit (Loss)</v>
          </cell>
          <cell r="J942">
            <v>0</v>
          </cell>
        </row>
        <row r="949">
          <cell r="E949">
            <v>2100</v>
          </cell>
          <cell r="F949" t="str">
            <v>Business area</v>
          </cell>
          <cell r="G949" t="str">
            <v>****</v>
          </cell>
        </row>
        <row r="951">
          <cell r="E951" t="str">
            <v>Texts</v>
          </cell>
          <cell r="G951" t="str">
            <v>Reporting period</v>
          </cell>
        </row>
        <row r="952">
          <cell r="G952" t="str">
            <v>(07.2003-06.2004)</v>
          </cell>
        </row>
        <row r="954">
          <cell r="E954" t="str">
            <v>F29900C</v>
          </cell>
          <cell r="F954" t="str">
            <v>CLEARING ACCOUNT-ACCOUNTS PAYABLE</v>
          </cell>
          <cell r="G954">
            <v>-106204199.35000001</v>
          </cell>
          <cell r="H954">
            <v>106204199.35000001</v>
          </cell>
          <cell r="J954">
            <v>0</v>
          </cell>
        </row>
        <row r="955">
          <cell r="E955" t="str">
            <v>F29910C</v>
          </cell>
          <cell r="F955" t="str">
            <v>CLEARING ACCOUNT-ACCOUNTS RECEIVABLE</v>
          </cell>
          <cell r="G955">
            <v>196959088.48999998</v>
          </cell>
          <cell r="H955">
            <v>-196959088.48999998</v>
          </cell>
          <cell r="J955">
            <v>0</v>
          </cell>
        </row>
        <row r="956">
          <cell r="E956" t="str">
            <v>F29920C</v>
          </cell>
          <cell r="F956" t="str">
            <v>FI/CO-CLEAR ACCT</v>
          </cell>
          <cell r="G956">
            <v>68496489.140000001</v>
          </cell>
          <cell r="H956">
            <v>-68496489.140000001</v>
          </cell>
          <cell r="J956">
            <v>0</v>
          </cell>
        </row>
        <row r="957">
          <cell r="E957" t="str">
            <v>F29921C</v>
          </cell>
          <cell r="F957" t="str">
            <v>FI/CO-CLEAR ACCT</v>
          </cell>
          <cell r="G957">
            <v>-158985078.41</v>
          </cell>
          <cell r="H957">
            <v>158985078.41</v>
          </cell>
          <cell r="J957">
            <v>0</v>
          </cell>
        </row>
        <row r="958">
          <cell r="E958" t="str">
            <v>F29990C</v>
          </cell>
          <cell r="F958" t="str">
            <v>B/SHEET OFFSET ACCT</v>
          </cell>
          <cell r="G958">
            <v>1034089193.3000001</v>
          </cell>
          <cell r="H958">
            <v>-1034089193.3000001</v>
          </cell>
          <cell r="J958">
            <v>0</v>
          </cell>
        </row>
        <row r="959">
          <cell r="E959" t="str">
            <v>F99990C</v>
          </cell>
          <cell r="F959" t="str">
            <v>P&amp;L OFFSET ACCT</v>
          </cell>
          <cell r="G959">
            <v>-1034089193.3000001</v>
          </cell>
          <cell r="H959">
            <v>1034089193.3000001</v>
          </cell>
          <cell r="J959">
            <v>0</v>
          </cell>
        </row>
        <row r="961">
          <cell r="E961" t="str">
            <v>FERROR1</v>
          </cell>
          <cell r="F961" t="str">
            <v>FERC FLOW OF COSTS TRACE ERRORS</v>
          </cell>
          <cell r="G961">
            <v>0</v>
          </cell>
          <cell r="H961">
            <v>0</v>
          </cell>
          <cell r="J961">
            <v>0</v>
          </cell>
        </row>
        <row r="962">
          <cell r="E962" t="str">
            <v>FACAT0V</v>
          </cell>
          <cell r="F962" t="str">
            <v>FERC TEMPORARY V&amp;S</v>
          </cell>
          <cell r="G962">
            <v>0</v>
          </cell>
          <cell r="H962">
            <v>0</v>
          </cell>
          <cell r="J962">
            <v>0</v>
          </cell>
        </row>
        <row r="963">
          <cell r="E963" t="str">
            <v>FGMLABR</v>
          </cell>
          <cell r="F963" t="str">
            <v>FERC GEN MAP LABOR COST ELEMENTS</v>
          </cell>
          <cell r="G963">
            <v>0</v>
          </cell>
          <cell r="H963">
            <v>0</v>
          </cell>
          <cell r="J963">
            <v>0</v>
          </cell>
        </row>
        <row r="964">
          <cell r="E964" t="str">
            <v>FSCE17C</v>
          </cell>
          <cell r="F964" t="str">
            <v>FERC SEC CE 9101017 ADJUSTMENT</v>
          </cell>
          <cell r="G964">
            <v>0</v>
          </cell>
          <cell r="H964">
            <v>0</v>
          </cell>
          <cell r="J964">
            <v>0</v>
          </cell>
        </row>
        <row r="965">
          <cell r="E965" t="str">
            <v>FSDBB01</v>
          </cell>
          <cell r="F965" t="str">
            <v>FERC FLOW OF COSTS TRACE ERRORS-EB19</v>
          </cell>
          <cell r="G965">
            <v>0</v>
          </cell>
          <cell r="H965">
            <v>0</v>
          </cell>
          <cell r="J965">
            <v>0</v>
          </cell>
        </row>
        <row r="966">
          <cell r="E966" t="str">
            <v>FSDBB02</v>
          </cell>
          <cell r="F966" t="str">
            <v>FERC FLOW OF COSTS TRACE ERRORS-EB07</v>
          </cell>
          <cell r="G966">
            <v>0</v>
          </cell>
          <cell r="H966">
            <v>0</v>
          </cell>
          <cell r="J966">
            <v>0</v>
          </cell>
        </row>
        <row r="967">
          <cell r="E967" t="str">
            <v>FSDBB03</v>
          </cell>
          <cell r="F967" t="str">
            <v>FERC FLOW OF COSTS TRACE ERRORS-EB14</v>
          </cell>
          <cell r="G967">
            <v>0</v>
          </cell>
          <cell r="H967">
            <v>0</v>
          </cell>
          <cell r="J967">
            <v>0</v>
          </cell>
        </row>
        <row r="968">
          <cell r="E968" t="str">
            <v>FSDBB04</v>
          </cell>
          <cell r="F968" t="str">
            <v>FERC FLOW OF COSTS TRACE ERRORS-EB08</v>
          </cell>
          <cell r="G968">
            <v>-148621.82999999999</v>
          </cell>
          <cell r="H968">
            <v>148621.82999999999</v>
          </cell>
          <cell r="J968">
            <v>0</v>
          </cell>
        </row>
        <row r="969">
          <cell r="E969" t="str">
            <v>FSDBB05</v>
          </cell>
          <cell r="F969" t="str">
            <v>FERC FLOW OF COSTS TRACE ERRORS-EB15</v>
          </cell>
          <cell r="G969">
            <v>4.9999999999999996E-2</v>
          </cell>
          <cell r="H969">
            <v>-4.9999999999999996E-2</v>
          </cell>
          <cell r="J969">
            <v>0</v>
          </cell>
        </row>
        <row r="970">
          <cell r="E970" t="str">
            <v>FSDBB06</v>
          </cell>
          <cell r="F970" t="str">
            <v>FERC FLOW OF COSTS TRACE ERRORS-EB02</v>
          </cell>
          <cell r="G970">
            <v>0</v>
          </cell>
          <cell r="H970">
            <v>0</v>
          </cell>
          <cell r="J970">
            <v>0</v>
          </cell>
        </row>
        <row r="971">
          <cell r="E971" t="str">
            <v>FSDBB07</v>
          </cell>
          <cell r="F971" t="str">
            <v>FERC FLOW OF COSTS TRACE ERRORS-EB17</v>
          </cell>
          <cell r="G971">
            <v>-0.01</v>
          </cell>
          <cell r="H971">
            <v>0.01</v>
          </cell>
          <cell r="J971">
            <v>0</v>
          </cell>
        </row>
        <row r="972">
          <cell r="E972" t="str">
            <v>FSDBB08</v>
          </cell>
          <cell r="F972" t="str">
            <v>FERC FLOW OF COSTS TRACE ERRORS-EB18</v>
          </cell>
          <cell r="G972">
            <v>0.05</v>
          </cell>
          <cell r="H972">
            <v>-0.05</v>
          </cell>
          <cell r="J972">
            <v>0</v>
          </cell>
        </row>
        <row r="973">
          <cell r="E973" t="str">
            <v>FSDBB11</v>
          </cell>
          <cell r="F973" t="str">
            <v>FERC FLOW OF COSTS TRACE ERRORS-EB09</v>
          </cell>
          <cell r="G973">
            <v>0</v>
          </cell>
          <cell r="H973">
            <v>0</v>
          </cell>
          <cell r="J973">
            <v>0</v>
          </cell>
        </row>
        <row r="974">
          <cell r="E974" t="str">
            <v>FSDBB12</v>
          </cell>
          <cell r="F974" t="str">
            <v>FERC FLOW OF COSTS TRACE ERRORS-EB10</v>
          </cell>
          <cell r="G974">
            <v>0</v>
          </cell>
          <cell r="H974">
            <v>0</v>
          </cell>
          <cell r="J974">
            <v>0</v>
          </cell>
        </row>
        <row r="975">
          <cell r="E975" t="str">
            <v>FSDBB13</v>
          </cell>
          <cell r="F975" t="str">
            <v>FERC FLOW OF COSTS TRACE ERRORS-EB11</v>
          </cell>
          <cell r="G975">
            <v>-0.13</v>
          </cell>
          <cell r="H975">
            <v>0.13</v>
          </cell>
          <cell r="J975">
            <v>0</v>
          </cell>
        </row>
        <row r="976">
          <cell r="E976" t="str">
            <v>FSDBB14</v>
          </cell>
          <cell r="F976" t="str">
            <v>FERC FLOW OF COSTS TRACE ERRORS-EB12</v>
          </cell>
          <cell r="G976">
            <v>0.12000000000000001</v>
          </cell>
          <cell r="H976">
            <v>-0.12000000000000001</v>
          </cell>
          <cell r="J976">
            <v>0</v>
          </cell>
        </row>
        <row r="977">
          <cell r="E977" t="str">
            <v>FSDBB15</v>
          </cell>
          <cell r="F977" t="str">
            <v>FERC FLOW OF COSTS TRACE ERRORS-EB13</v>
          </cell>
          <cell r="G977">
            <v>-4.9999999999999975E-2</v>
          </cell>
          <cell r="H977">
            <v>4.9999999999999975E-2</v>
          </cell>
          <cell r="J977">
            <v>0</v>
          </cell>
        </row>
        <row r="978">
          <cell r="E978" t="str">
            <v>FSDBB17</v>
          </cell>
          <cell r="F978" t="str">
            <v>FERC FLOW OF COSTS TRACE ERRORS-EB01</v>
          </cell>
          <cell r="G978">
            <v>0.03</v>
          </cell>
          <cell r="H978">
            <v>-0.03</v>
          </cell>
          <cell r="J978">
            <v>0</v>
          </cell>
        </row>
        <row r="979">
          <cell r="E979" t="str">
            <v>FSDBB18</v>
          </cell>
          <cell r="F979" t="str">
            <v>FERC FLOW OF COSTS TRACE ERRORS-EB20</v>
          </cell>
          <cell r="G979">
            <v>0</v>
          </cell>
          <cell r="H979">
            <v>0</v>
          </cell>
          <cell r="J979">
            <v>0</v>
          </cell>
        </row>
        <row r="980">
          <cell r="E980" t="str">
            <v>FSDBB19</v>
          </cell>
          <cell r="F980" t="str">
            <v>FERC FLOW OF COSTS TRACE ERRORS-EB21</v>
          </cell>
          <cell r="G980">
            <v>8.0000000000040927E-2</v>
          </cell>
          <cell r="H980">
            <v>-8.0000000000040927E-2</v>
          </cell>
          <cell r="J980">
            <v>0</v>
          </cell>
        </row>
        <row r="981">
          <cell r="E981" t="str">
            <v>FSDBB20</v>
          </cell>
          <cell r="F981" t="str">
            <v>FERC FLOW OF COSTS TRACE ERRORS-EB22</v>
          </cell>
          <cell r="G981">
            <v>0.10999999999991815</v>
          </cell>
          <cell r="H981">
            <v>-0.10999999999991815</v>
          </cell>
          <cell r="J981">
            <v>0</v>
          </cell>
        </row>
        <row r="982">
          <cell r="E982" t="str">
            <v>FSDBB21</v>
          </cell>
          <cell r="F982" t="str">
            <v>FERC FLOW OF COSTS TRACE ERRORS-EB23</v>
          </cell>
          <cell r="G982">
            <v>0.12999999999990905</v>
          </cell>
          <cell r="H982">
            <v>-0.12999999999990905</v>
          </cell>
          <cell r="J982">
            <v>0</v>
          </cell>
        </row>
        <row r="983">
          <cell r="E983" t="str">
            <v>FSDBB22</v>
          </cell>
          <cell r="F983" t="str">
            <v>FERC FLOW OF COSTS TRACE ERRORS-EB24</v>
          </cell>
          <cell r="G983">
            <v>7.999999999992724E-2</v>
          </cell>
          <cell r="H983">
            <v>-7.999999999992724E-2</v>
          </cell>
          <cell r="J983">
            <v>0</v>
          </cell>
        </row>
        <row r="984">
          <cell r="E984" t="str">
            <v>FSDBB23</v>
          </cell>
          <cell r="F984" t="str">
            <v>FERC FLOW OF COSTS TRACE ERRORS-EB25</v>
          </cell>
          <cell r="G984">
            <v>0.16999999999987264</v>
          </cell>
          <cell r="H984">
            <v>-0.16999999999987264</v>
          </cell>
          <cell r="J984">
            <v>0</v>
          </cell>
        </row>
        <row r="985">
          <cell r="E985" t="str">
            <v>FSDBB24</v>
          </cell>
          <cell r="F985" t="str">
            <v>FERC FLOW OF COSTS TRACE ERRORS-EB26</v>
          </cell>
          <cell r="G985">
            <v>0.12000000000000342</v>
          </cell>
          <cell r="H985">
            <v>-0.12000000000000342</v>
          </cell>
          <cell r="J985">
            <v>0</v>
          </cell>
        </row>
        <row r="986">
          <cell r="E986" t="str">
            <v>FSDBB25</v>
          </cell>
          <cell r="F986" t="str">
            <v>FERC FLOW OF COSTS TRACE ERRORS-EB27</v>
          </cell>
          <cell r="G986">
            <v>0.13999999999990906</v>
          </cell>
          <cell r="H986">
            <v>-0.13999999999990906</v>
          </cell>
          <cell r="J986">
            <v>0</v>
          </cell>
        </row>
        <row r="987">
          <cell r="E987" t="str">
            <v>FSDBB26</v>
          </cell>
          <cell r="F987" t="str">
            <v>FERC FLOW OF COSTS TRACE ERRORS-EB28</v>
          </cell>
          <cell r="G987">
            <v>2.0000000000118229E-2</v>
          </cell>
          <cell r="H987">
            <v>-2.0000000000118229E-2</v>
          </cell>
          <cell r="J987">
            <v>0</v>
          </cell>
        </row>
        <row r="988">
          <cell r="E988" t="str">
            <v>FSDBB27</v>
          </cell>
          <cell r="F988" t="str">
            <v>FERC FLOW OF COSTS TRACE ERRORS-EB29</v>
          </cell>
          <cell r="G988">
            <v>-1.5199999999999729</v>
          </cell>
          <cell r="H988">
            <v>1.5199999999999729</v>
          </cell>
          <cell r="J988">
            <v>0</v>
          </cell>
        </row>
        <row r="989">
          <cell r="E989" t="str">
            <v>FSDBB28</v>
          </cell>
          <cell r="F989" t="str">
            <v>FERC FLOW OF COSTS TRACE ERRORS-EB30</v>
          </cell>
          <cell r="G989">
            <v>0.66999999999998971</v>
          </cell>
          <cell r="H989">
            <v>-0.66999999999998971</v>
          </cell>
          <cell r="J989">
            <v>0</v>
          </cell>
        </row>
        <row r="990">
          <cell r="E990" t="str">
            <v>FSDBB31</v>
          </cell>
          <cell r="F990" t="str">
            <v>FERC FLOW OF COSTS TRACE ERRORS-EB31</v>
          </cell>
          <cell r="G990">
            <v>-0.01</v>
          </cell>
          <cell r="H990">
            <v>0.01</v>
          </cell>
          <cell r="J990">
            <v>0</v>
          </cell>
        </row>
        <row r="991">
          <cell r="E991" t="str">
            <v>FSDBB39</v>
          </cell>
          <cell r="F991" t="str">
            <v>FERC FLOW OF COSTS TRACE ERRORS-EB31</v>
          </cell>
          <cell r="G991">
            <v>4.9999999999999989E-2</v>
          </cell>
          <cell r="H991">
            <v>-4.9999999999999989E-2</v>
          </cell>
          <cell r="J991">
            <v>0</v>
          </cell>
        </row>
        <row r="992">
          <cell r="E992" t="str">
            <v>FSDBB43</v>
          </cell>
          <cell r="F992" t="str">
            <v>FERC FLOW OF COSTS TRACE ERRORS-EB36</v>
          </cell>
          <cell r="G992">
            <v>-0.59000000000000008</v>
          </cell>
          <cell r="H992">
            <v>0.59000000000000008</v>
          </cell>
          <cell r="J992">
            <v>0</v>
          </cell>
        </row>
        <row r="993">
          <cell r="E993" t="str">
            <v>FSDBB44</v>
          </cell>
          <cell r="F993" t="str">
            <v>FERC FLOW OF COSTS TRACE ERRORS-EB34</v>
          </cell>
          <cell r="G993">
            <v>0</v>
          </cell>
          <cell r="H993">
            <v>0</v>
          </cell>
          <cell r="J993">
            <v>0</v>
          </cell>
        </row>
        <row r="994">
          <cell r="E994" t="str">
            <v>FSDBB45</v>
          </cell>
          <cell r="F994" t="str">
            <v>FERC FLOW OF COSTS TRACE ERRORS-EB03</v>
          </cell>
          <cell r="G994">
            <v>-1739.8400000000001</v>
          </cell>
          <cell r="H994">
            <v>1739.8400000000001</v>
          </cell>
          <cell r="J994">
            <v>0</v>
          </cell>
        </row>
        <row r="995">
          <cell r="E995" t="str">
            <v>FSDBB46</v>
          </cell>
          <cell r="F995" t="str">
            <v>FERC FLOW OF COSTS TRACE ERRORS-EB04</v>
          </cell>
          <cell r="G995">
            <v>-49947.729999999989</v>
          </cell>
          <cell r="H995">
            <v>49947.729999999989</v>
          </cell>
          <cell r="J995">
            <v>0</v>
          </cell>
        </row>
        <row r="996">
          <cell r="E996" t="str">
            <v>FSDBB55</v>
          </cell>
          <cell r="F996" t="str">
            <v>FERC FLOW OF COSTS TRACE ERRORS-EB05</v>
          </cell>
          <cell r="G996">
            <v>-0.10000000000000002</v>
          </cell>
          <cell r="H996">
            <v>0.10000000000000002</v>
          </cell>
          <cell r="J996">
            <v>0</v>
          </cell>
        </row>
        <row r="997">
          <cell r="E997" t="str">
            <v>FSDBB57</v>
          </cell>
          <cell r="F997" t="str">
            <v>FERC FLOW OF COSTS TRACE ERRORS-EB16</v>
          </cell>
          <cell r="G997">
            <v>-4.9999999999999996E-2</v>
          </cell>
          <cell r="H997">
            <v>4.9999999999999996E-2</v>
          </cell>
          <cell r="J997">
            <v>0</v>
          </cell>
        </row>
        <row r="998">
          <cell r="E998" t="str">
            <v>FSDBB58</v>
          </cell>
          <cell r="F998" t="str">
            <v>FERC FLOW OF COSTS TRACE ERRORS-EB37</v>
          </cell>
          <cell r="G998">
            <v>-1.9999999999999997E-2</v>
          </cell>
          <cell r="H998">
            <v>1.9999999999999997E-2</v>
          </cell>
          <cell r="J998">
            <v>0</v>
          </cell>
        </row>
        <row r="999">
          <cell r="E999" t="str">
            <v>FSDBB59</v>
          </cell>
          <cell r="F999" t="str">
            <v>FERC FLOW OF COSTS TRACE ERRORS-EB38</v>
          </cell>
          <cell r="G999">
            <v>5.2041704279304213E-18</v>
          </cell>
          <cell r="H999">
            <v>-5.2041704279304213E-18</v>
          </cell>
          <cell r="J999">
            <v>0</v>
          </cell>
        </row>
        <row r="1000">
          <cell r="E1000" t="str">
            <v>F92100E</v>
          </cell>
          <cell r="G1000">
            <v>0.65000000000189173</v>
          </cell>
          <cell r="H1000">
            <v>-0.65000000000189173</v>
          </cell>
          <cell r="J1000">
            <v>0</v>
          </cell>
        </row>
        <row r="1001">
          <cell r="E1001" t="str">
            <v>F92100G</v>
          </cell>
          <cell r="G1001">
            <v>0.16</v>
          </cell>
          <cell r="H1001">
            <v>-0.16</v>
          </cell>
          <cell r="J1001">
            <v>0</v>
          </cell>
        </row>
        <row r="1002">
          <cell r="E1002" t="str">
            <v>F50600E</v>
          </cell>
          <cell r="G1002">
            <v>256.08</v>
          </cell>
          <cell r="H1002">
            <v>-256.08</v>
          </cell>
          <cell r="J1002">
            <v>0</v>
          </cell>
        </row>
        <row r="1003">
          <cell r="E1003" t="str">
            <v>F54900E</v>
          </cell>
          <cell r="G1003">
            <v>0</v>
          </cell>
          <cell r="H1003">
            <v>0</v>
          </cell>
          <cell r="J1003">
            <v>0</v>
          </cell>
        </row>
        <row r="1004">
          <cell r="E1004" t="str">
            <v>F56210E</v>
          </cell>
          <cell r="G1004">
            <v>666.01</v>
          </cell>
          <cell r="H1004">
            <v>-666.01</v>
          </cell>
          <cell r="J1004">
            <v>0</v>
          </cell>
        </row>
        <row r="1005">
          <cell r="E1005" t="str">
            <v>F56600E</v>
          </cell>
          <cell r="G1005">
            <v>70.23</v>
          </cell>
          <cell r="H1005">
            <v>-70.23</v>
          </cell>
          <cell r="J1005">
            <v>0</v>
          </cell>
        </row>
        <row r="1006">
          <cell r="E1006" t="str">
            <v>F58210E</v>
          </cell>
          <cell r="G1006">
            <v>4766.8100000000004</v>
          </cell>
          <cell r="H1006">
            <v>-4766.8100000000004</v>
          </cell>
          <cell r="J1006">
            <v>0</v>
          </cell>
        </row>
        <row r="1007">
          <cell r="E1007" t="str">
            <v>F58510E</v>
          </cell>
          <cell r="G1007">
            <v>27.71</v>
          </cell>
          <cell r="H1007">
            <v>-27.71</v>
          </cell>
          <cell r="J1007">
            <v>0</v>
          </cell>
        </row>
        <row r="1008">
          <cell r="E1008" t="str">
            <v>F58800E</v>
          </cell>
          <cell r="G1008">
            <v>0</v>
          </cell>
          <cell r="H1008">
            <v>0</v>
          </cell>
          <cell r="J1008">
            <v>0</v>
          </cell>
        </row>
        <row r="1009">
          <cell r="E1009" t="str">
            <v>F59210E</v>
          </cell>
          <cell r="G1009">
            <v>2742.86</v>
          </cell>
          <cell r="H1009">
            <v>-2742.86</v>
          </cell>
          <cell r="J1009">
            <v>0</v>
          </cell>
        </row>
        <row r="1010">
          <cell r="E1010" t="str">
            <v>F85310G</v>
          </cell>
          <cell r="G1010">
            <v>279.5</v>
          </cell>
          <cell r="H1010">
            <v>-279.5</v>
          </cell>
          <cell r="J1010">
            <v>0</v>
          </cell>
        </row>
        <row r="1011">
          <cell r="E1011" t="str">
            <v>F85320G</v>
          </cell>
          <cell r="G1011">
            <v>2.39</v>
          </cell>
          <cell r="H1011">
            <v>-2.39</v>
          </cell>
          <cell r="J1011">
            <v>0</v>
          </cell>
        </row>
        <row r="1012">
          <cell r="E1012" t="str">
            <v>F87500G</v>
          </cell>
          <cell r="G1012">
            <v>11.47</v>
          </cell>
          <cell r="H1012">
            <v>-11.47</v>
          </cell>
          <cell r="J1012">
            <v>0</v>
          </cell>
        </row>
        <row r="1013">
          <cell r="E1013" t="str">
            <v>F88510G</v>
          </cell>
          <cell r="G1013">
            <v>21.26</v>
          </cell>
          <cell r="H1013">
            <v>-21.26</v>
          </cell>
          <cell r="J1013">
            <v>0</v>
          </cell>
        </row>
        <row r="1014">
          <cell r="E1014" t="str">
            <v>F88900G</v>
          </cell>
          <cell r="G1014">
            <v>0</v>
          </cell>
          <cell r="H1014">
            <v>0</v>
          </cell>
          <cell r="J1014">
            <v>0</v>
          </cell>
        </row>
        <row r="1015">
          <cell r="E1015" t="str">
            <v>F90300E</v>
          </cell>
          <cell r="G1015">
            <v>1124.22</v>
          </cell>
          <cell r="H1015">
            <v>-1124.22</v>
          </cell>
          <cell r="J1015">
            <v>0</v>
          </cell>
        </row>
        <row r="1016">
          <cell r="E1016" t="str">
            <v>F90300G</v>
          </cell>
          <cell r="G1016">
            <v>615.45000000000005</v>
          </cell>
          <cell r="H1016">
            <v>-615.45000000000005</v>
          </cell>
          <cell r="J1016">
            <v>0</v>
          </cell>
        </row>
        <row r="1017">
          <cell r="E1017" t="str">
            <v>F9210AE</v>
          </cell>
          <cell r="G1017">
            <v>0</v>
          </cell>
          <cell r="H1017">
            <v>0</v>
          </cell>
          <cell r="J1017">
            <v>0</v>
          </cell>
        </row>
        <row r="1018">
          <cell r="E1018" t="str">
            <v>F9210AG</v>
          </cell>
          <cell r="G1018">
            <v>0</v>
          </cell>
          <cell r="H1018">
            <v>0</v>
          </cell>
          <cell r="J1018">
            <v>0</v>
          </cell>
        </row>
        <row r="1019">
          <cell r="E1019" t="str">
            <v>F92600E</v>
          </cell>
          <cell r="G1019">
            <v>104222.59</v>
          </cell>
          <cell r="H1019">
            <v>-104222.59</v>
          </cell>
          <cell r="J1019">
            <v>0</v>
          </cell>
        </row>
        <row r="1020">
          <cell r="E1020" t="str">
            <v>F92600G</v>
          </cell>
          <cell r="G1020">
            <v>44399.3</v>
          </cell>
          <cell r="H1020">
            <v>-44399.3</v>
          </cell>
          <cell r="J1020">
            <v>0</v>
          </cell>
        </row>
        <row r="1021">
          <cell r="E1021" t="str">
            <v>F9260AE</v>
          </cell>
          <cell r="G1021">
            <v>0</v>
          </cell>
          <cell r="H1021">
            <v>0</v>
          </cell>
          <cell r="J1021">
            <v>0</v>
          </cell>
        </row>
        <row r="1022">
          <cell r="E1022" t="str">
            <v>F9260AG</v>
          </cell>
          <cell r="G1022">
            <v>0</v>
          </cell>
          <cell r="H1022">
            <v>0</v>
          </cell>
          <cell r="J1022">
            <v>0</v>
          </cell>
        </row>
        <row r="1023">
          <cell r="E1023" t="str">
            <v>F92800E</v>
          </cell>
          <cell r="G1023">
            <v>0</v>
          </cell>
          <cell r="H1023">
            <v>0</v>
          </cell>
          <cell r="J1023">
            <v>0</v>
          </cell>
        </row>
        <row r="1024">
          <cell r="E1024" t="str">
            <v>F92800G</v>
          </cell>
          <cell r="G1024">
            <v>0</v>
          </cell>
          <cell r="H1024">
            <v>0</v>
          </cell>
          <cell r="J1024">
            <v>0</v>
          </cell>
        </row>
        <row r="1025">
          <cell r="E1025" t="str">
            <v>F9280AE</v>
          </cell>
          <cell r="G1025">
            <v>0</v>
          </cell>
          <cell r="H1025">
            <v>0</v>
          </cell>
          <cell r="J1025">
            <v>0</v>
          </cell>
        </row>
        <row r="1026">
          <cell r="E1026" t="str">
            <v>F9280AG</v>
          </cell>
          <cell r="G1026">
            <v>0</v>
          </cell>
          <cell r="H1026">
            <v>0</v>
          </cell>
          <cell r="J1026">
            <v>0</v>
          </cell>
        </row>
        <row r="1027">
          <cell r="E1027" t="str">
            <v>F93001E</v>
          </cell>
          <cell r="G1027">
            <v>-0.04</v>
          </cell>
          <cell r="H1027">
            <v>0.04</v>
          </cell>
          <cell r="J1027">
            <v>0</v>
          </cell>
        </row>
        <row r="1028">
          <cell r="E1028" t="str">
            <v>F93002E</v>
          </cell>
          <cell r="G1028">
            <v>-826.51</v>
          </cell>
          <cell r="H1028">
            <v>826.51</v>
          </cell>
          <cell r="J1028">
            <v>0</v>
          </cell>
        </row>
        <row r="1029">
          <cell r="E1029" t="str">
            <v>F93003E</v>
          </cell>
          <cell r="G1029">
            <v>0</v>
          </cell>
          <cell r="H1029">
            <v>0</v>
          </cell>
          <cell r="J1029">
            <v>0</v>
          </cell>
        </row>
        <row r="1030">
          <cell r="E1030" t="str">
            <v>F93004E</v>
          </cell>
          <cell r="G1030">
            <v>0</v>
          </cell>
          <cell r="H1030">
            <v>0</v>
          </cell>
          <cell r="J1030">
            <v>0</v>
          </cell>
        </row>
        <row r="1031">
          <cell r="E1031" t="str">
            <v>F93005E</v>
          </cell>
          <cell r="G1031">
            <v>-6370.079999999999</v>
          </cell>
          <cell r="H1031">
            <v>6370.079999999999</v>
          </cell>
          <cell r="J1031">
            <v>0</v>
          </cell>
        </row>
        <row r="1032">
          <cell r="E1032" t="str">
            <v>F93006E</v>
          </cell>
          <cell r="G1032">
            <v>-18577.61</v>
          </cell>
          <cell r="H1032">
            <v>18577.61</v>
          </cell>
          <cell r="J1032">
            <v>0</v>
          </cell>
        </row>
        <row r="1033">
          <cell r="E1033" t="str">
            <v>F93007E</v>
          </cell>
          <cell r="G1033">
            <v>0</v>
          </cell>
          <cell r="H1033">
            <v>0</v>
          </cell>
          <cell r="J1033">
            <v>0</v>
          </cell>
        </row>
        <row r="1034">
          <cell r="E1034" t="str">
            <v>F93008E</v>
          </cell>
          <cell r="G1034">
            <v>-145.46</v>
          </cell>
          <cell r="H1034">
            <v>145.46</v>
          </cell>
          <cell r="J1034">
            <v>0</v>
          </cell>
        </row>
        <row r="1035">
          <cell r="E1035" t="str">
            <v>F93012E</v>
          </cell>
          <cell r="G1035">
            <v>-3598.39</v>
          </cell>
          <cell r="H1035">
            <v>3598.39</v>
          </cell>
          <cell r="J1035">
            <v>0</v>
          </cell>
        </row>
        <row r="1036">
          <cell r="E1036" t="str">
            <v>F93013E</v>
          </cell>
          <cell r="G1036">
            <v>-10261.800000000001</v>
          </cell>
          <cell r="H1036">
            <v>10261.800000000001</v>
          </cell>
          <cell r="J1036">
            <v>0</v>
          </cell>
        </row>
        <row r="1037">
          <cell r="E1037" t="str">
            <v>F93014E</v>
          </cell>
          <cell r="G1037">
            <v>-72658.45</v>
          </cell>
          <cell r="H1037">
            <v>72658.45</v>
          </cell>
          <cell r="J1037">
            <v>0</v>
          </cell>
        </row>
        <row r="1038">
          <cell r="E1038" t="str">
            <v>F93019E</v>
          </cell>
          <cell r="G1038">
            <v>-2742.86</v>
          </cell>
          <cell r="H1038">
            <v>2742.86</v>
          </cell>
          <cell r="J1038">
            <v>0</v>
          </cell>
        </row>
        <row r="1039">
          <cell r="E1039" t="str">
            <v>F93020E</v>
          </cell>
          <cell r="G1039">
            <v>1408.77</v>
          </cell>
          <cell r="H1039">
            <v>-1408.77</v>
          </cell>
          <cell r="J1039">
            <v>0</v>
          </cell>
        </row>
        <row r="1040">
          <cell r="E1040" t="str">
            <v>F93020G</v>
          </cell>
          <cell r="G1040">
            <v>715.06999999999994</v>
          </cell>
          <cell r="H1040">
            <v>-715.06999999999994</v>
          </cell>
          <cell r="J1040">
            <v>0</v>
          </cell>
        </row>
        <row r="1041">
          <cell r="E1041" t="str">
            <v>F93030E</v>
          </cell>
          <cell r="G1041">
            <v>0</v>
          </cell>
          <cell r="H1041">
            <v>0</v>
          </cell>
          <cell r="J1041">
            <v>0</v>
          </cell>
        </row>
        <row r="1042">
          <cell r="E1042" t="str">
            <v>F93100E</v>
          </cell>
          <cell r="G1042">
            <v>0</v>
          </cell>
          <cell r="H1042">
            <v>0</v>
          </cell>
          <cell r="J1042">
            <v>0</v>
          </cell>
        </row>
        <row r="1043">
          <cell r="E1043" t="str">
            <v>F93100G</v>
          </cell>
          <cell r="G1043">
            <v>0</v>
          </cell>
          <cell r="H1043">
            <v>0</v>
          </cell>
          <cell r="J1043">
            <v>0</v>
          </cell>
        </row>
        <row r="1044">
          <cell r="E1044" t="str">
            <v>F93500E</v>
          </cell>
          <cell r="G1044">
            <v>-83983.79</v>
          </cell>
          <cell r="H1044">
            <v>83983.79</v>
          </cell>
          <cell r="J1044">
            <v>0</v>
          </cell>
        </row>
        <row r="1045">
          <cell r="E1045" t="str">
            <v>F93500G</v>
          </cell>
          <cell r="G1045">
            <v>-28155.350000000002</v>
          </cell>
          <cell r="H1045">
            <v>28155.350000000002</v>
          </cell>
          <cell r="J1045">
            <v>0</v>
          </cell>
        </row>
        <row r="1046">
          <cell r="E1046" t="str">
            <v>F9350AE</v>
          </cell>
          <cell r="G1046">
            <v>0</v>
          </cell>
          <cell r="H1046">
            <v>0</v>
          </cell>
          <cell r="J1046">
            <v>0</v>
          </cell>
        </row>
        <row r="1047">
          <cell r="E1047" t="str">
            <v>F9350AG</v>
          </cell>
          <cell r="G1047">
            <v>0</v>
          </cell>
          <cell r="H1047">
            <v>0</v>
          </cell>
          <cell r="J1047">
            <v>0</v>
          </cell>
        </row>
        <row r="1048">
          <cell r="E1048" t="str">
            <v>F93510E</v>
          </cell>
          <cell r="G1048">
            <v>0</v>
          </cell>
          <cell r="H1048">
            <v>0</v>
          </cell>
          <cell r="J1048">
            <v>0</v>
          </cell>
        </row>
        <row r="1049">
          <cell r="E1049" t="str">
            <v>F93510G</v>
          </cell>
          <cell r="G1049">
            <v>0</v>
          </cell>
          <cell r="H1049">
            <v>0</v>
          </cell>
          <cell r="J1049">
            <v>0</v>
          </cell>
        </row>
        <row r="1050">
          <cell r="G1050">
            <v>0</v>
          </cell>
          <cell r="H1050">
            <v>0</v>
          </cell>
          <cell r="J1050">
            <v>0</v>
          </cell>
        </row>
        <row r="1051">
          <cell r="E1051" t="str">
            <v>Total</v>
          </cell>
          <cell r="G1051">
            <v>4.8057700041681528E-9</v>
          </cell>
          <cell r="H1051">
            <v>-4.8057700041681528E-9</v>
          </cell>
          <cell r="I1051">
            <v>0</v>
          </cell>
          <cell r="J1051">
            <v>0</v>
          </cell>
        </row>
        <row r="1054">
          <cell r="E1054" t="str">
            <v>Adjustment Legend</v>
          </cell>
        </row>
        <row r="1055">
          <cell r="E1055" t="str">
            <v>A</v>
          </cell>
          <cell r="F1055" t="str">
            <v>Adjustment for FSDBBxx/F299xx/F999xx accounts</v>
          </cell>
        </row>
        <row r="1056">
          <cell r="E1056" t="str">
            <v>B</v>
          </cell>
          <cell r="F1056" t="str">
            <v>Adjust F920/F921 to tie to BW numbers</v>
          </cell>
        </row>
        <row r="1057">
          <cell r="E1057" t="str">
            <v>C</v>
          </cell>
          <cell r="F1057" t="str">
            <v>Spread F920C - F935C to Electric &amp; Gas</v>
          </cell>
        </row>
        <row r="1058">
          <cell r="E1058" t="str">
            <v>D</v>
          </cell>
          <cell r="F1058" t="str">
            <v>Adjust 419.1 AFUDC</v>
          </cell>
        </row>
        <row r="1059">
          <cell r="E1059" t="str">
            <v>E</v>
          </cell>
          <cell r="F1059" t="str">
            <v>Correct F42610C</v>
          </cell>
        </row>
        <row r="1060">
          <cell r="E1060" t="str">
            <v>F</v>
          </cell>
          <cell r="F1060" t="str">
            <v>Reclass F83500G to F84380G (per Paul)</v>
          </cell>
        </row>
        <row r="1061">
          <cell r="E1061" t="str">
            <v>G</v>
          </cell>
          <cell r="F1061" t="str">
            <v>Remap acct 7509029 from F43700C to F42701C</v>
          </cell>
        </row>
        <row r="1062">
          <cell r="E1062" t="str">
            <v>H</v>
          </cell>
          <cell r="F1062" t="str">
            <v>Spread of Depreciation</v>
          </cell>
        </row>
        <row r="1063">
          <cell r="E1063" t="str">
            <v>I</v>
          </cell>
          <cell r="F1063" t="str">
            <v>Op. Inc. vs. Non-Op Inc. reconciling items</v>
          </cell>
        </row>
        <row r="1064">
          <cell r="E1064" t="str">
            <v>J</v>
          </cell>
          <cell r="F1064" t="str">
            <v>Move incorrect portion from Gas to Elec. on AMDRA internal orders (IO 7007543 - 7007548)</v>
          </cell>
        </row>
        <row r="1065">
          <cell r="E1065" t="str">
            <v>K</v>
          </cell>
          <cell r="F1065" t="str">
            <v>Reclass exp. from F80400G to F88040G</v>
          </cell>
        </row>
        <row r="1066">
          <cell r="E1066" t="str">
            <v>L</v>
          </cell>
          <cell r="F1066" t="str">
            <v>Reclass exp. from F80740G to F80750G</v>
          </cell>
        </row>
        <row r="1067">
          <cell r="E1067" t="str">
            <v>M</v>
          </cell>
          <cell r="F1067" t="str">
            <v>Reclass exp. from F50010E and F50040E to F50000E</v>
          </cell>
        </row>
        <row r="1068">
          <cell r="E1068" t="str">
            <v>N</v>
          </cell>
          <cell r="F1068" t="str">
            <v>Reclass exp. from F90100E to F90300E</v>
          </cell>
        </row>
        <row r="1069">
          <cell r="E1069" t="str">
            <v>O</v>
          </cell>
          <cell r="F1069" t="str">
            <v>Reclass exp. from F90100G to F90300G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(go here 1st)"/>
      <sheetName val="Revenue Requirements (5th)"/>
      <sheetName val="Return on Rate Base (2nd)"/>
      <sheetName val="Taxes (3rd)"/>
      <sheetName val="Fixed Operating Expenses(4)"/>
      <sheetName val="RECC Factor (6th)"/>
      <sheetName val="Levelzd Annl Capital Csts(7th)"/>
      <sheetName val="Introduction"/>
      <sheetName val="Table of contents"/>
      <sheetName val="Sec 1 Discount Rates"/>
      <sheetName val="Sec 1 Discount Rates (2)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ulation"/>
      <sheetName val="Sec 5 LACC&amp;RECC  Description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Inputs"/>
      <sheetName val="Sec 8 DCF Examp A"/>
      <sheetName val="Financ Stmnts Balance"/>
      <sheetName val="Financ Stmnts Income"/>
      <sheetName val="Financ Stmnts CashFlow"/>
      <sheetName val="Options"/>
    </sheetNames>
    <sheetDataSet>
      <sheetData sheetId="0">
        <row r="21">
          <cell r="B21">
            <v>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Sheet"/>
      <sheetName val="Sheet1"/>
      <sheetName val="April Deferred Entry"/>
      <sheetName val="Owned Prop Expense"/>
      <sheetName val="Leased Prop Expense"/>
      <sheetName val="software study"/>
      <sheetName val="embedded software"/>
      <sheetName val="AZ"/>
      <sheetName val="1st install"/>
      <sheetName val="2nd install"/>
      <sheetName val="June Outlook"/>
      <sheetName val="Sept Outlook"/>
      <sheetName val="YE Provision-est"/>
    </sheetNames>
    <sheetDataSet>
      <sheetData sheetId="0"/>
      <sheetData sheetId="1"/>
      <sheetData sheetId="2"/>
      <sheetData sheetId="3"/>
      <sheetData sheetId="4">
        <row r="18">
          <cell r="J18">
            <v>209600.12</v>
          </cell>
        </row>
      </sheetData>
      <sheetData sheetId="5"/>
      <sheetData sheetId="6">
        <row r="28">
          <cell r="B28">
            <v>951501.22205563716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Sheet"/>
      <sheetName val="Sheet1"/>
      <sheetName val="April Deferred Entry"/>
      <sheetName val="Owned Prop Expense"/>
      <sheetName val="Leased Prop Expense"/>
      <sheetName val="software study"/>
      <sheetName val="embedded software"/>
      <sheetName val="AZ"/>
      <sheetName val="1st install"/>
      <sheetName val="2nd install"/>
      <sheetName val="June Outlook"/>
      <sheetName val="Sept Outlook"/>
      <sheetName val="YE Provision-est"/>
    </sheetNames>
    <sheetDataSet>
      <sheetData sheetId="0"/>
      <sheetData sheetId="1"/>
      <sheetData sheetId="2"/>
      <sheetData sheetId="3"/>
      <sheetData sheetId="4">
        <row r="18">
          <cell r="J18">
            <v>209600.12</v>
          </cell>
        </row>
      </sheetData>
      <sheetData sheetId="5"/>
      <sheetData sheetId="6">
        <row r="28">
          <cell r="B28">
            <v>951501.22205563716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>
        <row r="4">
          <cell r="A4" t="str">
            <v>F10000C</v>
          </cell>
          <cell r="B4" t="str">
            <v>PLANT IN SERVICE</v>
          </cell>
          <cell r="C4">
            <v>0</v>
          </cell>
          <cell r="D4">
            <v>11.3</v>
          </cell>
          <cell r="E4">
            <v>1</v>
          </cell>
          <cell r="P4">
            <v>12.3</v>
          </cell>
          <cell r="R4" t="str">
            <v>F10000C</v>
          </cell>
          <cell r="S4">
            <v>12.3</v>
          </cell>
          <cell r="T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4632972044.3100004</v>
          </cell>
          <cell r="D5">
            <v>-599152.24</v>
          </cell>
          <cell r="E5">
            <v>27755599</v>
          </cell>
          <cell r="F5">
            <v>7135896.1200000001</v>
          </cell>
          <cell r="G5">
            <v>13872548.74</v>
          </cell>
          <cell r="H5">
            <v>-155119163.97</v>
          </cell>
          <cell r="I5">
            <v>-260528573.38</v>
          </cell>
          <cell r="J5">
            <v>-5183209.74</v>
          </cell>
          <cell r="K5">
            <v>53577819.75</v>
          </cell>
          <cell r="L5">
            <v>19357304.469999999</v>
          </cell>
          <cell r="M5">
            <v>10447622.939999999</v>
          </cell>
          <cell r="N5">
            <v>9834941.3100000005</v>
          </cell>
          <cell r="O5">
            <v>5539323.2400000002</v>
          </cell>
          <cell r="P5">
            <v>-273909043.75999999</v>
          </cell>
          <cell r="R5" t="str">
            <v>F10100E</v>
          </cell>
          <cell r="S5">
            <v>-273909043.75999999</v>
          </cell>
          <cell r="T5">
            <v>4359063000.5500002</v>
          </cell>
        </row>
        <row r="6">
          <cell r="A6" t="str">
            <v>F10100G</v>
          </cell>
          <cell r="B6" t="str">
            <v>PLANT IN SERVICE</v>
          </cell>
          <cell r="C6">
            <v>868992281.70000005</v>
          </cell>
          <cell r="D6">
            <v>-305633.05</v>
          </cell>
          <cell r="E6">
            <v>6612800.7300000004</v>
          </cell>
          <cell r="F6">
            <v>553323.73</v>
          </cell>
          <cell r="G6">
            <v>-1670233.45</v>
          </cell>
          <cell r="H6">
            <v>6615073.6500000004</v>
          </cell>
          <cell r="I6">
            <v>1723062.11</v>
          </cell>
          <cell r="J6">
            <v>1692432.83</v>
          </cell>
          <cell r="K6">
            <v>2015159.54</v>
          </cell>
          <cell r="L6">
            <v>1514377.36</v>
          </cell>
          <cell r="M6">
            <v>9213709.2400000002</v>
          </cell>
          <cell r="N6">
            <v>2216793.6800000002</v>
          </cell>
          <cell r="O6">
            <v>3500766.77</v>
          </cell>
          <cell r="P6">
            <v>33681633.140000001</v>
          </cell>
          <cell r="R6" t="str">
            <v>F10100G</v>
          </cell>
          <cell r="S6">
            <v>33681633.140000001</v>
          </cell>
          <cell r="T6">
            <v>902673914.84000003</v>
          </cell>
        </row>
        <row r="7">
          <cell r="A7" t="str">
            <v>F10110E</v>
          </cell>
          <cell r="B7" t="str">
            <v>PROPERTY UNDER CAPITAL LEASE</v>
          </cell>
          <cell r="C7">
            <v>124751597</v>
          </cell>
          <cell r="H7">
            <v>0</v>
          </cell>
          <cell r="I7">
            <v>-124751597</v>
          </cell>
          <cell r="P7">
            <v>-124751597</v>
          </cell>
          <cell r="R7" t="str">
            <v>F10110E</v>
          </cell>
          <cell r="S7">
            <v>-124751597</v>
          </cell>
          <cell r="T7">
            <v>0</v>
          </cell>
        </row>
        <row r="8">
          <cell r="A8" t="str">
            <v>F10200E</v>
          </cell>
          <cell r="B8" t="str">
            <v>PLANT PURCHASED OR SOLD</v>
          </cell>
          <cell r="C8">
            <v>211891.36</v>
          </cell>
          <cell r="D8">
            <v>810.81</v>
          </cell>
          <cell r="E8">
            <v>170.26</v>
          </cell>
          <cell r="F8">
            <v>-6990147.71</v>
          </cell>
          <cell r="G8">
            <v>-103534134.09999999</v>
          </cell>
          <cell r="H8">
            <v>-241698912.25999999</v>
          </cell>
          <cell r="I8">
            <v>352223361.75</v>
          </cell>
          <cell r="J8">
            <v>14584.74</v>
          </cell>
          <cell r="K8">
            <v>280.94</v>
          </cell>
          <cell r="L8">
            <v>9588.35</v>
          </cell>
          <cell r="M8">
            <v>22423.69</v>
          </cell>
          <cell r="N8">
            <v>1370.08</v>
          </cell>
          <cell r="O8">
            <v>-13784.05</v>
          </cell>
          <cell r="P8">
            <v>35612.5</v>
          </cell>
          <cell r="R8" t="str">
            <v>F10200E</v>
          </cell>
          <cell r="S8">
            <v>35612.5</v>
          </cell>
          <cell r="T8">
            <v>247503.86</v>
          </cell>
        </row>
        <row r="9">
          <cell r="A9" t="str">
            <v>F10500C</v>
          </cell>
          <cell r="B9" t="str">
            <v>HELD FOR FUTURE USE</v>
          </cell>
          <cell r="C9">
            <v>255159.89</v>
          </cell>
          <cell r="F9">
            <v>0</v>
          </cell>
          <cell r="G9">
            <v>162.21</v>
          </cell>
          <cell r="H9">
            <v>40.549999999999997</v>
          </cell>
          <cell r="I9">
            <v>0</v>
          </cell>
          <cell r="J9">
            <v>0</v>
          </cell>
          <cell r="K9">
            <v>-47139.199999999997</v>
          </cell>
          <cell r="L9">
            <v>-50.65</v>
          </cell>
          <cell r="M9">
            <v>0</v>
          </cell>
          <cell r="N9">
            <v>0</v>
          </cell>
          <cell r="O9">
            <v>-1534.23</v>
          </cell>
          <cell r="P9">
            <v>-48521.32</v>
          </cell>
          <cell r="R9" t="str">
            <v>F10500C</v>
          </cell>
          <cell r="S9">
            <v>-48521.32</v>
          </cell>
          <cell r="T9">
            <v>206638.57</v>
          </cell>
        </row>
        <row r="10">
          <cell r="A10" t="str">
            <v>F10600E</v>
          </cell>
          <cell r="B10" t="str">
            <v>COMPL NOT CLASSIFIED</v>
          </cell>
          <cell r="C10">
            <v>-843934.55</v>
          </cell>
          <cell r="D10">
            <v>26977932.420000002</v>
          </cell>
          <cell r="E10">
            <v>-15122233.140000001</v>
          </cell>
          <cell r="F10">
            <v>-11239569.539999999</v>
          </cell>
          <cell r="G10">
            <v>0</v>
          </cell>
          <cell r="L10">
            <v>0</v>
          </cell>
          <cell r="M10">
            <v>227804.81</v>
          </cell>
          <cell r="P10">
            <v>843934.55000000214</v>
          </cell>
          <cell r="R10" t="str">
            <v>F10600E</v>
          </cell>
          <cell r="S10">
            <v>843934.54999999888</v>
          </cell>
          <cell r="T10">
            <v>2.0954757928848267E-9</v>
          </cell>
        </row>
        <row r="11">
          <cell r="A11" t="str">
            <v>F10600G</v>
          </cell>
          <cell r="B11" t="str">
            <v>COMPL NOT CLASSIFIED</v>
          </cell>
          <cell r="C11">
            <v>-428125.91</v>
          </cell>
          <cell r="D11">
            <v>5141986.93</v>
          </cell>
          <cell r="E11">
            <v>-4003417.36</v>
          </cell>
          <cell r="F11">
            <v>-887070.25</v>
          </cell>
          <cell r="G11">
            <v>0</v>
          </cell>
          <cell r="L11">
            <v>0</v>
          </cell>
          <cell r="M11">
            <v>176626.59</v>
          </cell>
          <cell r="P11">
            <v>428125.9099999998</v>
          </cell>
          <cell r="R11" t="str">
            <v>F10600G</v>
          </cell>
          <cell r="S11">
            <v>428125.91</v>
          </cell>
          <cell r="T11">
            <v>0</v>
          </cell>
        </row>
        <row r="12">
          <cell r="A12" t="str">
            <v>F10700C</v>
          </cell>
          <cell r="B12" t="str">
            <v>CONSTRUCTION WORK IN PROGRESS</v>
          </cell>
          <cell r="C12">
            <v>-7482070.1399999997</v>
          </cell>
          <cell r="D12">
            <v>1104068.33</v>
          </cell>
          <cell r="E12">
            <v>80138356.439999998</v>
          </cell>
          <cell r="F12">
            <v>17986476.879999999</v>
          </cell>
          <cell r="G12">
            <v>5808257.96</v>
          </cell>
          <cell r="H12">
            <v>-19858932.800000001</v>
          </cell>
          <cell r="I12">
            <v>-8133652.0599999996</v>
          </cell>
          <cell r="J12">
            <v>-4533457.55</v>
          </cell>
          <cell r="K12">
            <v>-1899722.46</v>
          </cell>
          <cell r="L12">
            <v>-4966462.74</v>
          </cell>
          <cell r="M12">
            <v>2527740.7000000002</v>
          </cell>
          <cell r="N12">
            <v>7118172.4800000004</v>
          </cell>
          <cell r="O12">
            <v>-1056002.5900000001</v>
          </cell>
          <cell r="P12">
            <v>74234842.589999989</v>
          </cell>
          <cell r="R12" t="str">
            <v>F10700C</v>
          </cell>
          <cell r="S12">
            <v>74234842.590000004</v>
          </cell>
          <cell r="T12">
            <v>66752772.449999988</v>
          </cell>
        </row>
        <row r="13">
          <cell r="A13" t="str">
            <v>F10700E</v>
          </cell>
          <cell r="B13" t="str">
            <v>CONSTRUCTION WORK IN PROGRESS</v>
          </cell>
          <cell r="C13">
            <v>82325044.920000002</v>
          </cell>
          <cell r="D13">
            <v>-17138280.010000002</v>
          </cell>
          <cell r="E13">
            <v>-80438177.840000004</v>
          </cell>
          <cell r="L13">
            <v>0</v>
          </cell>
          <cell r="M13">
            <v>-752996.22</v>
          </cell>
          <cell r="P13">
            <v>-98329454.070000008</v>
          </cell>
          <cell r="R13" t="str">
            <v>F10700E</v>
          </cell>
          <cell r="S13">
            <v>-98329454.069999993</v>
          </cell>
          <cell r="T13">
            <v>-16004409.150000006</v>
          </cell>
        </row>
        <row r="14">
          <cell r="A14" t="str">
            <v>F10700G</v>
          </cell>
          <cell r="B14" t="str">
            <v>CONSTRUCTION WORK IN PROGRESS</v>
          </cell>
          <cell r="C14">
            <v>8466955.3900000006</v>
          </cell>
          <cell r="D14">
            <v>-3552290.55</v>
          </cell>
          <cell r="E14">
            <v>-5364950.05</v>
          </cell>
          <cell r="L14">
            <v>0</v>
          </cell>
          <cell r="M14">
            <v>-173105.49</v>
          </cell>
          <cell r="N14">
            <v>0</v>
          </cell>
          <cell r="O14">
            <v>-23899.34</v>
          </cell>
          <cell r="P14">
            <v>-9114245.4299999997</v>
          </cell>
          <cell r="R14" t="str">
            <v>F10700G</v>
          </cell>
          <cell r="S14">
            <v>-9114245.4299999997</v>
          </cell>
          <cell r="T14">
            <v>-647290.03999999911</v>
          </cell>
        </row>
        <row r="15">
          <cell r="A15" t="str">
            <v>F10800E</v>
          </cell>
          <cell r="B15" t="str">
            <v>ACCUMULATED PROVISION FOR DEPRECIATION</v>
          </cell>
          <cell r="C15">
            <v>-2795482044.3800001</v>
          </cell>
          <cell r="D15">
            <v>-21846532.649999999</v>
          </cell>
          <cell r="E15">
            <v>-22907975.309999999</v>
          </cell>
          <cell r="F15">
            <v>-3030229.45</v>
          </cell>
          <cell r="G15">
            <v>-23042302.600000001</v>
          </cell>
          <cell r="H15">
            <v>85371127.209999993</v>
          </cell>
          <cell r="I15">
            <v>-8914758.6099999994</v>
          </cell>
          <cell r="J15">
            <v>11533012.02</v>
          </cell>
          <cell r="K15">
            <v>-41937014.409999996</v>
          </cell>
          <cell r="L15">
            <v>-7724912.0199999996</v>
          </cell>
          <cell r="M15">
            <v>-9318189.5399999991</v>
          </cell>
          <cell r="N15">
            <v>-10508067.75</v>
          </cell>
          <cell r="O15">
            <v>-19013228.690000001</v>
          </cell>
          <cell r="P15">
            <v>-71339071.799999997</v>
          </cell>
          <cell r="R15" t="str">
            <v>F10800E</v>
          </cell>
          <cell r="S15">
            <v>-71339071.799999997</v>
          </cell>
          <cell r="T15">
            <v>-2866821116.1800003</v>
          </cell>
        </row>
        <row r="16">
          <cell r="A16" t="str">
            <v>F10800G</v>
          </cell>
          <cell r="B16" t="str">
            <v>ACCUMULATED PROVISION FOR DEPRECIATION</v>
          </cell>
          <cell r="C16">
            <v>-426989022.13</v>
          </cell>
          <cell r="D16">
            <v>-2391129.85</v>
          </cell>
          <cell r="E16">
            <v>-2450815.46</v>
          </cell>
          <cell r="F16">
            <v>-2397763.5099999998</v>
          </cell>
          <cell r="G16">
            <v>-804684.41</v>
          </cell>
          <cell r="H16">
            <v>-4534101.1100000003</v>
          </cell>
          <cell r="I16">
            <v>-2337404.46</v>
          </cell>
          <cell r="J16">
            <v>-2489396.79</v>
          </cell>
          <cell r="K16">
            <v>-2445147.69</v>
          </cell>
          <cell r="L16">
            <v>-2569126.2799999998</v>
          </cell>
          <cell r="M16">
            <v>-2598471.44</v>
          </cell>
          <cell r="N16">
            <v>-2747274.42</v>
          </cell>
          <cell r="O16">
            <v>-2071584.86</v>
          </cell>
          <cell r="P16">
            <v>-29836900.280000001</v>
          </cell>
          <cell r="R16" t="str">
            <v>F10800G</v>
          </cell>
          <cell r="S16">
            <v>-29836900.279999997</v>
          </cell>
          <cell r="T16">
            <v>-456825922.40999997</v>
          </cell>
        </row>
        <row r="17">
          <cell r="A17" t="str">
            <v>F11100C</v>
          </cell>
          <cell r="B17" t="str">
            <v>ACCUMULATED PROVISION FOR AMORTIZATION AND DEPLETI</v>
          </cell>
          <cell r="C17">
            <v>-133185209.51000001</v>
          </cell>
          <cell r="D17">
            <v>-823876.58</v>
          </cell>
          <cell r="E17">
            <v>-871854.96</v>
          </cell>
          <cell r="F17">
            <v>-2421292.46</v>
          </cell>
          <cell r="G17">
            <v>-583627.9</v>
          </cell>
          <cell r="H17">
            <v>-1567556.43</v>
          </cell>
          <cell r="I17">
            <v>81334810.950000003</v>
          </cell>
          <cell r="J17">
            <v>-583072.32999999996</v>
          </cell>
          <cell r="K17">
            <v>-583430.53</v>
          </cell>
          <cell r="L17">
            <v>-597589.28</v>
          </cell>
          <cell r="M17">
            <v>-583227.73</v>
          </cell>
          <cell r="N17">
            <v>-595106.47</v>
          </cell>
          <cell r="O17">
            <v>-624713.27</v>
          </cell>
          <cell r="P17">
            <v>71499463.010000005</v>
          </cell>
          <cell r="R17" t="str">
            <v>F11100C</v>
          </cell>
          <cell r="S17">
            <v>71499463.00999999</v>
          </cell>
          <cell r="T17">
            <v>-61685746.5</v>
          </cell>
        </row>
        <row r="18">
          <cell r="A18" t="str">
            <v>F11100E</v>
          </cell>
          <cell r="B18" t="str">
            <v>ACCUMULATED PROVISION FOR AMORTIZATION AND DEPLETI</v>
          </cell>
          <cell r="C18">
            <v>-0.97</v>
          </cell>
          <cell r="D18">
            <v>120729.58</v>
          </cell>
          <cell r="E18">
            <v>-121076.4</v>
          </cell>
          <cell r="F18">
            <v>-271898.38</v>
          </cell>
          <cell r="G18">
            <v>-263748.93</v>
          </cell>
          <cell r="H18">
            <v>651242.75</v>
          </cell>
          <cell r="I18">
            <v>936907.63</v>
          </cell>
          <cell r="J18">
            <v>-135151.09</v>
          </cell>
          <cell r="K18">
            <v>-134950.89000000001</v>
          </cell>
          <cell r="L18">
            <v>-134427.74</v>
          </cell>
          <cell r="M18">
            <v>-136914.07</v>
          </cell>
          <cell r="N18">
            <v>-142886.6</v>
          </cell>
          <cell r="O18">
            <v>-157263.67000000001</v>
          </cell>
          <cell r="P18">
            <v>210562.18999999997</v>
          </cell>
          <cell r="R18" t="str">
            <v>F11100E</v>
          </cell>
          <cell r="S18">
            <v>210562.19</v>
          </cell>
          <cell r="T18">
            <v>210561.21999999997</v>
          </cell>
        </row>
        <row r="19">
          <cell r="A19" t="str">
            <v>F11100G</v>
          </cell>
          <cell r="B19" t="str">
            <v>ACCUMULATED PROVISION FOR AMORTIZATION AND DEPLETI</v>
          </cell>
          <cell r="C19">
            <v>0</v>
          </cell>
          <cell r="D19">
            <v>-16157.68</v>
          </cell>
          <cell r="E19">
            <v>-92.49</v>
          </cell>
          <cell r="F19">
            <v>-24352</v>
          </cell>
          <cell r="G19">
            <v>-24403.41</v>
          </cell>
          <cell r="H19">
            <v>-24403.69</v>
          </cell>
          <cell r="I19">
            <v>-24403.79</v>
          </cell>
          <cell r="J19">
            <v>-24403.4</v>
          </cell>
          <cell r="K19">
            <v>-24403.58</v>
          </cell>
          <cell r="L19">
            <v>-24421.18</v>
          </cell>
          <cell r="M19">
            <v>-24410.94</v>
          </cell>
          <cell r="N19">
            <v>-24411.03</v>
          </cell>
          <cell r="O19">
            <v>-194761.64</v>
          </cell>
          <cell r="P19">
            <v>-430624.82999999996</v>
          </cell>
          <cell r="R19" t="str">
            <v>F11100G</v>
          </cell>
          <cell r="S19">
            <v>-430624.83</v>
          </cell>
          <cell r="T19">
            <v>-430624.82999999996</v>
          </cell>
        </row>
        <row r="20">
          <cell r="A20" t="str">
            <v>F11800C</v>
          </cell>
          <cell r="B20" t="str">
            <v>OTHER UTILITY PLANT</v>
          </cell>
          <cell r="C20">
            <v>247638275.09999999</v>
          </cell>
          <cell r="D20">
            <v>4971103.03</v>
          </cell>
          <cell r="E20">
            <v>2252151.2000000002</v>
          </cell>
          <cell r="F20">
            <v>1863221.77</v>
          </cell>
          <cell r="G20">
            <v>-12217078.970000001</v>
          </cell>
          <cell r="H20">
            <v>1096230.47</v>
          </cell>
          <cell r="I20">
            <v>-905438.19</v>
          </cell>
          <cell r="J20">
            <v>583626.67000000004</v>
          </cell>
          <cell r="K20">
            <v>170084.43</v>
          </cell>
          <cell r="L20">
            <v>757970.93</v>
          </cell>
          <cell r="M20">
            <v>1992326.26</v>
          </cell>
          <cell r="N20">
            <v>334921.27</v>
          </cell>
          <cell r="O20">
            <v>-3774210.92</v>
          </cell>
          <cell r="P20">
            <v>-2875092.05</v>
          </cell>
          <cell r="R20" t="str">
            <v>F11800C</v>
          </cell>
          <cell r="S20">
            <v>-2875092.05</v>
          </cell>
          <cell r="T20">
            <v>244763183.04999998</v>
          </cell>
        </row>
        <row r="21">
          <cell r="A21" t="str">
            <v>F11830C</v>
          </cell>
          <cell r="B21" t="str">
            <v>OTHER UTILITY PLANT CWIP</v>
          </cell>
          <cell r="C21">
            <v>16828791.73</v>
          </cell>
          <cell r="D21">
            <v>-4652983.25</v>
          </cell>
          <cell r="E21">
            <v>-1640707.95</v>
          </cell>
          <cell r="F21">
            <v>-2152060.54</v>
          </cell>
          <cell r="G21">
            <v>440050.19</v>
          </cell>
          <cell r="H21">
            <v>-1681566.48</v>
          </cell>
          <cell r="I21">
            <v>725397.54</v>
          </cell>
          <cell r="J21">
            <v>478783.76</v>
          </cell>
          <cell r="K21">
            <v>821204.27</v>
          </cell>
          <cell r="L21">
            <v>252796.7</v>
          </cell>
          <cell r="M21">
            <v>-369352.19</v>
          </cell>
          <cell r="N21">
            <v>849324.32</v>
          </cell>
          <cell r="O21">
            <v>6004005.8300000001</v>
          </cell>
          <cell r="P21">
            <v>-925107.79999999888</v>
          </cell>
          <cell r="R21" t="str">
            <v>F11830C</v>
          </cell>
          <cell r="S21">
            <v>-925107.8</v>
          </cell>
          <cell r="T21">
            <v>15903683.930000002</v>
          </cell>
        </row>
        <row r="22">
          <cell r="A22" t="str">
            <v>F11900C</v>
          </cell>
          <cell r="B22" t="str">
            <v>ACCUM AMORT-OTHER UTILITY PLANT</v>
          </cell>
          <cell r="C22">
            <v>-48434704.030000001</v>
          </cell>
          <cell r="D22">
            <v>-1181785</v>
          </cell>
          <cell r="E22">
            <v>-1056800.8400000001</v>
          </cell>
          <cell r="F22">
            <v>-1203003.32</v>
          </cell>
          <cell r="G22">
            <v>694972.59</v>
          </cell>
          <cell r="H22">
            <v>1148325.17</v>
          </cell>
          <cell r="I22">
            <v>-398443.97</v>
          </cell>
          <cell r="J22">
            <v>-1063944.3999999999</v>
          </cell>
          <cell r="K22">
            <v>-1183439.25</v>
          </cell>
          <cell r="L22">
            <v>-1126733.83</v>
          </cell>
          <cell r="M22">
            <v>-1106661.8899999999</v>
          </cell>
          <cell r="N22">
            <v>-1236244.82</v>
          </cell>
          <cell r="O22">
            <v>2970784.78</v>
          </cell>
          <cell r="P22">
            <v>-4742974.7800000012</v>
          </cell>
          <cell r="R22" t="str">
            <v>F11900C</v>
          </cell>
          <cell r="S22">
            <v>-4742974.78</v>
          </cell>
          <cell r="T22">
            <v>-53177678.810000002</v>
          </cell>
        </row>
        <row r="23">
          <cell r="A23" t="str">
            <v>F12060E</v>
          </cell>
          <cell r="B23" t="str">
            <v>NUCLEAR FUEL UNDER CAPITAL LEASES-ACC DEPRECIATION</v>
          </cell>
          <cell r="C23">
            <v>-34444519.600000001</v>
          </cell>
          <cell r="D23">
            <v>10545428.6</v>
          </cell>
          <cell r="E23">
            <v>-681024</v>
          </cell>
          <cell r="F23">
            <v>-1004718.77</v>
          </cell>
          <cell r="G23">
            <v>-621471</v>
          </cell>
          <cell r="H23">
            <v>-982740</v>
          </cell>
          <cell r="I23">
            <v>-1242160</v>
          </cell>
          <cell r="J23">
            <v>-1274873</v>
          </cell>
          <cell r="K23">
            <v>-1281980</v>
          </cell>
          <cell r="L23">
            <v>10323098.77</v>
          </cell>
          <cell r="M23">
            <v>-1285343</v>
          </cell>
          <cell r="N23">
            <v>-1240943</v>
          </cell>
          <cell r="O23">
            <v>-1248982</v>
          </cell>
          <cell r="P23">
            <v>10004292.6</v>
          </cell>
          <cell r="R23" t="str">
            <v>F12060E</v>
          </cell>
          <cell r="S23">
            <v>10004292.6</v>
          </cell>
          <cell r="T23">
            <v>-24440227</v>
          </cell>
        </row>
        <row r="24">
          <cell r="A24" t="str">
            <v>F12061E</v>
          </cell>
          <cell r="B24" t="str">
            <v>NUCLEAR FUEL UNDER CAPITAL LEASES-CWIP</v>
          </cell>
          <cell r="C24">
            <v>16408367.449999999</v>
          </cell>
          <cell r="D24">
            <v>12560.36</v>
          </cell>
          <cell r="E24">
            <v>49697.599999999999</v>
          </cell>
          <cell r="F24">
            <v>-15337173.24</v>
          </cell>
          <cell r="G24">
            <v>6856240.9000000004</v>
          </cell>
          <cell r="H24">
            <v>5352.24</v>
          </cell>
          <cell r="I24">
            <v>-6896213.7199999997</v>
          </cell>
          <cell r="J24">
            <v>3844.23</v>
          </cell>
          <cell r="K24">
            <v>1801688.16</v>
          </cell>
          <cell r="L24">
            <v>32712.83</v>
          </cell>
          <cell r="M24">
            <v>-22810.080000000002</v>
          </cell>
          <cell r="N24">
            <v>46.31</v>
          </cell>
          <cell r="O24">
            <v>6020.6</v>
          </cell>
          <cell r="P24">
            <v>-13488033.809999999</v>
          </cell>
          <cell r="R24" t="str">
            <v>F12061E</v>
          </cell>
          <cell r="S24">
            <v>-13488033.809999999</v>
          </cell>
          <cell r="T24">
            <v>2920333.6400000006</v>
          </cell>
        </row>
        <row r="25">
          <cell r="A25" t="str">
            <v>F12063E</v>
          </cell>
          <cell r="B25" t="str">
            <v>NUCLEAR FUEL UNDER CAPITAL LEASES-PLANT IN SERVICE</v>
          </cell>
          <cell r="C25">
            <v>49608380.289999999</v>
          </cell>
          <cell r="D25">
            <v>-11263234.6</v>
          </cell>
          <cell r="E25">
            <v>0</v>
          </cell>
          <cell r="F25">
            <v>10437380.539999999</v>
          </cell>
          <cell r="G25">
            <v>0</v>
          </cell>
          <cell r="H25">
            <v>0</v>
          </cell>
          <cell r="I25">
            <v>8620041.3300000001</v>
          </cell>
          <cell r="L25">
            <v>-11562035.77</v>
          </cell>
          <cell r="M25">
            <v>0</v>
          </cell>
          <cell r="N25">
            <v>0</v>
          </cell>
          <cell r="O25">
            <v>-1720130.77</v>
          </cell>
          <cell r="P25">
            <v>-5487979.2699999996</v>
          </cell>
          <cell r="R25" t="str">
            <v>F12063E</v>
          </cell>
          <cell r="S25">
            <v>-5487979.2699999996</v>
          </cell>
          <cell r="T25">
            <v>44120401.019999996</v>
          </cell>
        </row>
        <row r="26">
          <cell r="A26" t="str">
            <v>F12100C</v>
          </cell>
          <cell r="B26" t="str">
            <v>NONUTILITY PROPERTY</v>
          </cell>
          <cell r="C26">
            <v>4286989.46</v>
          </cell>
          <cell r="D26">
            <v>-77692.539999999994</v>
          </cell>
          <cell r="E26">
            <v>-378983.98</v>
          </cell>
          <cell r="F26">
            <v>400261.24</v>
          </cell>
          <cell r="G26">
            <v>-389667.86</v>
          </cell>
          <cell r="H26">
            <v>-108297.64</v>
          </cell>
          <cell r="I26">
            <v>-1572581.46</v>
          </cell>
          <cell r="J26">
            <v>-3762</v>
          </cell>
          <cell r="K26">
            <v>-137811.28</v>
          </cell>
          <cell r="L26">
            <v>-852296.66</v>
          </cell>
          <cell r="M26">
            <v>7252.95</v>
          </cell>
          <cell r="N26">
            <v>435095.78</v>
          </cell>
          <cell r="O26">
            <v>588915.35</v>
          </cell>
          <cell r="P26">
            <v>-2089568.0999999992</v>
          </cell>
          <cell r="R26" t="str">
            <v>F12100C</v>
          </cell>
          <cell r="S26">
            <v>-2089568.1</v>
          </cell>
          <cell r="T26">
            <v>2197421.3600000008</v>
          </cell>
        </row>
        <row r="27">
          <cell r="A27" t="str">
            <v>F12200C</v>
          </cell>
          <cell r="B27" t="str">
            <v>ACCUM. PROV. FOR DEPR. AND AMORT.</v>
          </cell>
          <cell r="C27">
            <v>-443633.05</v>
          </cell>
          <cell r="D27">
            <v>-21521.27</v>
          </cell>
          <cell r="E27">
            <v>-21521.29</v>
          </cell>
          <cell r="F27">
            <v>-21522.73</v>
          </cell>
          <cell r="G27">
            <v>-21521.74</v>
          </cell>
          <cell r="H27">
            <v>-21521.759999999998</v>
          </cell>
          <cell r="I27">
            <v>319354.65000000002</v>
          </cell>
          <cell r="J27">
            <v>-12720.56</v>
          </cell>
          <cell r="K27">
            <v>-12720.57</v>
          </cell>
          <cell r="L27">
            <v>-12720.58</v>
          </cell>
          <cell r="M27">
            <v>-12720.57</v>
          </cell>
          <cell r="N27">
            <v>-12720.58</v>
          </cell>
          <cell r="O27">
            <v>-12720.57</v>
          </cell>
          <cell r="P27">
            <v>135422.43000000005</v>
          </cell>
          <cell r="R27" t="str">
            <v>F12200C</v>
          </cell>
          <cell r="S27">
            <v>135422.43</v>
          </cell>
          <cell r="T27">
            <v>-308210.61999999994</v>
          </cell>
        </row>
        <row r="28">
          <cell r="A28" t="str">
            <v>F12310C</v>
          </cell>
          <cell r="B28" t="str">
            <v>INVESTMENT IN SUBSIDIARY COMPANIES</v>
          </cell>
          <cell r="C28">
            <v>3290000</v>
          </cell>
          <cell r="P28">
            <v>0</v>
          </cell>
          <cell r="T28">
            <v>3290000</v>
          </cell>
        </row>
        <row r="29">
          <cell r="A29" t="str">
            <v>F12400C</v>
          </cell>
          <cell r="B29" t="str">
            <v>OTHER INVESTMENTS</v>
          </cell>
          <cell r="C29">
            <v>3286694.9</v>
          </cell>
          <cell r="D29">
            <v>-13250</v>
          </cell>
          <cell r="E29">
            <v>0</v>
          </cell>
          <cell r="F29">
            <v>-187500</v>
          </cell>
          <cell r="G29">
            <v>0</v>
          </cell>
          <cell r="H29">
            <v>0</v>
          </cell>
          <cell r="I29">
            <v>-187500</v>
          </cell>
          <cell r="L29">
            <v>-187500</v>
          </cell>
          <cell r="M29">
            <v>0</v>
          </cell>
          <cell r="N29">
            <v>0</v>
          </cell>
          <cell r="O29">
            <v>-194565</v>
          </cell>
          <cell r="P29">
            <v>-770315</v>
          </cell>
          <cell r="R29" t="str">
            <v>F12400C</v>
          </cell>
          <cell r="S29">
            <v>-770315</v>
          </cell>
          <cell r="T29">
            <v>2516379.9</v>
          </cell>
        </row>
        <row r="30">
          <cell r="A30" t="str">
            <v>F12810C</v>
          </cell>
          <cell r="B30" t="str">
            <v>OTHER SPECIAL FUNDS-DEFERRED CHARGES</v>
          </cell>
          <cell r="C30">
            <v>-421626.48</v>
          </cell>
          <cell r="D30">
            <v>84326</v>
          </cell>
          <cell r="E30">
            <v>84326</v>
          </cell>
          <cell r="F30">
            <v>84326</v>
          </cell>
          <cell r="G30">
            <v>84326</v>
          </cell>
          <cell r="H30">
            <v>84325</v>
          </cell>
          <cell r="I30">
            <v>-1080935.79</v>
          </cell>
          <cell r="J30">
            <v>98267</v>
          </cell>
          <cell r="K30">
            <v>98267</v>
          </cell>
          <cell r="L30">
            <v>98267</v>
          </cell>
          <cell r="M30">
            <v>98267</v>
          </cell>
          <cell r="N30">
            <v>98267</v>
          </cell>
          <cell r="O30">
            <v>98267</v>
          </cell>
          <cell r="P30">
            <v>-69704.790000000037</v>
          </cell>
          <cell r="R30" t="str">
            <v>F12810C</v>
          </cell>
          <cell r="S30">
            <v>-69704.789999999994</v>
          </cell>
          <cell r="T30">
            <v>-491331.27</v>
          </cell>
        </row>
        <row r="31">
          <cell r="A31" t="str">
            <v>F12820C</v>
          </cell>
          <cell r="B31" t="str">
            <v>OTHER SPECIAL FUNDS-SONGS DECOMM</v>
          </cell>
          <cell r="C31">
            <v>494200412</v>
          </cell>
          <cell r="D31">
            <v>1831000</v>
          </cell>
          <cell r="E31">
            <v>1837000</v>
          </cell>
          <cell r="F31">
            <v>-3255770</v>
          </cell>
          <cell r="G31">
            <v>1837000</v>
          </cell>
          <cell r="H31">
            <v>1837000</v>
          </cell>
          <cell r="I31">
            <v>8422353</v>
          </cell>
          <cell r="J31">
            <v>410600</v>
          </cell>
          <cell r="K31">
            <v>410600</v>
          </cell>
          <cell r="L31">
            <v>1116247</v>
          </cell>
          <cell r="M31">
            <v>410600</v>
          </cell>
          <cell r="N31">
            <v>410600</v>
          </cell>
          <cell r="O31">
            <v>41849472</v>
          </cell>
          <cell r="P31">
            <v>57116702</v>
          </cell>
          <cell r="R31" t="str">
            <v>F12820C</v>
          </cell>
          <cell r="S31">
            <v>57116702</v>
          </cell>
          <cell r="T31">
            <v>551317114</v>
          </cell>
        </row>
        <row r="32">
          <cell r="A32" t="str">
            <v>F13100C</v>
          </cell>
          <cell r="B32" t="str">
            <v>CASH</v>
          </cell>
          <cell r="C32">
            <v>7253038.3700000001</v>
          </cell>
          <cell r="D32">
            <v>-2302272.34</v>
          </cell>
          <cell r="E32">
            <v>3642444.14</v>
          </cell>
          <cell r="F32">
            <v>2921138.13</v>
          </cell>
          <cell r="G32">
            <v>-5796722.21</v>
          </cell>
          <cell r="H32">
            <v>7748935.1500000004</v>
          </cell>
          <cell r="I32">
            <v>-2336539.61</v>
          </cell>
          <cell r="J32">
            <v>3501287.95</v>
          </cell>
          <cell r="K32">
            <v>-6155485.9400000004</v>
          </cell>
          <cell r="L32">
            <v>-783810.9</v>
          </cell>
          <cell r="M32">
            <v>4632312.07</v>
          </cell>
          <cell r="N32">
            <v>-5947150.9800000004</v>
          </cell>
          <cell r="O32">
            <v>989436.64</v>
          </cell>
          <cell r="P32">
            <v>113572.09999999998</v>
          </cell>
          <cell r="R32" t="str">
            <v>F13100C</v>
          </cell>
          <cell r="S32">
            <v>113572.1</v>
          </cell>
          <cell r="T32">
            <v>7366610.4699999997</v>
          </cell>
        </row>
        <row r="33">
          <cell r="A33" t="str">
            <v>F13400C</v>
          </cell>
          <cell r="B33" t="str">
            <v>OTHER SPECIAL DEPOSITS</v>
          </cell>
          <cell r="C33">
            <v>2653522.52</v>
          </cell>
          <cell r="D33">
            <v>11016851.99</v>
          </cell>
          <cell r="E33">
            <v>11176345.699999999</v>
          </cell>
          <cell r="F33">
            <v>-22208720.210000001</v>
          </cell>
          <cell r="G33">
            <v>8058113.5199999996</v>
          </cell>
          <cell r="H33">
            <v>7636935.3799999999</v>
          </cell>
          <cell r="I33">
            <v>-15666445.300000001</v>
          </cell>
          <cell r="J33">
            <v>4696726.84</v>
          </cell>
          <cell r="K33">
            <v>7692014.2599999998</v>
          </cell>
          <cell r="L33">
            <v>-14537582.880000001</v>
          </cell>
          <cell r="M33">
            <v>8148650</v>
          </cell>
          <cell r="N33">
            <v>7756426.2400000002</v>
          </cell>
          <cell r="O33">
            <v>-16235446.380000001</v>
          </cell>
          <cell r="P33">
            <v>-2466130.8400000073</v>
          </cell>
          <cell r="R33" t="str">
            <v>F13400C</v>
          </cell>
          <cell r="S33">
            <v>-2466130.84</v>
          </cell>
          <cell r="T33">
            <v>187391.67999999272</v>
          </cell>
        </row>
        <row r="34">
          <cell r="A34" t="str">
            <v>F13500C</v>
          </cell>
          <cell r="B34" t="str">
            <v>WORKING FUND</v>
          </cell>
          <cell r="C34">
            <v>128424</v>
          </cell>
          <cell r="D34">
            <v>-6000</v>
          </cell>
          <cell r="E34">
            <v>0</v>
          </cell>
          <cell r="F34">
            <v>-21764</v>
          </cell>
          <cell r="G34">
            <v>-20</v>
          </cell>
          <cell r="H34">
            <v>300</v>
          </cell>
          <cell r="I34">
            <v>1000</v>
          </cell>
          <cell r="L34">
            <v>-7000</v>
          </cell>
          <cell r="M34">
            <v>-50</v>
          </cell>
          <cell r="N34">
            <v>-5000</v>
          </cell>
          <cell r="O34">
            <v>-50</v>
          </cell>
          <cell r="P34">
            <v>-38584</v>
          </cell>
          <cell r="R34" t="str">
            <v>F13500C</v>
          </cell>
          <cell r="S34">
            <v>-38584</v>
          </cell>
          <cell r="T34">
            <v>89840</v>
          </cell>
        </row>
        <row r="35">
          <cell r="A35" t="str">
            <v>F13600C</v>
          </cell>
          <cell r="B35" t="str">
            <v>TEMPORARY CASH INVESTMENTS</v>
          </cell>
          <cell r="C35">
            <v>273293535.74000001</v>
          </cell>
          <cell r="D35">
            <v>-109893253.75</v>
          </cell>
          <cell r="E35">
            <v>2154956.2200000002</v>
          </cell>
          <cell r="F35">
            <v>12596643.25</v>
          </cell>
          <cell r="G35">
            <v>49214338.359999999</v>
          </cell>
          <cell r="H35">
            <v>234568698.16999999</v>
          </cell>
          <cell r="I35">
            <v>-118953286.48</v>
          </cell>
          <cell r="J35">
            <v>-19373966.949999999</v>
          </cell>
          <cell r="K35">
            <v>27948461.41</v>
          </cell>
          <cell r="L35">
            <v>-61405467</v>
          </cell>
          <cell r="M35">
            <v>20452746.75</v>
          </cell>
          <cell r="N35">
            <v>28533350.530000001</v>
          </cell>
          <cell r="O35">
            <v>-9847909.9299999997</v>
          </cell>
          <cell r="P35">
            <v>55995310.579999991</v>
          </cell>
          <cell r="R35" t="str">
            <v>F13600C</v>
          </cell>
          <cell r="S35">
            <v>55995310.580000013</v>
          </cell>
          <cell r="T35">
            <v>329288846.31999999</v>
          </cell>
        </row>
        <row r="36">
          <cell r="A36" t="str">
            <v>F14200C</v>
          </cell>
          <cell r="B36" t="str">
            <v>CUSTOMER ACCOUNTS RECEIVABLE</v>
          </cell>
          <cell r="C36">
            <v>122107803.31</v>
          </cell>
          <cell r="D36">
            <v>10594900.17</v>
          </cell>
          <cell r="E36">
            <v>56522090.869999997</v>
          </cell>
          <cell r="F36">
            <v>-66285609.210000001</v>
          </cell>
          <cell r="G36">
            <v>-342342.32</v>
          </cell>
          <cell r="H36">
            <v>9003.7000000000007</v>
          </cell>
          <cell r="I36">
            <v>3374412.53</v>
          </cell>
          <cell r="J36">
            <v>16425675.710000001</v>
          </cell>
          <cell r="K36">
            <v>-21913787.559999999</v>
          </cell>
          <cell r="L36">
            <v>5551833.0199999996</v>
          </cell>
          <cell r="M36">
            <v>4517188.66</v>
          </cell>
          <cell r="N36">
            <v>-2089780.42</v>
          </cell>
          <cell r="O36">
            <v>-2284549.02</v>
          </cell>
          <cell r="P36">
            <v>4079036.1299999929</v>
          </cell>
          <cell r="R36" t="str">
            <v>F14200C</v>
          </cell>
          <cell r="S36">
            <v>4079036.1300000101</v>
          </cell>
          <cell r="T36">
            <v>126186839.44</v>
          </cell>
        </row>
        <row r="37">
          <cell r="A37" t="str">
            <v>F14300C</v>
          </cell>
          <cell r="B37" t="str">
            <v>OTHER ACCOUNTS RECEIVABLE</v>
          </cell>
          <cell r="C37">
            <v>26527174.949999999</v>
          </cell>
          <cell r="D37">
            <v>-2381703.5099999998</v>
          </cell>
          <cell r="E37">
            <v>-1451375.3</v>
          </cell>
          <cell r="F37">
            <v>-8505067.5099999998</v>
          </cell>
          <cell r="G37">
            <v>3849028.18</v>
          </cell>
          <cell r="H37">
            <v>4647981.1900000004</v>
          </cell>
          <cell r="I37">
            <v>2975070.04</v>
          </cell>
          <cell r="J37">
            <v>-4194106.94</v>
          </cell>
          <cell r="K37">
            <v>-6096157.6500000004</v>
          </cell>
          <cell r="L37">
            <v>418747.99</v>
          </cell>
          <cell r="M37">
            <v>-3483867.73</v>
          </cell>
          <cell r="N37">
            <v>-821906.35</v>
          </cell>
          <cell r="O37">
            <v>1302492.7</v>
          </cell>
          <cell r="P37">
            <v>-13740864.890000001</v>
          </cell>
          <cell r="R37" t="str">
            <v>F14300C</v>
          </cell>
          <cell r="S37">
            <v>-13740864.890000001</v>
          </cell>
          <cell r="T37">
            <v>12786310.059999999</v>
          </cell>
        </row>
        <row r="38">
          <cell r="A38" t="str">
            <v>F14400C</v>
          </cell>
          <cell r="B38" t="str">
            <v>ACCUM. PROV. FOR UNCOLLECTIBLE ACCT.-CREDIT</v>
          </cell>
          <cell r="C38">
            <v>-2541471.9</v>
          </cell>
          <cell r="N38">
            <v>0</v>
          </cell>
          <cell r="O38">
            <v>624891</v>
          </cell>
          <cell r="P38">
            <v>624891</v>
          </cell>
          <cell r="R38" t="str">
            <v>F14400C</v>
          </cell>
          <cell r="S38">
            <v>624891</v>
          </cell>
          <cell r="T38">
            <v>-1916580.9</v>
          </cell>
        </row>
        <row r="39">
          <cell r="A39" t="str">
            <v>F14500C</v>
          </cell>
          <cell r="B39" t="str">
            <v>NOTES REC FROM ASSOC</v>
          </cell>
          <cell r="C39">
            <v>100587330.12</v>
          </cell>
          <cell r="D39">
            <v>13771000</v>
          </cell>
          <cell r="E39">
            <v>14490000</v>
          </cell>
          <cell r="F39">
            <v>23675000</v>
          </cell>
          <cell r="G39">
            <v>0</v>
          </cell>
          <cell r="H39">
            <v>166116829.78999999</v>
          </cell>
          <cell r="I39">
            <v>92403875.769999996</v>
          </cell>
          <cell r="J39">
            <v>140410043.41</v>
          </cell>
          <cell r="K39">
            <v>29182199.260000002</v>
          </cell>
          <cell r="L39">
            <v>8242300.9500000002</v>
          </cell>
          <cell r="M39">
            <v>5309926.54</v>
          </cell>
          <cell r="N39">
            <v>-5148302.0199999996</v>
          </cell>
          <cell r="O39">
            <v>23191737.629999999</v>
          </cell>
          <cell r="P39">
            <v>511644611.33000004</v>
          </cell>
          <cell r="R39" t="str">
            <v>F14500C</v>
          </cell>
          <cell r="S39">
            <v>511644611.32999998</v>
          </cell>
          <cell r="T39">
            <v>612231941.45000005</v>
          </cell>
        </row>
        <row r="40">
          <cell r="A40" t="str">
            <v>F14600C</v>
          </cell>
          <cell r="B40" t="str">
            <v>ACCOUNTS RECEIVABLE FROM ASSOC. COMPANIES</v>
          </cell>
          <cell r="C40">
            <v>135215287.66</v>
          </cell>
          <cell r="D40">
            <v>-43416974.030000001</v>
          </cell>
          <cell r="E40">
            <v>5206839.92</v>
          </cell>
          <cell r="F40">
            <v>-20397386.91</v>
          </cell>
          <cell r="G40">
            <v>30486235.949999999</v>
          </cell>
          <cell r="H40">
            <v>-1875653.16</v>
          </cell>
          <cell r="I40">
            <v>-22326308.699999999</v>
          </cell>
          <cell r="J40">
            <v>-121854116.54000001</v>
          </cell>
          <cell r="K40">
            <v>-16202132.710000001</v>
          </cell>
          <cell r="L40">
            <v>34734974.829999998</v>
          </cell>
          <cell r="M40">
            <v>-7040870.3300000001</v>
          </cell>
          <cell r="N40">
            <v>-1319628.92</v>
          </cell>
          <cell r="O40">
            <v>14808167.42</v>
          </cell>
          <cell r="P40">
            <v>-149196853.18000004</v>
          </cell>
          <cell r="R40" t="str">
            <v>F14600C</v>
          </cell>
          <cell r="S40">
            <v>-149196853.18000001</v>
          </cell>
          <cell r="T40">
            <v>-13981565.520000041</v>
          </cell>
        </row>
        <row r="41">
          <cell r="A41" t="str">
            <v>F15100C</v>
          </cell>
          <cell r="B41" t="str">
            <v>FUEL STOCK</v>
          </cell>
          <cell r="C41">
            <v>7705214.5099999998</v>
          </cell>
          <cell r="D41">
            <v>52965.29</v>
          </cell>
          <cell r="E41">
            <v>0</v>
          </cell>
          <cell r="H41">
            <v>-2889156.82</v>
          </cell>
          <cell r="I41">
            <v>-4869022.9800000004</v>
          </cell>
          <cell r="P41">
            <v>-7705214.5099999998</v>
          </cell>
          <cell r="R41" t="str">
            <v>F15100C</v>
          </cell>
          <cell r="S41">
            <v>-7705214.5099999998</v>
          </cell>
          <cell r="T41">
            <v>0</v>
          </cell>
        </row>
        <row r="42">
          <cell r="A42" t="str">
            <v>F15200C</v>
          </cell>
          <cell r="B42" t="str">
            <v>FUEL STOCK EXPENSES UNDISTRIBUTED</v>
          </cell>
          <cell r="C42">
            <v>79374.100000000006</v>
          </cell>
          <cell r="D42">
            <v>-79381.84</v>
          </cell>
          <cell r="E42">
            <v>31174.93</v>
          </cell>
          <cell r="F42">
            <v>1753.88</v>
          </cell>
          <cell r="G42">
            <v>643</v>
          </cell>
          <cell r="H42">
            <v>1133.02</v>
          </cell>
          <cell r="I42">
            <v>-34704.629999999997</v>
          </cell>
          <cell r="J42">
            <v>1797.09</v>
          </cell>
          <cell r="K42">
            <v>1797.09</v>
          </cell>
          <cell r="L42">
            <v>-111.44</v>
          </cell>
          <cell r="M42">
            <v>2000</v>
          </cell>
          <cell r="N42">
            <v>1797</v>
          </cell>
          <cell r="O42">
            <v>1797.09</v>
          </cell>
          <cell r="P42">
            <v>-70304.810000000012</v>
          </cell>
          <cell r="R42" t="str">
            <v>F15200C</v>
          </cell>
          <cell r="S42">
            <v>-70304.81</v>
          </cell>
          <cell r="T42">
            <v>9069.2899999999936</v>
          </cell>
        </row>
        <row r="43">
          <cell r="A43" t="str">
            <v>F15400C</v>
          </cell>
          <cell r="B43" t="str">
            <v>PLANT MATERIALS AND OPERATING SUPPLIES</v>
          </cell>
          <cell r="C43">
            <v>48816486.640000001</v>
          </cell>
          <cell r="D43">
            <v>-836281.71</v>
          </cell>
          <cell r="E43">
            <v>-497018.7</v>
          </cell>
          <cell r="F43">
            <v>-170844.4</v>
          </cell>
          <cell r="G43">
            <v>-923785.38</v>
          </cell>
          <cell r="H43">
            <v>-3936208.49</v>
          </cell>
          <cell r="I43">
            <v>-5899362.2199999997</v>
          </cell>
          <cell r="J43">
            <v>-715067.33</v>
          </cell>
          <cell r="K43">
            <v>825969.94</v>
          </cell>
          <cell r="L43">
            <v>1931363.65</v>
          </cell>
          <cell r="M43">
            <v>2948023.75</v>
          </cell>
          <cell r="N43">
            <v>4117214.98</v>
          </cell>
          <cell r="O43">
            <v>3719303.27</v>
          </cell>
          <cell r="P43">
            <v>563307.36000000127</v>
          </cell>
          <cell r="R43" t="str">
            <v>F15400C</v>
          </cell>
          <cell r="S43">
            <v>563307.36</v>
          </cell>
          <cell r="T43">
            <v>49379794</v>
          </cell>
        </row>
        <row r="44">
          <cell r="A44" t="str">
            <v>F15600C</v>
          </cell>
          <cell r="B44" t="str">
            <v>OTHER MATERIALS AND SUPPLIES</v>
          </cell>
          <cell r="C44">
            <v>0</v>
          </cell>
          <cell r="F44">
            <v>-1233.3900000000001</v>
          </cell>
          <cell r="G44">
            <v>2636.94</v>
          </cell>
          <cell r="H44">
            <v>215.32</v>
          </cell>
          <cell r="I44">
            <v>-14003.33</v>
          </cell>
          <cell r="J44">
            <v>9487.5499999999993</v>
          </cell>
          <cell r="K44">
            <v>21745.85</v>
          </cell>
          <cell r="L44">
            <v>10715</v>
          </cell>
          <cell r="M44">
            <v>7360.63</v>
          </cell>
          <cell r="N44">
            <v>5721.28</v>
          </cell>
          <cell r="O44">
            <v>1806.85</v>
          </cell>
          <cell r="P44">
            <v>44452.7</v>
          </cell>
          <cell r="R44" t="str">
            <v>F15600C</v>
          </cell>
          <cell r="S44">
            <v>44452.7</v>
          </cell>
          <cell r="T44">
            <v>44452.7</v>
          </cell>
        </row>
        <row r="45">
          <cell r="A45" t="str">
            <v>F15700C</v>
          </cell>
          <cell r="B45" t="str">
            <v>NUCLEAR MATERIALS HELD FOR SALE</v>
          </cell>
          <cell r="C45">
            <v>134.83000000000001</v>
          </cell>
          <cell r="P45">
            <v>0</v>
          </cell>
          <cell r="T45">
            <v>134.83000000000001</v>
          </cell>
        </row>
        <row r="46">
          <cell r="A46" t="str">
            <v>F16300C</v>
          </cell>
          <cell r="B46" t="str">
            <v>STORES EXPENSE UNDISTRIBUTED</v>
          </cell>
          <cell r="C46">
            <v>-1509555.76</v>
          </cell>
          <cell r="D46">
            <v>-151770.68</v>
          </cell>
          <cell r="E46">
            <v>483341.04</v>
          </cell>
          <cell r="F46">
            <v>424791.65</v>
          </cell>
          <cell r="G46">
            <v>-1512318.97</v>
          </cell>
          <cell r="H46">
            <v>598505.09</v>
          </cell>
          <cell r="I46">
            <v>318551.74</v>
          </cell>
          <cell r="J46">
            <v>258254.77</v>
          </cell>
          <cell r="K46">
            <v>966593.11</v>
          </cell>
          <cell r="L46">
            <v>323636.59000000003</v>
          </cell>
          <cell r="M46">
            <v>34804.589999999997</v>
          </cell>
          <cell r="N46">
            <v>694839.65</v>
          </cell>
          <cell r="O46">
            <v>158167.95000000001</v>
          </cell>
          <cell r="P46">
            <v>2597396.5300000003</v>
          </cell>
          <cell r="R46" t="str">
            <v>F16300C</v>
          </cell>
          <cell r="S46">
            <v>2597396.5299999998</v>
          </cell>
          <cell r="T46">
            <v>1087840.7700000003</v>
          </cell>
        </row>
        <row r="47">
          <cell r="A47" t="str">
            <v>F16410C</v>
          </cell>
          <cell r="B47" t="str">
            <v>GAS STORED UNDERGROUND-CURRENT</v>
          </cell>
          <cell r="C47">
            <v>21486265.879999999</v>
          </cell>
          <cell r="D47">
            <v>-4539931</v>
          </cell>
          <cell r="E47">
            <v>-14323562</v>
          </cell>
          <cell r="F47">
            <v>9698809</v>
          </cell>
          <cell r="G47">
            <v>-5071470</v>
          </cell>
          <cell r="H47">
            <v>1722153</v>
          </cell>
          <cell r="I47">
            <v>2761146</v>
          </cell>
          <cell r="J47">
            <v>1994117</v>
          </cell>
          <cell r="K47">
            <v>-73786</v>
          </cell>
          <cell r="L47">
            <v>3992132</v>
          </cell>
          <cell r="M47">
            <v>1871222</v>
          </cell>
          <cell r="N47">
            <v>-3613155</v>
          </cell>
          <cell r="O47">
            <v>-5278740</v>
          </cell>
          <cell r="P47">
            <v>-10861065</v>
          </cell>
          <cell r="R47" t="str">
            <v>F16410C</v>
          </cell>
          <cell r="S47">
            <v>-10861065</v>
          </cell>
          <cell r="T47">
            <v>10625200.879999999</v>
          </cell>
        </row>
        <row r="48">
          <cell r="A48" t="str">
            <v>F16420C</v>
          </cell>
          <cell r="B48" t="str">
            <v>LIQUEFIED NATURAL GAS STORED</v>
          </cell>
          <cell r="C48">
            <v>0</v>
          </cell>
          <cell r="F48">
            <v>1288</v>
          </cell>
          <cell r="G48">
            <v>915</v>
          </cell>
          <cell r="H48">
            <v>-3608</v>
          </cell>
          <cell r="I48">
            <v>1338</v>
          </cell>
          <cell r="J48">
            <v>-1951</v>
          </cell>
          <cell r="K48">
            <v>1130</v>
          </cell>
          <cell r="L48">
            <v>1243</v>
          </cell>
          <cell r="M48">
            <v>-6.17</v>
          </cell>
          <cell r="N48">
            <v>1493.47</v>
          </cell>
          <cell r="O48">
            <v>1105.1099999999999</v>
          </cell>
          <cell r="P48">
            <v>2947.41</v>
          </cell>
          <cell r="R48" t="str">
            <v>F16420C</v>
          </cell>
          <cell r="S48">
            <v>2947.41</v>
          </cell>
          <cell r="T48">
            <v>2947.41</v>
          </cell>
        </row>
        <row r="49">
          <cell r="A49" t="str">
            <v>F16500C</v>
          </cell>
          <cell r="B49" t="str">
            <v>PREPAYMENTS</v>
          </cell>
          <cell r="C49">
            <v>6855148.4299999997</v>
          </cell>
          <cell r="D49">
            <v>-471815.58</v>
          </cell>
          <cell r="E49">
            <v>-188436.48000000001</v>
          </cell>
          <cell r="F49">
            <v>1064860.33</v>
          </cell>
          <cell r="G49">
            <v>6336243.4299999997</v>
          </cell>
          <cell r="H49">
            <v>122314.4</v>
          </cell>
          <cell r="I49">
            <v>-5397097.1500000004</v>
          </cell>
          <cell r="J49">
            <v>769827.27</v>
          </cell>
          <cell r="K49">
            <v>691599.39</v>
          </cell>
          <cell r="L49">
            <v>-6411639.5499999998</v>
          </cell>
          <cell r="M49">
            <v>155374.43</v>
          </cell>
          <cell r="N49">
            <v>-427336.33</v>
          </cell>
          <cell r="O49">
            <v>1878511.54</v>
          </cell>
          <cell r="P49">
            <v>-1877594.3000000003</v>
          </cell>
          <cell r="R49" t="str">
            <v>F16500C</v>
          </cell>
          <cell r="S49">
            <v>-1877594.3</v>
          </cell>
          <cell r="T49">
            <v>4977554.129999999</v>
          </cell>
        </row>
        <row r="50">
          <cell r="A50" t="str">
            <v>F17100C</v>
          </cell>
          <cell r="B50" t="str">
            <v>INTEREST AND DIVIDENDS RECEIVABLE</v>
          </cell>
          <cell r="C50">
            <v>2425663.2599999998</v>
          </cell>
          <cell r="D50">
            <v>128653.16</v>
          </cell>
          <cell r="E50">
            <v>-742567.28</v>
          </cell>
          <cell r="F50">
            <v>-1041992.9</v>
          </cell>
          <cell r="G50">
            <v>-516581.77</v>
          </cell>
          <cell r="H50">
            <v>525550.31999999995</v>
          </cell>
          <cell r="I50">
            <v>187230.34</v>
          </cell>
          <cell r="J50">
            <v>-336017.68</v>
          </cell>
          <cell r="K50">
            <v>232868.99</v>
          </cell>
          <cell r="L50">
            <v>-230013.24</v>
          </cell>
          <cell r="M50">
            <v>154042.28</v>
          </cell>
          <cell r="N50">
            <v>640484.81000000006</v>
          </cell>
          <cell r="O50">
            <v>761484.05</v>
          </cell>
          <cell r="P50">
            <v>-236858.91999999993</v>
          </cell>
          <cell r="R50" t="str">
            <v>F17100C</v>
          </cell>
          <cell r="S50">
            <v>-236858.92</v>
          </cell>
          <cell r="T50">
            <v>2188804.34</v>
          </cell>
        </row>
        <row r="51">
          <cell r="A51" t="str">
            <v>F17300C</v>
          </cell>
          <cell r="B51" t="str">
            <v>ACCRUED UTILITY REVENUES</v>
          </cell>
          <cell r="C51">
            <v>50095000</v>
          </cell>
          <cell r="N51">
            <v>0</v>
          </cell>
          <cell r="O51">
            <v>2264000</v>
          </cell>
          <cell r="P51">
            <v>2264000</v>
          </cell>
          <cell r="R51" t="str">
            <v>F17300C</v>
          </cell>
          <cell r="S51">
            <v>2264000</v>
          </cell>
          <cell r="T51">
            <v>52359000</v>
          </cell>
        </row>
        <row r="52">
          <cell r="A52" t="str">
            <v>F17400C</v>
          </cell>
          <cell r="B52" t="str">
            <v>MISCELLANEOUS CURRENT AND ACCRUED ASSETS</v>
          </cell>
          <cell r="C52">
            <v>279744079.57999998</v>
          </cell>
          <cell r="D52">
            <v>4728214.83</v>
          </cell>
          <cell r="E52">
            <v>-19593142</v>
          </cell>
          <cell r="P52">
            <v>-14864927.17</v>
          </cell>
          <cell r="R52" t="str">
            <v>F17400C</v>
          </cell>
          <cell r="S52">
            <v>-14864927.17</v>
          </cell>
          <cell r="T52">
            <v>264879152.41</v>
          </cell>
        </row>
        <row r="53">
          <cell r="A53" t="str">
            <v>F17401C</v>
          </cell>
          <cell r="B53" t="str">
            <v>MISC. CURRENT AND ACCRUED ASSETS-BALANCING ACCOUNT</v>
          </cell>
          <cell r="C53">
            <v>8884450.8300000001</v>
          </cell>
          <cell r="D53">
            <v>-8884450.8300000001</v>
          </cell>
          <cell r="E53">
            <v>0</v>
          </cell>
          <cell r="F53">
            <v>-121903706.59999999</v>
          </cell>
          <cell r="G53">
            <v>-4487780.9800000004</v>
          </cell>
          <cell r="H53">
            <v>-36610795</v>
          </cell>
          <cell r="I53">
            <v>-46445366.420000002</v>
          </cell>
          <cell r="J53">
            <v>3920775</v>
          </cell>
          <cell r="K53">
            <v>-5567834</v>
          </cell>
          <cell r="L53">
            <v>-24443</v>
          </cell>
          <cell r="M53">
            <v>13386610</v>
          </cell>
          <cell r="N53">
            <v>-12408714</v>
          </cell>
          <cell r="O53">
            <v>-8958518</v>
          </cell>
          <cell r="P53">
            <v>-227984223.82999998</v>
          </cell>
          <cell r="R53" t="str">
            <v>F17401C</v>
          </cell>
          <cell r="S53">
            <v>-227984223.83000001</v>
          </cell>
          <cell r="T53">
            <v>-219099772.99999997</v>
          </cell>
        </row>
        <row r="54">
          <cell r="A54" t="str">
            <v>F18100C</v>
          </cell>
          <cell r="B54" t="str">
            <v>UNAMORTIZED DEBT EXPENSES</v>
          </cell>
          <cell r="C54">
            <v>12158969.529999999</v>
          </cell>
          <cell r="D54">
            <v>-12424.35</v>
          </cell>
          <cell r="E54">
            <v>-49474.69</v>
          </cell>
          <cell r="F54">
            <v>-49387.73</v>
          </cell>
          <cell r="G54">
            <v>-49387.76</v>
          </cell>
          <cell r="H54">
            <v>-49387.76</v>
          </cell>
          <cell r="I54">
            <v>-49387.73</v>
          </cell>
          <cell r="J54">
            <v>-264198.58</v>
          </cell>
          <cell r="K54">
            <v>-48595.93</v>
          </cell>
          <cell r="L54">
            <v>-48716.09</v>
          </cell>
          <cell r="M54">
            <v>-48716.09</v>
          </cell>
          <cell r="N54">
            <v>-48716.09</v>
          </cell>
          <cell r="O54">
            <v>-48715.93</v>
          </cell>
          <cell r="P54">
            <v>-767108.73</v>
          </cell>
          <cell r="R54" t="str">
            <v>F18100C</v>
          </cell>
          <cell r="S54">
            <v>-767108.73</v>
          </cell>
          <cell r="T54">
            <v>11391860.799999999</v>
          </cell>
        </row>
        <row r="55">
          <cell r="A55" t="str">
            <v>F18220C</v>
          </cell>
          <cell r="B55" t="str">
            <v>UNRECOVERED PLANT AND REGULATORY STUDY COSTS</v>
          </cell>
          <cell r="C55">
            <v>5184246.34</v>
          </cell>
          <cell r="D55">
            <v>-144006</v>
          </cell>
          <cell r="E55">
            <v>-144006</v>
          </cell>
          <cell r="F55">
            <v>-144006</v>
          </cell>
          <cell r="G55">
            <v>-144006</v>
          </cell>
          <cell r="H55">
            <v>-144006</v>
          </cell>
          <cell r="I55">
            <v>-3846554.51</v>
          </cell>
          <cell r="J55">
            <v>1153585.75</v>
          </cell>
          <cell r="K55">
            <v>-1771194.31</v>
          </cell>
          <cell r="L55">
            <v>0</v>
          </cell>
          <cell r="M55">
            <v>0</v>
          </cell>
          <cell r="P55">
            <v>-5184193.07</v>
          </cell>
          <cell r="R55" t="str">
            <v>F18220C</v>
          </cell>
          <cell r="S55">
            <v>-5184193.07</v>
          </cell>
          <cell r="T55">
            <v>53.269999999552965</v>
          </cell>
        </row>
        <row r="56">
          <cell r="A56" t="str">
            <v>F18230C</v>
          </cell>
          <cell r="B56" t="str">
            <v>OTHER REGULATORY ASSETS</v>
          </cell>
          <cell r="C56">
            <v>369379535.26999998</v>
          </cell>
          <cell r="D56">
            <v>-4085369.99</v>
          </cell>
          <cell r="E56">
            <v>-4101369.99</v>
          </cell>
          <cell r="F56">
            <v>-5743369.9900000002</v>
          </cell>
          <cell r="G56">
            <v>-3023369.99</v>
          </cell>
          <cell r="H56">
            <v>-24538369.989999998</v>
          </cell>
          <cell r="I56">
            <v>-82470056.989999995</v>
          </cell>
          <cell r="J56">
            <v>-305463.99</v>
          </cell>
          <cell r="K56">
            <v>-305463.99</v>
          </cell>
          <cell r="L56">
            <v>-7393463.9900000002</v>
          </cell>
          <cell r="M56">
            <v>-305463.99</v>
          </cell>
          <cell r="N56">
            <v>459536.01</v>
          </cell>
          <cell r="O56">
            <v>14144278.02</v>
          </cell>
          <cell r="P56">
            <v>-117667948.86999997</v>
          </cell>
          <cell r="R56" t="str">
            <v>F18230C</v>
          </cell>
          <cell r="S56">
            <v>-117667948.87</v>
          </cell>
          <cell r="T56">
            <v>251711586.40000001</v>
          </cell>
        </row>
        <row r="57">
          <cell r="A57" t="str">
            <v>F18300C</v>
          </cell>
          <cell r="B57" t="str">
            <v>PRELIM. SURVEY AND INVESTIGATION CHARGES (ELECTRIC</v>
          </cell>
          <cell r="C57">
            <v>5938482.5999999996</v>
          </cell>
          <cell r="D57">
            <v>18261.54</v>
          </cell>
          <cell r="E57">
            <v>-6792.43</v>
          </cell>
          <cell r="F57">
            <v>1193.92</v>
          </cell>
          <cell r="G57">
            <v>2994.85</v>
          </cell>
          <cell r="H57">
            <v>63039.43</v>
          </cell>
          <cell r="I57">
            <v>222750.41</v>
          </cell>
          <cell r="J57">
            <v>20914.830000000002</v>
          </cell>
          <cell r="K57">
            <v>504999.9</v>
          </cell>
          <cell r="L57">
            <v>215092.68</v>
          </cell>
          <cell r="M57">
            <v>-2658006.11</v>
          </cell>
          <cell r="N57">
            <v>7549.4</v>
          </cell>
          <cell r="O57">
            <v>97724.22</v>
          </cell>
          <cell r="P57">
            <v>-1510277.36</v>
          </cell>
          <cell r="R57" t="str">
            <v>F18300C</v>
          </cell>
          <cell r="S57">
            <v>-1510277.36</v>
          </cell>
          <cell r="T57">
            <v>4428205.2399999993</v>
          </cell>
        </row>
        <row r="58">
          <cell r="A58" t="str">
            <v>F18400C</v>
          </cell>
          <cell r="B58" t="str">
            <v>CLEARING ACCOUNTS</v>
          </cell>
          <cell r="C58">
            <v>2797738.38</v>
          </cell>
          <cell r="D58">
            <v>713282.05</v>
          </cell>
          <cell r="E58">
            <v>2728653.51</v>
          </cell>
          <cell r="F58">
            <v>-1382641.58</v>
          </cell>
          <cell r="G58">
            <v>-185873.46</v>
          </cell>
          <cell r="H58">
            <v>57516.46</v>
          </cell>
          <cell r="I58">
            <v>253673.53</v>
          </cell>
          <cell r="J58">
            <v>-446273.18</v>
          </cell>
          <cell r="K58">
            <v>-1949517.69</v>
          </cell>
          <cell r="L58">
            <v>-1537013.03</v>
          </cell>
          <cell r="M58">
            <v>-667542.81999999995</v>
          </cell>
          <cell r="N58">
            <v>864076.26</v>
          </cell>
          <cell r="O58">
            <v>-1281085.1399999999</v>
          </cell>
          <cell r="P58">
            <v>-2832745.0900000003</v>
          </cell>
          <cell r="R58" t="str">
            <v>F18400C</v>
          </cell>
          <cell r="S58">
            <v>-2832745.09</v>
          </cell>
          <cell r="T58">
            <v>-35006.710000000428</v>
          </cell>
        </row>
        <row r="59">
          <cell r="A59" t="str">
            <v>F18500C</v>
          </cell>
          <cell r="B59" t="str">
            <v>TEMPORARY FACILITIES</v>
          </cell>
          <cell r="C59">
            <v>165481.65</v>
          </cell>
          <cell r="D59">
            <v>-254743.06</v>
          </cell>
          <cell r="E59">
            <v>-36618.089999999997</v>
          </cell>
          <cell r="F59">
            <v>-7832.54</v>
          </cell>
          <cell r="G59">
            <v>-11570.47</v>
          </cell>
          <cell r="H59">
            <v>-33511.9</v>
          </cell>
          <cell r="I59">
            <v>-27185.64</v>
          </cell>
          <cell r="J59">
            <v>-37944.54</v>
          </cell>
          <cell r="K59">
            <v>191.87</v>
          </cell>
          <cell r="L59">
            <v>7216.88</v>
          </cell>
          <cell r="M59">
            <v>-25534.93</v>
          </cell>
          <cell r="N59">
            <v>-25642.17</v>
          </cell>
          <cell r="O59">
            <v>299289.88</v>
          </cell>
          <cell r="P59">
            <v>-153884.70999999996</v>
          </cell>
          <cell r="R59" t="str">
            <v>F18500C</v>
          </cell>
          <cell r="S59">
            <v>-153884.71</v>
          </cell>
          <cell r="T59">
            <v>11596.940000000031</v>
          </cell>
        </row>
        <row r="60">
          <cell r="A60" t="str">
            <v>F18600C</v>
          </cell>
          <cell r="B60" t="str">
            <v>MISCELLANEOUS DEFERRED DEBITS</v>
          </cell>
          <cell r="C60">
            <v>115656068.19</v>
          </cell>
          <cell r="D60">
            <v>9585035.9299999997</v>
          </cell>
          <cell r="E60">
            <v>8423794.9100000001</v>
          </cell>
          <cell r="F60">
            <v>12884516.119999999</v>
          </cell>
          <cell r="G60">
            <v>10201343.82</v>
          </cell>
          <cell r="H60">
            <v>10913124.130000001</v>
          </cell>
          <cell r="I60">
            <v>7779202.5199999996</v>
          </cell>
          <cell r="J60">
            <v>-4584341.32</v>
          </cell>
          <cell r="K60">
            <v>-7126811.7400000002</v>
          </cell>
          <cell r="L60">
            <v>-2869800.66</v>
          </cell>
          <cell r="M60">
            <v>-2578203.91</v>
          </cell>
          <cell r="N60">
            <v>-3115714.41</v>
          </cell>
          <cell r="O60">
            <v>427228297.48000002</v>
          </cell>
          <cell r="P60">
            <v>466740442.87</v>
          </cell>
          <cell r="R60" t="str">
            <v>F18600C</v>
          </cell>
          <cell r="S60">
            <v>466740442.86999995</v>
          </cell>
          <cell r="T60">
            <v>582396511.05999994</v>
          </cell>
        </row>
        <row r="61">
          <cell r="A61" t="str">
            <v>F18800C</v>
          </cell>
          <cell r="B61" t="str">
            <v>RESEARCH  DEVEL. AND DEMONSTRATION EXPEND.</v>
          </cell>
          <cell r="C61">
            <v>0</v>
          </cell>
          <cell r="D61">
            <v>384.14</v>
          </cell>
          <cell r="E61">
            <v>-5103.2299999999996</v>
          </cell>
          <cell r="P61">
            <v>-4719.0899999999992</v>
          </cell>
          <cell r="R61" t="str">
            <v>F18800C</v>
          </cell>
          <cell r="S61">
            <v>-4719.09</v>
          </cell>
          <cell r="T61">
            <v>-4719.0899999999992</v>
          </cell>
        </row>
        <row r="62">
          <cell r="A62" t="str">
            <v>F18900C</v>
          </cell>
          <cell r="B62" t="str">
            <v>UNAMORTIZED LOSS ON REACQUIRED DEBT</v>
          </cell>
          <cell r="C62">
            <v>75672807.569999993</v>
          </cell>
          <cell r="D62">
            <v>-776216.36</v>
          </cell>
          <cell r="E62">
            <v>-676803.03</v>
          </cell>
          <cell r="F62">
            <v>-676802.95</v>
          </cell>
          <cell r="G62">
            <v>-676803.04</v>
          </cell>
          <cell r="H62">
            <v>-676802.94</v>
          </cell>
          <cell r="I62">
            <v>-9554134.8900000006</v>
          </cell>
          <cell r="J62">
            <v>40384.69</v>
          </cell>
          <cell r="K62">
            <v>-382477.7</v>
          </cell>
          <cell r="L62">
            <v>-382477.76</v>
          </cell>
          <cell r="M62">
            <v>-382477.76</v>
          </cell>
          <cell r="N62">
            <v>-382477.76</v>
          </cell>
          <cell r="O62">
            <v>-382477.62</v>
          </cell>
          <cell r="P62">
            <v>-14909567.119999999</v>
          </cell>
          <cell r="R62" t="str">
            <v>F18900C</v>
          </cell>
          <cell r="S62">
            <v>-14909567.120000001</v>
          </cell>
          <cell r="T62">
            <v>60763240.449999996</v>
          </cell>
        </row>
        <row r="63">
          <cell r="A63" t="str">
            <v>F19000C</v>
          </cell>
          <cell r="B63" t="str">
            <v>ACCUMULATED DEFERRED INCOME TAXES</v>
          </cell>
          <cell r="C63">
            <v>0</v>
          </cell>
          <cell r="D63">
            <v>-20913807</v>
          </cell>
          <cell r="E63">
            <v>0</v>
          </cell>
          <cell r="F63">
            <v>68000</v>
          </cell>
          <cell r="G63">
            <v>75000</v>
          </cell>
          <cell r="H63">
            <v>20770807</v>
          </cell>
          <cell r="I63">
            <v>0</v>
          </cell>
          <cell r="J63">
            <v>-30496807</v>
          </cell>
          <cell r="K63">
            <v>-904000</v>
          </cell>
          <cell r="L63">
            <v>-3060000</v>
          </cell>
          <cell r="M63">
            <v>-2044000</v>
          </cell>
          <cell r="N63">
            <v>-67973000</v>
          </cell>
          <cell r="O63">
            <v>13707000</v>
          </cell>
          <cell r="P63">
            <v>-90770807</v>
          </cell>
          <cell r="R63" t="str">
            <v>F19000C</v>
          </cell>
          <cell r="S63">
            <v>-90770807</v>
          </cell>
          <cell r="T63">
            <v>-90770807</v>
          </cell>
        </row>
        <row r="64">
          <cell r="A64" t="str">
            <v>F19001C</v>
          </cell>
          <cell r="B64" t="str">
            <v>ACCUM DEFERRED INCOME TAXES-OTHER</v>
          </cell>
          <cell r="C64">
            <v>-20954807</v>
          </cell>
          <cell r="D64">
            <v>20954807</v>
          </cell>
          <cell r="E64">
            <v>0</v>
          </cell>
          <cell r="H64">
            <v>-20725807</v>
          </cell>
          <cell r="I64">
            <v>-8165000</v>
          </cell>
          <cell r="J64">
            <v>28890807</v>
          </cell>
          <cell r="K64">
            <v>0</v>
          </cell>
          <cell r="P64">
            <v>20954807</v>
          </cell>
          <cell r="R64" t="str">
            <v>F19001C</v>
          </cell>
          <cell r="S64">
            <v>20954807</v>
          </cell>
          <cell r="T64">
            <v>0</v>
          </cell>
        </row>
        <row r="65">
          <cell r="A65" t="str">
            <v>F19002C</v>
          </cell>
          <cell r="B65" t="str">
            <v>ACCUMULATED DEFERRED INCOME TAXES</v>
          </cell>
          <cell r="C65">
            <v>247332517.22999999</v>
          </cell>
          <cell r="D65">
            <v>182000</v>
          </cell>
          <cell r="E65">
            <v>0</v>
          </cell>
          <cell r="F65">
            <v>213000</v>
          </cell>
          <cell r="G65">
            <v>326000</v>
          </cell>
          <cell r="H65">
            <v>200000</v>
          </cell>
          <cell r="I65">
            <v>-1794000</v>
          </cell>
          <cell r="J65">
            <v>192000</v>
          </cell>
          <cell r="K65">
            <v>108000</v>
          </cell>
          <cell r="L65">
            <v>-705000</v>
          </cell>
          <cell r="M65">
            <v>246000</v>
          </cell>
          <cell r="N65">
            <v>2938000</v>
          </cell>
          <cell r="O65">
            <v>-6768207</v>
          </cell>
          <cell r="P65">
            <v>-4862207</v>
          </cell>
          <cell r="R65" t="str">
            <v>F19002C</v>
          </cell>
          <cell r="S65">
            <v>-4862207</v>
          </cell>
          <cell r="T65">
            <v>242470310.22999999</v>
          </cell>
        </row>
        <row r="66">
          <cell r="A66" t="str">
            <v>F20100C</v>
          </cell>
          <cell r="B66" t="str">
            <v>COMMON STOCK ISSUED</v>
          </cell>
          <cell r="C66">
            <v>-291458395</v>
          </cell>
          <cell r="P66">
            <v>0</v>
          </cell>
          <cell r="T66">
            <v>-291458395</v>
          </cell>
        </row>
        <row r="67">
          <cell r="A67" t="str">
            <v>F20400C</v>
          </cell>
          <cell r="B67" t="str">
            <v>PREFERRED STOCK ISSUED - NON REDEEMABLE</v>
          </cell>
          <cell r="C67">
            <v>-78475400</v>
          </cell>
          <cell r="P67">
            <v>0</v>
          </cell>
          <cell r="T67">
            <v>-78475400</v>
          </cell>
        </row>
        <row r="68">
          <cell r="A68" t="str">
            <v>F20401C</v>
          </cell>
          <cell r="B68" t="str">
            <v>REDEEMABLE PREFERRED STOCK</v>
          </cell>
          <cell r="C68">
            <v>-25000000</v>
          </cell>
          <cell r="P68">
            <v>0</v>
          </cell>
          <cell r="T68">
            <v>-25000000</v>
          </cell>
        </row>
        <row r="69">
          <cell r="A69" t="str">
            <v>F20700C</v>
          </cell>
          <cell r="B69" t="str">
            <v>PREMIUM ON CAPITAL STOCK</v>
          </cell>
          <cell r="C69">
            <v>-592222752.73000002</v>
          </cell>
          <cell r="P69">
            <v>0</v>
          </cell>
          <cell r="T69">
            <v>-592222752.73000002</v>
          </cell>
        </row>
        <row r="70">
          <cell r="A70" t="str">
            <v>F21100C</v>
          </cell>
          <cell r="B70" t="str">
            <v>MISCELLANEOUS PAID-IN CAPITAL</v>
          </cell>
          <cell r="C70">
            <v>0</v>
          </cell>
          <cell r="N70">
            <v>0</v>
          </cell>
          <cell r="O70">
            <v>3280877</v>
          </cell>
          <cell r="P70">
            <v>3280877</v>
          </cell>
          <cell r="R70" t="str">
            <v>F21100C</v>
          </cell>
          <cell r="S70">
            <v>3280877</v>
          </cell>
          <cell r="T70">
            <v>3280877</v>
          </cell>
        </row>
        <row r="71">
          <cell r="A71" t="str">
            <v>F21400C</v>
          </cell>
          <cell r="B71" t="str">
            <v>CAPITAL STOCK EXPENSE</v>
          </cell>
          <cell r="C71">
            <v>25990044.91</v>
          </cell>
          <cell r="P71">
            <v>0</v>
          </cell>
          <cell r="T71">
            <v>25990044.91</v>
          </cell>
        </row>
        <row r="72">
          <cell r="A72" t="str">
            <v>F21600C</v>
          </cell>
          <cell r="B72" t="str">
            <v>RETAINED EARNINGS</v>
          </cell>
          <cell r="C72">
            <v>-529671553.44</v>
          </cell>
          <cell r="P72">
            <v>0</v>
          </cell>
          <cell r="T72">
            <v>-529671553.44</v>
          </cell>
        </row>
        <row r="73">
          <cell r="A73" t="str">
            <v>F22101C</v>
          </cell>
          <cell r="B73" t="str">
            <v>BONDS-LT DEBT</v>
          </cell>
          <cell r="C73">
            <v>-711776000</v>
          </cell>
          <cell r="J73">
            <v>27500000</v>
          </cell>
          <cell r="K73">
            <v>0</v>
          </cell>
          <cell r="P73">
            <v>27500000</v>
          </cell>
          <cell r="R73" t="str">
            <v>F22101C</v>
          </cell>
          <cell r="S73">
            <v>27500000</v>
          </cell>
          <cell r="T73">
            <v>-684276000</v>
          </cell>
        </row>
        <row r="74">
          <cell r="A74" t="str">
            <v>F22400C</v>
          </cell>
          <cell r="B74" t="str">
            <v>OTHER LT DEBT - CURRENT PORTION</v>
          </cell>
          <cell r="C74">
            <v>-52000</v>
          </cell>
          <cell r="P74">
            <v>0</v>
          </cell>
          <cell r="T74">
            <v>-52000</v>
          </cell>
        </row>
        <row r="75">
          <cell r="A75" t="str">
            <v>F22401C</v>
          </cell>
          <cell r="B75" t="str">
            <v>OTHER LT DEBT</v>
          </cell>
          <cell r="C75">
            <v>-254071101.81999999</v>
          </cell>
          <cell r="D75">
            <v>3440</v>
          </cell>
          <cell r="E75">
            <v>0</v>
          </cell>
          <cell r="N75">
            <v>0</v>
          </cell>
          <cell r="O75">
            <v>9844.36</v>
          </cell>
          <cell r="P75">
            <v>13284.36</v>
          </cell>
          <cell r="R75" t="str">
            <v>F22401C</v>
          </cell>
          <cell r="S75">
            <v>13284.36</v>
          </cell>
          <cell r="T75">
            <v>-254057817.45999998</v>
          </cell>
        </row>
        <row r="76">
          <cell r="A76" t="str">
            <v>F22500C</v>
          </cell>
          <cell r="B76" t="str">
            <v>UNAMORTIZED PREMIUM ON LONG-TERM DEBT</v>
          </cell>
          <cell r="C76">
            <v>-508338.08</v>
          </cell>
          <cell r="D76">
            <v>2106.0700000000002</v>
          </cell>
          <cell r="E76">
            <v>2106.09</v>
          </cell>
          <cell r="F76">
            <v>2106.0700000000002</v>
          </cell>
          <cell r="G76">
            <v>2106.08</v>
          </cell>
          <cell r="H76">
            <v>2106.08</v>
          </cell>
          <cell r="I76">
            <v>2106.08</v>
          </cell>
          <cell r="J76">
            <v>2106.08</v>
          </cell>
          <cell r="K76">
            <v>2106.0700000000002</v>
          </cell>
          <cell r="L76">
            <v>2106.09</v>
          </cell>
          <cell r="M76">
            <v>2106.09</v>
          </cell>
          <cell r="N76">
            <v>2106.09</v>
          </cell>
          <cell r="O76">
            <v>2106.0500000000002</v>
          </cell>
          <cell r="P76">
            <v>25272.94</v>
          </cell>
          <cell r="R76" t="str">
            <v>F22500C</v>
          </cell>
          <cell r="S76">
            <v>25272.94</v>
          </cell>
          <cell r="T76">
            <v>-483065.14</v>
          </cell>
        </row>
        <row r="77">
          <cell r="A77" t="str">
            <v>F22600C</v>
          </cell>
          <cell r="B77" t="str">
            <v>(LESS) UNAMORTIZED DISCOUNT ON LONG-TERM DEBT-DEBI</v>
          </cell>
          <cell r="C77">
            <v>1779316.52</v>
          </cell>
          <cell r="D77">
            <v>57283.01</v>
          </cell>
          <cell r="E77">
            <v>-10116.620000000001</v>
          </cell>
          <cell r="F77">
            <v>-10116.61</v>
          </cell>
          <cell r="G77">
            <v>-10116.61</v>
          </cell>
          <cell r="H77">
            <v>-10116.620000000001</v>
          </cell>
          <cell r="I77">
            <v>-10116.61</v>
          </cell>
          <cell r="J77">
            <v>-10116.620000000001</v>
          </cell>
          <cell r="K77">
            <v>-10116.61</v>
          </cell>
          <cell r="L77">
            <v>-10116.629999999999</v>
          </cell>
          <cell r="M77">
            <v>-10116.629999999999</v>
          </cell>
          <cell r="N77">
            <v>-10116.629999999999</v>
          </cell>
          <cell r="O77">
            <v>-10116.58</v>
          </cell>
          <cell r="P77">
            <v>-53999.76</v>
          </cell>
          <cell r="R77" t="str">
            <v>F22600C</v>
          </cell>
          <cell r="S77">
            <v>-53999.76</v>
          </cell>
          <cell r="T77">
            <v>1725316.76</v>
          </cell>
        </row>
        <row r="78">
          <cell r="A78" t="str">
            <v>F22700C</v>
          </cell>
          <cell r="B78" t="str">
            <v>OBLIGATIONS UNDER CAPITAL LEASES-NONCURRENT</v>
          </cell>
          <cell r="C78">
            <v>-45179808.619999997</v>
          </cell>
          <cell r="D78">
            <v>-8863825.8399999999</v>
          </cell>
          <cell r="E78">
            <v>631326.4</v>
          </cell>
          <cell r="F78">
            <v>2819812.66</v>
          </cell>
          <cell r="G78">
            <v>616215.43000000005</v>
          </cell>
          <cell r="H78">
            <v>1960263.58</v>
          </cell>
          <cell r="I78">
            <v>31609857.780000001</v>
          </cell>
          <cell r="J78">
            <v>1271028.77</v>
          </cell>
          <cell r="K78">
            <v>1275576.8799999999</v>
          </cell>
          <cell r="L78">
            <v>1259579.3700000001</v>
          </cell>
          <cell r="M78">
            <v>1308153.08</v>
          </cell>
          <cell r="N78">
            <v>1240896.69</v>
          </cell>
          <cell r="O78">
            <v>1265651.3999999999</v>
          </cell>
          <cell r="P78">
            <v>36394536.199999996</v>
          </cell>
          <cell r="R78" t="str">
            <v>F22700C</v>
          </cell>
          <cell r="S78">
            <v>36394536.200000003</v>
          </cell>
          <cell r="T78">
            <v>-8785272.4200000018</v>
          </cell>
        </row>
        <row r="79">
          <cell r="A79" t="str">
            <v>F22820C</v>
          </cell>
          <cell r="B79" t="str">
            <v>ACCUMULATED PROVISION FOR INJURIES AND DAMAGES</v>
          </cell>
          <cell r="C79">
            <v>-15091011.49</v>
          </cell>
          <cell r="D79">
            <v>1693795.83</v>
          </cell>
          <cell r="E79">
            <v>-1495807.09</v>
          </cell>
          <cell r="F79">
            <v>-597343.99</v>
          </cell>
          <cell r="G79">
            <v>-199883.6</v>
          </cell>
          <cell r="H79">
            <v>-337880.03</v>
          </cell>
          <cell r="I79">
            <v>-405249.84</v>
          </cell>
          <cell r="J79">
            <v>-255800.86</v>
          </cell>
          <cell r="K79">
            <v>-337107.35</v>
          </cell>
          <cell r="L79">
            <v>-102764.67</v>
          </cell>
          <cell r="M79">
            <v>-325860.03000000003</v>
          </cell>
          <cell r="N79">
            <v>-357994.64</v>
          </cell>
          <cell r="O79">
            <v>-3495027.45</v>
          </cell>
          <cell r="P79">
            <v>-6216923.7200000007</v>
          </cell>
          <cell r="R79" t="str">
            <v>F22820C</v>
          </cell>
          <cell r="S79">
            <v>-6216923.7199999997</v>
          </cell>
          <cell r="T79">
            <v>-21307935.210000001</v>
          </cell>
        </row>
        <row r="80">
          <cell r="A80" t="str">
            <v>F22830C</v>
          </cell>
          <cell r="B80" t="str">
            <v>ACCUMULATED PROVISION FOR PENSIONS AND BENEFITS</v>
          </cell>
          <cell r="C80">
            <v>-4555462.88</v>
          </cell>
          <cell r="D80">
            <v>-161168.45000000001</v>
          </cell>
          <cell r="E80">
            <v>124083.32</v>
          </cell>
          <cell r="F80">
            <v>-227255.89</v>
          </cell>
          <cell r="G80">
            <v>-13489.25</v>
          </cell>
          <cell r="H80">
            <v>-230297.29</v>
          </cell>
          <cell r="I80">
            <v>-162055.89000000001</v>
          </cell>
          <cell r="J80">
            <v>-183494.53</v>
          </cell>
          <cell r="K80">
            <v>-231539.07</v>
          </cell>
          <cell r="L80">
            <v>-236344.89</v>
          </cell>
          <cell r="M80">
            <v>-229699.24</v>
          </cell>
          <cell r="N80">
            <v>-1200313.6499999999</v>
          </cell>
          <cell r="O80">
            <v>2737936.5</v>
          </cell>
          <cell r="P80">
            <v>-13638.330000000075</v>
          </cell>
          <cell r="R80" t="str">
            <v>F22830C</v>
          </cell>
          <cell r="S80">
            <v>-13638.33</v>
          </cell>
          <cell r="T80">
            <v>-4569101.21</v>
          </cell>
        </row>
        <row r="81">
          <cell r="A81" t="str">
            <v>F22840C</v>
          </cell>
          <cell r="B81" t="str">
            <v>ACCUMULATED MISCELLANEOUS OPERATING PROVISIONS</v>
          </cell>
          <cell r="C81">
            <v>-195923196.97</v>
          </cell>
          <cell r="D81">
            <v>-1453502</v>
          </cell>
          <cell r="E81">
            <v>-1399491.3</v>
          </cell>
          <cell r="F81">
            <v>-283508.8</v>
          </cell>
          <cell r="G81">
            <v>-855378.96</v>
          </cell>
          <cell r="H81">
            <v>-712000.71</v>
          </cell>
          <cell r="I81">
            <v>-4836987.2300000004</v>
          </cell>
          <cell r="J81">
            <v>-521266.28</v>
          </cell>
          <cell r="K81">
            <v>-541717.68999999994</v>
          </cell>
          <cell r="L81">
            <v>-1267325.98</v>
          </cell>
          <cell r="M81">
            <v>133459.04</v>
          </cell>
          <cell r="N81">
            <v>88913.21</v>
          </cell>
          <cell r="O81">
            <v>-15417951.67</v>
          </cell>
          <cell r="P81">
            <v>-27066758.369999997</v>
          </cell>
          <cell r="R81" t="str">
            <v>F22840C</v>
          </cell>
          <cell r="S81">
            <v>-27066758.370000001</v>
          </cell>
          <cell r="T81">
            <v>-222989955.34</v>
          </cell>
        </row>
        <row r="82">
          <cell r="A82" t="str">
            <v>F23200C</v>
          </cell>
          <cell r="B82" t="str">
            <v>ACCOUNTS PAYABLE</v>
          </cell>
          <cell r="C82">
            <v>-164561608.37</v>
          </cell>
          <cell r="D82">
            <v>22996716.940000001</v>
          </cell>
          <cell r="E82">
            <v>-5586361.2400000002</v>
          </cell>
          <cell r="F82">
            <v>32190817.640000001</v>
          </cell>
          <cell r="G82">
            <v>-1316011.71</v>
          </cell>
          <cell r="H82">
            <v>-21136219.829999998</v>
          </cell>
          <cell r="I82">
            <v>-10404478.27</v>
          </cell>
          <cell r="J82">
            <v>-18093749.489999998</v>
          </cell>
          <cell r="K82">
            <v>-388715.44</v>
          </cell>
          <cell r="L82">
            <v>-1751032.93</v>
          </cell>
          <cell r="M82">
            <v>9591961.5999999996</v>
          </cell>
          <cell r="N82">
            <v>1269806.4099999999</v>
          </cell>
          <cell r="O82">
            <v>-8573781.0299999993</v>
          </cell>
          <cell r="P82">
            <v>-1201047.3499999931</v>
          </cell>
          <cell r="R82" t="str">
            <v>F23200C</v>
          </cell>
          <cell r="S82">
            <v>-1201047.3500000001</v>
          </cell>
          <cell r="T82">
            <v>-165762655.72</v>
          </cell>
        </row>
        <row r="83">
          <cell r="A83" t="str">
            <v>F23300C</v>
          </cell>
          <cell r="B83" t="str">
            <v>NOTES PAYABLE TO ASSOCIATED COMPANIES</v>
          </cell>
          <cell r="C83">
            <v>0</v>
          </cell>
          <cell r="F83">
            <v>0</v>
          </cell>
          <cell r="G83">
            <v>-5603170.21</v>
          </cell>
          <cell r="H83">
            <v>5603170.21</v>
          </cell>
          <cell r="I83">
            <v>0</v>
          </cell>
          <cell r="J83">
            <v>0.01</v>
          </cell>
          <cell r="K83">
            <v>0</v>
          </cell>
          <cell r="P83">
            <v>0.01</v>
          </cell>
          <cell r="R83" t="str">
            <v>F23300C</v>
          </cell>
          <cell r="S83">
            <v>0.01</v>
          </cell>
          <cell r="T83">
            <v>0.01</v>
          </cell>
        </row>
        <row r="84">
          <cell r="A84" t="str">
            <v>F23301C</v>
          </cell>
          <cell r="B84" t="str">
            <v>NOTES PAYABLE TO ASSOC. COS-RATE REDUCTION BONDS</v>
          </cell>
          <cell r="C84">
            <v>-519404287.85000002</v>
          </cell>
          <cell r="F84">
            <v>19638520.579999998</v>
          </cell>
          <cell r="G84">
            <v>0</v>
          </cell>
          <cell r="H84">
            <v>0</v>
          </cell>
          <cell r="I84">
            <v>13974959.85</v>
          </cell>
          <cell r="L84">
            <v>14949503.59</v>
          </cell>
          <cell r="M84">
            <v>0</v>
          </cell>
          <cell r="N84">
            <v>0</v>
          </cell>
          <cell r="O84">
            <v>17237015.98</v>
          </cell>
          <cell r="P84">
            <v>65800000</v>
          </cell>
          <cell r="R84" t="str">
            <v>F23301C</v>
          </cell>
          <cell r="S84">
            <v>65800000</v>
          </cell>
          <cell r="T84">
            <v>-453604287.85000002</v>
          </cell>
        </row>
        <row r="85">
          <cell r="A85" t="str">
            <v>F23302C</v>
          </cell>
          <cell r="B85" t="str">
            <v>NOTES PAYABLE TO ASSOC COS. CURRENT POR</v>
          </cell>
          <cell r="C85">
            <v>-65800000</v>
          </cell>
          <cell r="P85">
            <v>0</v>
          </cell>
          <cell r="T85">
            <v>-65800000</v>
          </cell>
        </row>
        <row r="86">
          <cell r="A86" t="str">
            <v>F23400C</v>
          </cell>
          <cell r="B86" t="str">
            <v>ACCOUNTS PAYABLE TO ASSOCIATED COMPANIES</v>
          </cell>
          <cell r="C86">
            <v>-119878671.47</v>
          </cell>
          <cell r="D86">
            <v>86711087.620000005</v>
          </cell>
          <cell r="E86">
            <v>10459860.02</v>
          </cell>
          <cell r="F86">
            <v>8757517.1400000006</v>
          </cell>
          <cell r="G86">
            <v>-40357083.859999999</v>
          </cell>
          <cell r="H86">
            <v>-12543437.33</v>
          </cell>
          <cell r="I86">
            <v>52438632.090000004</v>
          </cell>
          <cell r="J86">
            <v>26309538.420000002</v>
          </cell>
          <cell r="K86">
            <v>13179547.390000001</v>
          </cell>
          <cell r="L86">
            <v>-21680503.710000001</v>
          </cell>
          <cell r="M86">
            <v>-2508520.5499999998</v>
          </cell>
          <cell r="N86">
            <v>-1995641.8</v>
          </cell>
          <cell r="O86">
            <v>-19387525.91</v>
          </cell>
          <cell r="P86">
            <v>99383469.520000011</v>
          </cell>
          <cell r="R86" t="str">
            <v>F23400C</v>
          </cell>
          <cell r="S86">
            <v>99383469.519999996</v>
          </cell>
          <cell r="T86">
            <v>-20495201.949999988</v>
          </cell>
        </row>
        <row r="87">
          <cell r="A87" t="str">
            <v>F23500C</v>
          </cell>
          <cell r="B87" t="str">
            <v>CUSTOMER DEPOSITS</v>
          </cell>
          <cell r="C87">
            <v>-23002353.629999999</v>
          </cell>
          <cell r="D87">
            <v>-123383</v>
          </cell>
          <cell r="E87">
            <v>-100000</v>
          </cell>
          <cell r="F87">
            <v>-367703</v>
          </cell>
          <cell r="G87">
            <v>-156989</v>
          </cell>
          <cell r="H87">
            <v>-268582</v>
          </cell>
          <cell r="I87">
            <v>-43126</v>
          </cell>
          <cell r="J87">
            <v>75962</v>
          </cell>
          <cell r="K87">
            <v>83077</v>
          </cell>
          <cell r="L87">
            <v>-78577</v>
          </cell>
          <cell r="M87">
            <v>83663</v>
          </cell>
          <cell r="N87">
            <v>-19322</v>
          </cell>
          <cell r="O87">
            <v>-74355</v>
          </cell>
          <cell r="P87">
            <v>-989335</v>
          </cell>
          <cell r="R87" t="str">
            <v>F23500C</v>
          </cell>
          <cell r="S87">
            <v>-989335</v>
          </cell>
          <cell r="T87">
            <v>-23991688.629999999</v>
          </cell>
        </row>
        <row r="88">
          <cell r="A88" t="str">
            <v>F23600C</v>
          </cell>
          <cell r="B88" t="str">
            <v>TAXES ACCRUED</v>
          </cell>
          <cell r="C88">
            <v>-501823.35</v>
          </cell>
          <cell r="D88">
            <v>-29519610.670000002</v>
          </cell>
          <cell r="E88">
            <v>-16175275.710000001</v>
          </cell>
          <cell r="F88">
            <v>-13263563.630000001</v>
          </cell>
          <cell r="G88">
            <v>84463175.739999995</v>
          </cell>
          <cell r="H88">
            <v>-29218686.809999999</v>
          </cell>
          <cell r="I88">
            <v>1812795.51</v>
          </cell>
          <cell r="J88">
            <v>-45847517.619999997</v>
          </cell>
          <cell r="K88">
            <v>-12842581.439999999</v>
          </cell>
          <cell r="L88">
            <v>42865961.57</v>
          </cell>
          <cell r="M88">
            <v>-21531603.02</v>
          </cell>
          <cell r="N88">
            <v>61609509.979999997</v>
          </cell>
          <cell r="O88">
            <v>-23848724.52</v>
          </cell>
          <cell r="P88">
            <v>-1496120.620000001</v>
          </cell>
          <cell r="R88" t="str">
            <v>F23600C</v>
          </cell>
          <cell r="S88">
            <v>-1496120.62</v>
          </cell>
          <cell r="T88">
            <v>-1997943.9700000011</v>
          </cell>
        </row>
        <row r="89">
          <cell r="A89" t="str">
            <v>F23601C</v>
          </cell>
          <cell r="B89" t="str">
            <v>INCOME TAXES ACCRUED</v>
          </cell>
          <cell r="C89">
            <v>80454726.540000007</v>
          </cell>
          <cell r="D89">
            <v>-80454726.540000007</v>
          </cell>
          <cell r="E89">
            <v>0</v>
          </cell>
          <cell r="H89">
            <v>55050224.100000001</v>
          </cell>
          <cell r="I89">
            <v>24093000</v>
          </cell>
          <cell r="J89">
            <v>-79143224.099999994</v>
          </cell>
          <cell r="K89">
            <v>0</v>
          </cell>
          <cell r="N89">
            <v>0</v>
          </cell>
          <cell r="O89">
            <v>87062224.099999994</v>
          </cell>
          <cell r="P89">
            <v>6607497.5600000024</v>
          </cell>
          <cell r="R89" t="str">
            <v>F23601C</v>
          </cell>
          <cell r="S89">
            <v>6607497.5599999875</v>
          </cell>
          <cell r="T89">
            <v>87062224.100000009</v>
          </cell>
        </row>
        <row r="90">
          <cell r="A90" t="str">
            <v>F23700C</v>
          </cell>
          <cell r="B90" t="str">
            <v>INTEREST ACCRUED</v>
          </cell>
          <cell r="C90">
            <v>-8725673.5600000005</v>
          </cell>
          <cell r="D90">
            <v>-2807212.05</v>
          </cell>
          <cell r="E90">
            <v>-3139343.75</v>
          </cell>
          <cell r="F90">
            <v>3269352.04</v>
          </cell>
          <cell r="G90">
            <v>-2422125.44</v>
          </cell>
          <cell r="H90">
            <v>-3213441.21</v>
          </cell>
          <cell r="I90">
            <v>8270290.1299999999</v>
          </cell>
          <cell r="J90">
            <v>-2729275.27</v>
          </cell>
          <cell r="K90">
            <v>-2947136.46</v>
          </cell>
          <cell r="L90">
            <v>3254495.22</v>
          </cell>
          <cell r="M90">
            <v>-2369584.9300000002</v>
          </cell>
          <cell r="N90">
            <v>-3308378.09</v>
          </cell>
          <cell r="O90">
            <v>7966055.4800000004</v>
          </cell>
          <cell r="P90">
            <v>-176304.32999999914</v>
          </cell>
          <cell r="R90" t="str">
            <v>F23700C</v>
          </cell>
          <cell r="S90">
            <v>-176304.33</v>
          </cell>
          <cell r="T90">
            <v>-8901977.8900000006</v>
          </cell>
        </row>
        <row r="91">
          <cell r="A91" t="str">
            <v>F23800C</v>
          </cell>
          <cell r="B91" t="str">
            <v>DIVIDENDS DECLARED</v>
          </cell>
          <cell r="C91">
            <v>-101645542.09999999</v>
          </cell>
          <cell r="D91">
            <v>101645542.09999999</v>
          </cell>
          <cell r="E91">
            <v>0</v>
          </cell>
          <cell r="F91">
            <v>-1645542.1</v>
          </cell>
          <cell r="G91">
            <v>1645542.1</v>
          </cell>
          <cell r="H91">
            <v>0</v>
          </cell>
          <cell r="I91">
            <v>-1645542.1</v>
          </cell>
          <cell r="J91">
            <v>1645542.1</v>
          </cell>
          <cell r="K91">
            <v>0</v>
          </cell>
          <cell r="L91">
            <v>-1645542.1</v>
          </cell>
          <cell r="M91">
            <v>1645542.1</v>
          </cell>
          <cell r="N91">
            <v>0</v>
          </cell>
          <cell r="O91">
            <v>-1645542.1</v>
          </cell>
          <cell r="P91">
            <v>100000000</v>
          </cell>
          <cell r="R91" t="str">
            <v>F23800C</v>
          </cell>
          <cell r="S91">
            <v>100000000</v>
          </cell>
          <cell r="T91">
            <v>-1645542.099999994</v>
          </cell>
        </row>
        <row r="92">
          <cell r="A92" t="str">
            <v>F24100C</v>
          </cell>
          <cell r="B92" t="str">
            <v>TAX COLLECTIONS PAYABLE</v>
          </cell>
          <cell r="C92">
            <v>-1432273.36</v>
          </cell>
          <cell r="D92">
            <v>185467.69</v>
          </cell>
          <cell r="E92">
            <v>-1296817.6200000001</v>
          </cell>
          <cell r="F92">
            <v>1081351.42</v>
          </cell>
          <cell r="G92">
            <v>-1377097.03</v>
          </cell>
          <cell r="H92">
            <v>1207284.78</v>
          </cell>
          <cell r="I92">
            <v>943123.95</v>
          </cell>
          <cell r="J92">
            <v>-266052.90000000002</v>
          </cell>
          <cell r="K92">
            <v>463534.32</v>
          </cell>
          <cell r="L92">
            <v>-495588.73</v>
          </cell>
          <cell r="M92">
            <v>411926.53</v>
          </cell>
          <cell r="N92">
            <v>12016.29</v>
          </cell>
          <cell r="O92">
            <v>-924551.27</v>
          </cell>
          <cell r="P92">
            <v>-55402.570000000298</v>
          </cell>
          <cell r="R92" t="str">
            <v>F24100C</v>
          </cell>
          <cell r="S92">
            <v>-55402.569999999832</v>
          </cell>
          <cell r="T92">
            <v>-1487675.9300000004</v>
          </cell>
        </row>
        <row r="93">
          <cell r="A93" t="str">
            <v>F24200C</v>
          </cell>
          <cell r="B93" t="str">
            <v>MISCELLANEOUS CURRENT AND ACCRUED LIABILITIES</v>
          </cell>
          <cell r="C93">
            <v>-114051184.44</v>
          </cell>
          <cell r="D93">
            <v>-6067188.5099999998</v>
          </cell>
          <cell r="E93">
            <v>-1195252.24</v>
          </cell>
          <cell r="F93">
            <v>31349839</v>
          </cell>
          <cell r="G93">
            <v>9719512.4100000001</v>
          </cell>
          <cell r="H93">
            <v>-8449410.4900000002</v>
          </cell>
          <cell r="I93">
            <v>-4607040.5599999996</v>
          </cell>
          <cell r="J93">
            <v>-5932951.4699999997</v>
          </cell>
          <cell r="K93">
            <v>3106147.79</v>
          </cell>
          <cell r="L93">
            <v>7848097.3499999996</v>
          </cell>
          <cell r="M93">
            <v>-5899730.0700000003</v>
          </cell>
          <cell r="N93">
            <v>634724.56000000006</v>
          </cell>
          <cell r="O93">
            <v>-13282329.359999999</v>
          </cell>
          <cell r="P93">
            <v>7224418.4099999927</v>
          </cell>
          <cell r="R93" t="str">
            <v>F24200C</v>
          </cell>
          <cell r="S93">
            <v>7224418.4100000001</v>
          </cell>
          <cell r="T93">
            <v>-106826766.03</v>
          </cell>
        </row>
        <row r="94">
          <cell r="A94" t="str">
            <v>F24201C</v>
          </cell>
          <cell r="B94" t="str">
            <v>MISC. CURRENT AND ACCRUED LIABILITIES-BALANCING AC</v>
          </cell>
          <cell r="C94">
            <v>-279744079.57999998</v>
          </cell>
          <cell r="D94">
            <v>-15611800</v>
          </cell>
          <cell r="E94">
            <v>-15331932</v>
          </cell>
          <cell r="F94">
            <v>99160966</v>
          </cell>
          <cell r="G94">
            <v>-7865024</v>
          </cell>
          <cell r="H94">
            <v>-7029817</v>
          </cell>
          <cell r="I94">
            <v>25220770</v>
          </cell>
          <cell r="J94">
            <v>-12398104.949999999</v>
          </cell>
          <cell r="K94">
            <v>5714516.7999999998</v>
          </cell>
          <cell r="L94">
            <v>5522880.29</v>
          </cell>
          <cell r="M94">
            <v>-17739122.710000001</v>
          </cell>
          <cell r="N94">
            <v>-1941272.71</v>
          </cell>
          <cell r="O94">
            <v>-15921094.949999999</v>
          </cell>
          <cell r="P94">
            <v>41780964.769999996</v>
          </cell>
          <cell r="R94" t="str">
            <v>F24201C</v>
          </cell>
          <cell r="S94">
            <v>41780964.769999996</v>
          </cell>
          <cell r="T94">
            <v>-237963114.81</v>
          </cell>
        </row>
        <row r="95">
          <cell r="A95" t="str">
            <v>F24202C</v>
          </cell>
          <cell r="B95" t="str">
            <v>MISC. CURRENT AND ACCRUED LIABILITIES-APPLICANT IN</v>
          </cell>
          <cell r="C95">
            <v>-2380914</v>
          </cell>
          <cell r="D95">
            <v>98416.72</v>
          </cell>
          <cell r="E95">
            <v>-323507</v>
          </cell>
          <cell r="F95">
            <v>28488375.09</v>
          </cell>
          <cell r="G95">
            <v>-676183</v>
          </cell>
          <cell r="H95">
            <v>-362915</v>
          </cell>
          <cell r="I95">
            <v>-23310</v>
          </cell>
          <cell r="J95">
            <v>-297700</v>
          </cell>
          <cell r="K95">
            <v>-416906</v>
          </cell>
          <cell r="L95">
            <v>7300</v>
          </cell>
          <cell r="M95">
            <v>272436</v>
          </cell>
          <cell r="N95">
            <v>73574</v>
          </cell>
          <cell r="O95">
            <v>-134856</v>
          </cell>
          <cell r="P95">
            <v>26704724.809999999</v>
          </cell>
          <cell r="R95" t="str">
            <v>F24202C</v>
          </cell>
          <cell r="S95">
            <v>26704724.809999999</v>
          </cell>
          <cell r="T95">
            <v>24323810.809999999</v>
          </cell>
        </row>
        <row r="96">
          <cell r="A96" t="str">
            <v>F24300C</v>
          </cell>
          <cell r="B96" t="str">
            <v>OBLIGATIONS UNDER CAPITAL LEASES-CURRENT PORTION</v>
          </cell>
          <cell r="C96">
            <v>-5680530</v>
          </cell>
          <cell r="F96">
            <v>-3334</v>
          </cell>
          <cell r="G96">
            <v>0</v>
          </cell>
          <cell r="H96">
            <v>0</v>
          </cell>
          <cell r="I96">
            <v>5559180</v>
          </cell>
          <cell r="L96">
            <v>-3525</v>
          </cell>
          <cell r="M96">
            <v>0</v>
          </cell>
          <cell r="N96">
            <v>0</v>
          </cell>
          <cell r="O96">
            <v>8034</v>
          </cell>
          <cell r="P96">
            <v>5560355</v>
          </cell>
          <cell r="R96" t="str">
            <v>F24300C</v>
          </cell>
          <cell r="S96">
            <v>5560355</v>
          </cell>
          <cell r="T96">
            <v>-120175</v>
          </cell>
        </row>
        <row r="97">
          <cell r="A97" t="str">
            <v>F24301C</v>
          </cell>
          <cell r="B97" t="str">
            <v>OBLIGATIONS UNDER CAPITAL LEASES - LT D</v>
          </cell>
          <cell r="C97">
            <v>-12000000</v>
          </cell>
          <cell r="P97">
            <v>0</v>
          </cell>
          <cell r="T97">
            <v>-12000000</v>
          </cell>
        </row>
        <row r="98">
          <cell r="A98" t="str">
            <v>F24302C</v>
          </cell>
          <cell r="B98" t="str">
            <v>OBLIGATIONS UNDER CAPITAL LEASES-OTHER</v>
          </cell>
          <cell r="C98">
            <v>-5018034.3899999997</v>
          </cell>
          <cell r="D98">
            <v>1672677.11</v>
          </cell>
          <cell r="E98">
            <v>-836338.54</v>
          </cell>
          <cell r="F98">
            <v>-836338.54</v>
          </cell>
          <cell r="G98">
            <v>-836338.54</v>
          </cell>
          <cell r="H98">
            <v>32352.9</v>
          </cell>
          <cell r="I98">
            <v>5822020</v>
          </cell>
          <cell r="P98">
            <v>5018034.3899999997</v>
          </cell>
          <cell r="R98" t="str">
            <v>F24302C</v>
          </cell>
          <cell r="S98">
            <v>5018034.3899999997</v>
          </cell>
          <cell r="T98">
            <v>0</v>
          </cell>
        </row>
        <row r="99">
          <cell r="A99" t="str">
            <v>F25200C</v>
          </cell>
          <cell r="B99" t="str">
            <v>CUSTOMER ADVANCES FOR CONSTRUCTION</v>
          </cell>
          <cell r="C99">
            <v>-28037399.809999999</v>
          </cell>
          <cell r="D99">
            <v>0</v>
          </cell>
          <cell r="E99">
            <v>221559.82</v>
          </cell>
          <cell r="F99">
            <v>-28280497.899999999</v>
          </cell>
          <cell r="G99">
            <v>-1449289.11</v>
          </cell>
          <cell r="H99">
            <v>-1645765.3</v>
          </cell>
          <cell r="I99">
            <v>129558.83</v>
          </cell>
          <cell r="J99">
            <v>-200775.87</v>
          </cell>
          <cell r="K99">
            <v>8083.74</v>
          </cell>
          <cell r="L99">
            <v>815078.62</v>
          </cell>
          <cell r="M99">
            <v>-416083.78</v>
          </cell>
          <cell r="N99">
            <v>513412.49</v>
          </cell>
          <cell r="O99">
            <v>1460509.2</v>
          </cell>
          <cell r="P99">
            <v>-28844209.260000005</v>
          </cell>
          <cell r="R99" t="str">
            <v>F25200C</v>
          </cell>
          <cell r="S99">
            <v>-28844209.259999998</v>
          </cell>
          <cell r="T99">
            <v>-56881609.070000008</v>
          </cell>
        </row>
        <row r="100">
          <cell r="A100" t="str">
            <v>F25300C</v>
          </cell>
          <cell r="B100" t="str">
            <v>OTHER DEFERRED CREDITS-CAC</v>
          </cell>
          <cell r="C100">
            <v>-10858517.630000001</v>
          </cell>
          <cell r="D100">
            <v>27838.7</v>
          </cell>
          <cell r="E100">
            <v>-217505.26</v>
          </cell>
          <cell r="F100">
            <v>252311.25</v>
          </cell>
          <cell r="G100">
            <v>-847191.85</v>
          </cell>
          <cell r="H100">
            <v>-675052.63</v>
          </cell>
          <cell r="I100">
            <v>56204.19</v>
          </cell>
          <cell r="J100">
            <v>-177576.45</v>
          </cell>
          <cell r="K100">
            <v>-141529.57</v>
          </cell>
          <cell r="L100">
            <v>301020.62</v>
          </cell>
          <cell r="M100">
            <v>-95071.89</v>
          </cell>
          <cell r="N100">
            <v>210567.24</v>
          </cell>
          <cell r="O100">
            <v>480252.54</v>
          </cell>
          <cell r="P100">
            <v>-825733.10999999987</v>
          </cell>
          <cell r="R100" t="str">
            <v>F25300C</v>
          </cell>
          <cell r="S100">
            <v>-825733.11</v>
          </cell>
          <cell r="T100">
            <v>-11684250.74</v>
          </cell>
        </row>
        <row r="101">
          <cell r="A101" t="str">
            <v>F25301C</v>
          </cell>
          <cell r="B101" t="str">
            <v>OTHER DEFERRED CREDITS</v>
          </cell>
          <cell r="C101">
            <v>-205597447.75999999</v>
          </cell>
          <cell r="D101">
            <v>1686273.06</v>
          </cell>
          <cell r="E101">
            <v>954087.41</v>
          </cell>
          <cell r="F101">
            <v>9452051.4100000001</v>
          </cell>
          <cell r="G101">
            <v>1110928.02</v>
          </cell>
          <cell r="H101">
            <v>27845.200000000001</v>
          </cell>
          <cell r="I101">
            <v>1659581.25</v>
          </cell>
          <cell r="J101">
            <v>355551.3</v>
          </cell>
          <cell r="K101">
            <v>946899.35</v>
          </cell>
          <cell r="L101">
            <v>1963271.61</v>
          </cell>
          <cell r="M101">
            <v>1745499.96</v>
          </cell>
          <cell r="N101">
            <v>913582.1</v>
          </cell>
          <cell r="O101">
            <v>-428880705.89999998</v>
          </cell>
          <cell r="P101">
            <v>-408065135.22999996</v>
          </cell>
          <cell r="R101" t="str">
            <v>F25301C</v>
          </cell>
          <cell r="S101">
            <v>-408065135.22999996</v>
          </cell>
          <cell r="T101">
            <v>-613662582.99000001</v>
          </cell>
        </row>
        <row r="102">
          <cell r="A102" t="str">
            <v>F25400C</v>
          </cell>
          <cell r="B102" t="str">
            <v>OTH REG LIABILITIES</v>
          </cell>
          <cell r="C102">
            <v>-133022000</v>
          </cell>
          <cell r="D102">
            <v>134000</v>
          </cell>
          <cell r="E102">
            <v>134000</v>
          </cell>
          <cell r="F102">
            <v>6719000</v>
          </cell>
          <cell r="G102">
            <v>580000</v>
          </cell>
          <cell r="H102">
            <v>580000</v>
          </cell>
          <cell r="I102">
            <v>17211000</v>
          </cell>
          <cell r="L102">
            <v>902000</v>
          </cell>
          <cell r="M102">
            <v>0</v>
          </cell>
          <cell r="N102">
            <v>0</v>
          </cell>
          <cell r="O102">
            <v>9848000</v>
          </cell>
          <cell r="P102">
            <v>36108000</v>
          </cell>
          <cell r="R102" t="str">
            <v>F25400C</v>
          </cell>
          <cell r="S102">
            <v>36108000</v>
          </cell>
          <cell r="T102">
            <v>-96914000</v>
          </cell>
        </row>
        <row r="103">
          <cell r="A103" t="str">
            <v>F25500C</v>
          </cell>
          <cell r="B103" t="str">
            <v>ACCUMULATED DEFERRED INVESTMENT TAX CREDITS</v>
          </cell>
          <cell r="C103">
            <v>-89291509</v>
          </cell>
          <cell r="D103">
            <v>412000</v>
          </cell>
          <cell r="E103">
            <v>172000</v>
          </cell>
          <cell r="F103">
            <v>9119000</v>
          </cell>
          <cell r="G103">
            <v>1169000</v>
          </cell>
          <cell r="H103">
            <v>1004000</v>
          </cell>
          <cell r="I103">
            <v>22594000</v>
          </cell>
          <cell r="J103">
            <v>251000</v>
          </cell>
          <cell r="K103">
            <v>141000</v>
          </cell>
          <cell r="L103">
            <v>479000</v>
          </cell>
          <cell r="M103">
            <v>319000</v>
          </cell>
          <cell r="N103">
            <v>206000</v>
          </cell>
          <cell r="O103">
            <v>2543000</v>
          </cell>
          <cell r="P103">
            <v>38409000</v>
          </cell>
          <cell r="R103" t="str">
            <v>F25500C</v>
          </cell>
          <cell r="S103">
            <v>38409000</v>
          </cell>
          <cell r="T103">
            <v>-50882509</v>
          </cell>
        </row>
        <row r="104">
          <cell r="A104" t="str">
            <v>F28100C</v>
          </cell>
          <cell r="B104" t="str">
            <v>ACCUMULATED DEFERRED INCOME TAXES</v>
          </cell>
          <cell r="C104">
            <v>-3596000</v>
          </cell>
          <cell r="F104">
            <v>2000</v>
          </cell>
          <cell r="G104">
            <v>0</v>
          </cell>
          <cell r="H104">
            <v>0</v>
          </cell>
          <cell r="I104">
            <v>2000</v>
          </cell>
          <cell r="L104">
            <v>2000</v>
          </cell>
          <cell r="M104">
            <v>0</v>
          </cell>
          <cell r="N104">
            <v>0</v>
          </cell>
          <cell r="O104">
            <v>-687000</v>
          </cell>
          <cell r="P104">
            <v>-681000</v>
          </cell>
          <cell r="R104" t="str">
            <v>F28100C</v>
          </cell>
          <cell r="S104">
            <v>-681000</v>
          </cell>
          <cell r="T104">
            <v>-4277000</v>
          </cell>
        </row>
        <row r="105">
          <cell r="A105" t="str">
            <v>F28200C</v>
          </cell>
          <cell r="B105" t="str">
            <v>ACCUMULATED DEFERRED INCOME TAXES-OTHER PROPERTY</v>
          </cell>
          <cell r="C105">
            <v>-355752194.49000001</v>
          </cell>
          <cell r="D105">
            <v>88731000</v>
          </cell>
          <cell r="E105">
            <v>0</v>
          </cell>
          <cell r="F105">
            <v>11553000</v>
          </cell>
          <cell r="G105">
            <v>7716000</v>
          </cell>
          <cell r="H105">
            <v>4717000</v>
          </cell>
          <cell r="I105">
            <v>1214000</v>
          </cell>
          <cell r="J105">
            <v>108111000</v>
          </cell>
          <cell r="K105">
            <v>-7905000</v>
          </cell>
          <cell r="L105">
            <v>9115000</v>
          </cell>
          <cell r="M105">
            <v>3233000</v>
          </cell>
          <cell r="N105">
            <v>348000</v>
          </cell>
          <cell r="O105">
            <v>-63278000</v>
          </cell>
          <cell r="P105">
            <v>163555000</v>
          </cell>
          <cell r="R105" t="str">
            <v>F28200C</v>
          </cell>
          <cell r="S105">
            <v>163555000</v>
          </cell>
          <cell r="T105">
            <v>-192197194.49000001</v>
          </cell>
        </row>
        <row r="106">
          <cell r="A106" t="str">
            <v>F28300C</v>
          </cell>
          <cell r="B106" t="str">
            <v>ACCUMULATED DEFERRED INCOME TAXES-OTHER</v>
          </cell>
          <cell r="C106">
            <v>-16491191</v>
          </cell>
          <cell r="D106">
            <v>16491191</v>
          </cell>
          <cell r="E106">
            <v>0</v>
          </cell>
          <cell r="H106">
            <v>-16218191</v>
          </cell>
          <cell r="I106">
            <v>-101000</v>
          </cell>
          <cell r="J106">
            <v>16319191</v>
          </cell>
          <cell r="K106">
            <v>0</v>
          </cell>
          <cell r="P106">
            <v>16491191</v>
          </cell>
          <cell r="R106" t="str">
            <v>F28300C</v>
          </cell>
          <cell r="S106">
            <v>16491191</v>
          </cell>
          <cell r="T106">
            <v>0</v>
          </cell>
        </row>
        <row r="107">
          <cell r="A107" t="str">
            <v>F28301C</v>
          </cell>
          <cell r="B107" t="str">
            <v>ACCUMULATED DEFERRED INCOME TAXES-TAXES ACCRUED</v>
          </cell>
          <cell r="C107">
            <v>0</v>
          </cell>
          <cell r="D107">
            <v>-16449191</v>
          </cell>
          <cell r="E107">
            <v>0</v>
          </cell>
          <cell r="F107">
            <v>88000</v>
          </cell>
          <cell r="G107">
            <v>89000</v>
          </cell>
          <cell r="H107">
            <v>16272191</v>
          </cell>
          <cell r="I107">
            <v>0</v>
          </cell>
          <cell r="J107">
            <v>-16284191</v>
          </cell>
          <cell r="K107">
            <v>19000</v>
          </cell>
          <cell r="L107">
            <v>67000</v>
          </cell>
          <cell r="M107">
            <v>46000</v>
          </cell>
          <cell r="N107">
            <v>-503000</v>
          </cell>
          <cell r="O107">
            <v>892675</v>
          </cell>
          <cell r="P107">
            <v>-15762516</v>
          </cell>
          <cell r="R107" t="str">
            <v>F28301C</v>
          </cell>
          <cell r="S107">
            <v>-15762516</v>
          </cell>
          <cell r="T107">
            <v>-15762516</v>
          </cell>
        </row>
        <row r="108">
          <cell r="A108" t="str">
            <v>F28302C</v>
          </cell>
          <cell r="B108" t="str">
            <v>ACCUMULATED DEFERRED INC TAXES</v>
          </cell>
          <cell r="C108">
            <v>-369350044</v>
          </cell>
          <cell r="D108">
            <v>-1645000</v>
          </cell>
          <cell r="E108">
            <v>0</v>
          </cell>
          <cell r="F108">
            <v>641000</v>
          </cell>
          <cell r="G108">
            <v>-2795000</v>
          </cell>
          <cell r="H108">
            <v>-1708000</v>
          </cell>
          <cell r="I108">
            <v>5141000</v>
          </cell>
          <cell r="J108">
            <v>-1362000</v>
          </cell>
          <cell r="K108">
            <v>11641670.060000001</v>
          </cell>
          <cell r="L108">
            <v>380000</v>
          </cell>
          <cell r="M108">
            <v>-1735000</v>
          </cell>
          <cell r="N108">
            <v>3824185</v>
          </cell>
          <cell r="O108">
            <v>-15980000</v>
          </cell>
          <cell r="P108">
            <v>-3597144.9399999995</v>
          </cell>
          <cell r="R108" t="str">
            <v>F28302C</v>
          </cell>
          <cell r="S108">
            <v>-3597144.94</v>
          </cell>
          <cell r="T108">
            <v>-372947188.94</v>
          </cell>
        </row>
        <row r="109">
          <cell r="A109" t="str">
            <v>F29900C</v>
          </cell>
          <cell r="B109" t="str">
            <v>CLEARING ACCOUNT-ACCOUNTS PAYABLE</v>
          </cell>
          <cell r="C109">
            <v>0</v>
          </cell>
          <cell r="F109">
            <v>-37261089.719999999</v>
          </cell>
          <cell r="G109">
            <v>-7924765.5899999999</v>
          </cell>
          <cell r="H109">
            <v>-12521242.890000001</v>
          </cell>
          <cell r="I109">
            <v>-15876132.5</v>
          </cell>
          <cell r="J109">
            <v>-11084505.310000001</v>
          </cell>
          <cell r="K109">
            <v>-11184198.710000001</v>
          </cell>
          <cell r="L109">
            <v>-9247737.1500000004</v>
          </cell>
          <cell r="M109">
            <v>-10275577.15</v>
          </cell>
          <cell r="N109">
            <v>-13149643.23</v>
          </cell>
          <cell r="O109">
            <v>-10770436.24</v>
          </cell>
          <cell r="P109">
            <v>-139295328.49000001</v>
          </cell>
          <cell r="R109" t="str">
            <v>F29900C</v>
          </cell>
          <cell r="S109">
            <v>-139295328.49000001</v>
          </cell>
          <cell r="T109">
            <v>-139295328.49000001</v>
          </cell>
        </row>
        <row r="110">
          <cell r="A110" t="str">
            <v>F29910C</v>
          </cell>
          <cell r="B110" t="str">
            <v>CLEARING ACCOUNT-ACCOUNTS RECEIVABLE</v>
          </cell>
          <cell r="C110">
            <v>0</v>
          </cell>
          <cell r="F110">
            <v>-145058.89000000001</v>
          </cell>
          <cell r="G110">
            <v>-90689.86</v>
          </cell>
          <cell r="H110">
            <v>-204588.24</v>
          </cell>
          <cell r="I110">
            <v>-358204.13</v>
          </cell>
          <cell r="J110">
            <v>-78785.53</v>
          </cell>
          <cell r="K110">
            <v>-204617.41</v>
          </cell>
          <cell r="L110">
            <v>-57422.55</v>
          </cell>
          <cell r="M110">
            <v>-294254.25</v>
          </cell>
          <cell r="N110">
            <v>-550875.69999999995</v>
          </cell>
          <cell r="O110">
            <v>-187487.79</v>
          </cell>
          <cell r="P110">
            <v>-2171984.35</v>
          </cell>
          <cell r="R110" t="str">
            <v>F29910C</v>
          </cell>
          <cell r="S110">
            <v>-2171984.35</v>
          </cell>
          <cell r="T110">
            <v>-2171984.35</v>
          </cell>
        </row>
        <row r="111">
          <cell r="A111" t="str">
            <v>F29920C</v>
          </cell>
          <cell r="B111" t="str">
            <v>CLEARING ACCOUNT-FI/CO RECONCILIATION ENTRIES</v>
          </cell>
          <cell r="C111">
            <v>0</v>
          </cell>
          <cell r="F111">
            <v>37405297.719999999</v>
          </cell>
          <cell r="G111">
            <v>8014076.5499999998</v>
          </cell>
          <cell r="H111">
            <v>12724726.6</v>
          </cell>
          <cell r="I111">
            <v>16233837.83</v>
          </cell>
          <cell r="J111">
            <v>11161328.59</v>
          </cell>
          <cell r="K111">
            <v>11387766.82</v>
          </cell>
          <cell r="L111">
            <v>9317941.9299999997</v>
          </cell>
          <cell r="M111">
            <v>10567730.119999999</v>
          </cell>
          <cell r="N111">
            <v>13700191.99</v>
          </cell>
          <cell r="O111">
            <v>10955664.74</v>
          </cell>
          <cell r="P111">
            <v>141468562.89000002</v>
          </cell>
          <cell r="R111" t="str">
            <v>F29920C</v>
          </cell>
          <cell r="S111">
            <v>141468562.88999999</v>
          </cell>
          <cell r="T111">
            <v>141468562.89000002</v>
          </cell>
        </row>
        <row r="112">
          <cell r="A112" t="str">
            <v>F29980C</v>
          </cell>
          <cell r="B112" t="str">
            <v>NEGATIVE ADJUSTMENT - OFFSET ACCOUNT</v>
          </cell>
          <cell r="C112">
            <v>0.28999999999999998</v>
          </cell>
          <cell r="P112">
            <v>0</v>
          </cell>
          <cell r="T112">
            <v>0.28999999999999998</v>
          </cell>
        </row>
        <row r="113">
          <cell r="A113" t="str">
            <v>F29990C</v>
          </cell>
          <cell r="B113" t="str">
            <v>BALANCE SHEET OFFSET ACCOUNT</v>
          </cell>
          <cell r="C113">
            <v>2301782163.6999998</v>
          </cell>
          <cell r="D113">
            <v>157155358.75999999</v>
          </cell>
          <cell r="E113">
            <v>138626620.44999999</v>
          </cell>
          <cell r="F113">
            <v>74626079.819999993</v>
          </cell>
          <cell r="G113">
            <v>153404742.99000001</v>
          </cell>
          <cell r="H113">
            <v>126048660.31999999</v>
          </cell>
          <cell r="I113">
            <v>144184757.47999999</v>
          </cell>
          <cell r="J113">
            <v>69436746.409999996</v>
          </cell>
          <cell r="K113">
            <v>53674350.009999998</v>
          </cell>
          <cell r="L113">
            <v>59345004.729999997</v>
          </cell>
          <cell r="M113">
            <v>52801201.560000002</v>
          </cell>
          <cell r="N113">
            <v>60007801.289999999</v>
          </cell>
          <cell r="O113">
            <v>84630818.980000004</v>
          </cell>
          <cell r="P113">
            <v>1173942142.8</v>
          </cell>
          <cell r="R113" t="str">
            <v>F29990C</v>
          </cell>
          <cell r="S113">
            <v>141468562.88999999</v>
          </cell>
          <cell r="T113">
            <v>3475724306.5</v>
          </cell>
        </row>
        <row r="114">
          <cell r="A114" t="str">
            <v>F29995C</v>
          </cell>
          <cell r="B114" t="str">
            <v>FERC BALANCE CARRY FORWARD</v>
          </cell>
          <cell r="C114">
            <v>0</v>
          </cell>
          <cell r="P114">
            <v>0</v>
          </cell>
          <cell r="T114">
            <v>0</v>
          </cell>
        </row>
        <row r="115">
          <cell r="A115" t="str">
            <v>F40300C</v>
          </cell>
          <cell r="B115" t="str">
            <v>DEPRECIATION EXPENSE</v>
          </cell>
          <cell r="C115">
            <v>0</v>
          </cell>
          <cell r="F115">
            <v>1217005.26</v>
          </cell>
          <cell r="G115">
            <v>1188192.4099999999</v>
          </cell>
          <cell r="H115">
            <v>685376.05</v>
          </cell>
          <cell r="I115">
            <v>1134872.8700000001</v>
          </cell>
          <cell r="J115">
            <v>1141236.6000000001</v>
          </cell>
          <cell r="K115">
            <v>1144412.8</v>
          </cell>
          <cell r="L115">
            <v>1146138.1599999999</v>
          </cell>
          <cell r="M115">
            <v>1148506.28</v>
          </cell>
          <cell r="N115">
            <v>1235273.98</v>
          </cell>
          <cell r="O115">
            <v>1450741.65</v>
          </cell>
          <cell r="P115">
            <v>11491756.060000001</v>
          </cell>
          <cell r="R115" t="str">
            <v>F40300C</v>
          </cell>
          <cell r="S115">
            <v>11491756.060000001</v>
          </cell>
          <cell r="T115">
            <v>11491756.060000001</v>
          </cell>
        </row>
        <row r="116">
          <cell r="A116" t="str">
            <v>F40300E</v>
          </cell>
          <cell r="B116" t="str">
            <v>DEPRECIATION EXPENSE</v>
          </cell>
          <cell r="C116">
            <v>476573930.58999997</v>
          </cell>
          <cell r="D116">
            <v>26446754.300000001</v>
          </cell>
          <cell r="E116">
            <v>26630675.809999999</v>
          </cell>
          <cell r="F116">
            <v>12123960.85</v>
          </cell>
          <cell r="G116">
            <v>25179369.32</v>
          </cell>
          <cell r="H116">
            <v>60214175.280000001</v>
          </cell>
          <cell r="I116">
            <v>247351021.21000001</v>
          </cell>
          <cell r="J116">
            <v>13657720.210000001</v>
          </cell>
          <cell r="K116">
            <v>12053916.99</v>
          </cell>
          <cell r="L116">
            <v>12488131.550000001</v>
          </cell>
          <cell r="M116">
            <v>12371530.560000001</v>
          </cell>
          <cell r="N116">
            <v>12123814.359999999</v>
          </cell>
          <cell r="O116">
            <v>12217625.189999999</v>
          </cell>
          <cell r="P116">
            <v>472858695.63</v>
          </cell>
          <cell r="R116" t="str">
            <v>F40300E</v>
          </cell>
          <cell r="S116">
            <v>472858695.63</v>
          </cell>
          <cell r="T116">
            <v>949432626.22000003</v>
          </cell>
        </row>
        <row r="117">
          <cell r="A117" t="str">
            <v>F40300G</v>
          </cell>
          <cell r="B117" t="str">
            <v>DEPRECIATION EXPENSE</v>
          </cell>
          <cell r="C117">
            <v>36695559</v>
          </cell>
          <cell r="D117">
            <v>3023730.7</v>
          </cell>
          <cell r="E117">
            <v>3008857.19</v>
          </cell>
          <cell r="F117">
            <v>2757953.53</v>
          </cell>
          <cell r="G117">
            <v>2860389.91</v>
          </cell>
          <cell r="H117">
            <v>2757410.28</v>
          </cell>
          <cell r="I117">
            <v>2764501.86</v>
          </cell>
          <cell r="J117">
            <v>2769246.09</v>
          </cell>
          <cell r="K117">
            <v>2774430.54</v>
          </cell>
          <cell r="L117">
            <v>2779473.3</v>
          </cell>
          <cell r="M117">
            <v>2794297.7</v>
          </cell>
          <cell r="N117">
            <v>2800239.06</v>
          </cell>
          <cell r="O117">
            <v>2807357.56</v>
          </cell>
          <cell r="P117">
            <v>33897887.719999999</v>
          </cell>
          <cell r="R117" t="str">
            <v>F40300G</v>
          </cell>
          <cell r="S117">
            <v>33897887.719999999</v>
          </cell>
          <cell r="T117">
            <v>70593446.719999999</v>
          </cell>
        </row>
        <row r="118">
          <cell r="A118" t="str">
            <v>F40400C</v>
          </cell>
          <cell r="B118" t="str">
            <v>AMORTIZATION OF LIMITED-TERM INVESTMENTS</v>
          </cell>
          <cell r="C118">
            <v>0</v>
          </cell>
          <cell r="F118">
            <v>604199.46</v>
          </cell>
          <cell r="G118">
            <v>583627.9</v>
          </cell>
          <cell r="H118">
            <v>584680.61</v>
          </cell>
          <cell r="I118">
            <v>586300.87</v>
          </cell>
          <cell r="J118">
            <v>583072.32999999996</v>
          </cell>
          <cell r="K118">
            <v>583430.53</v>
          </cell>
          <cell r="L118">
            <v>567709.28</v>
          </cell>
          <cell r="M118">
            <v>583227.73</v>
          </cell>
          <cell r="N118">
            <v>595106.47</v>
          </cell>
          <cell r="O118">
            <v>593989.27</v>
          </cell>
          <cell r="P118">
            <v>5865344.4500000011</v>
          </cell>
          <cell r="R118" t="str">
            <v>F40400C</v>
          </cell>
          <cell r="S118">
            <v>5865344.4500000002</v>
          </cell>
          <cell r="T118">
            <v>5865344.4500000011</v>
          </cell>
        </row>
        <row r="119">
          <cell r="A119" t="str">
            <v>F40400E</v>
          </cell>
          <cell r="B119" t="str">
            <v>AMORTIZATION OF LIMITED-TERM INVESTMENTS</v>
          </cell>
          <cell r="C119">
            <v>5789052.4299999997</v>
          </cell>
          <cell r="D119">
            <v>422247.2</v>
          </cell>
          <cell r="E119">
            <v>446764.25</v>
          </cell>
          <cell r="F119">
            <v>15095.33</v>
          </cell>
          <cell r="G119">
            <v>14058.41</v>
          </cell>
          <cell r="H119">
            <v>-78549.47</v>
          </cell>
          <cell r="I119">
            <v>3216.62</v>
          </cell>
          <cell r="J119">
            <v>3216.7</v>
          </cell>
          <cell r="K119">
            <v>3216.77</v>
          </cell>
          <cell r="L119">
            <v>3216.86</v>
          </cell>
          <cell r="M119">
            <v>5574.86</v>
          </cell>
          <cell r="N119">
            <v>7932.84</v>
          </cell>
          <cell r="O119">
            <v>7932.85</v>
          </cell>
          <cell r="P119">
            <v>853923.21999999986</v>
          </cell>
          <cell r="R119" t="str">
            <v>F40400E</v>
          </cell>
          <cell r="S119">
            <v>853923.22</v>
          </cell>
          <cell r="T119">
            <v>6642975.6499999994</v>
          </cell>
        </row>
        <row r="120">
          <cell r="A120" t="str">
            <v>F40400G</v>
          </cell>
          <cell r="B120" t="str">
            <v>AMORTIZATION OF LIMITED-TERM INVESTMENTS</v>
          </cell>
          <cell r="C120">
            <v>1901965.78</v>
          </cell>
          <cell r="D120">
            <v>136667.57</v>
          </cell>
          <cell r="E120">
            <v>144284.51999999999</v>
          </cell>
          <cell r="F120">
            <v>19440.599999999999</v>
          </cell>
          <cell r="G120">
            <v>19444.810000000001</v>
          </cell>
          <cell r="H120">
            <v>19445.03</v>
          </cell>
          <cell r="I120">
            <v>19445.13</v>
          </cell>
          <cell r="J120">
            <v>19444.79</v>
          </cell>
          <cell r="K120">
            <v>19444.95</v>
          </cell>
          <cell r="L120">
            <v>19463.48</v>
          </cell>
          <cell r="M120">
            <v>19452.46</v>
          </cell>
          <cell r="N120">
            <v>19452.490000000002</v>
          </cell>
          <cell r="O120">
            <v>9726.2900000000009</v>
          </cell>
          <cell r="P120">
            <v>465712.11999999988</v>
          </cell>
          <cell r="R120" t="str">
            <v>F40400G</v>
          </cell>
          <cell r="S120">
            <v>465712.12</v>
          </cell>
          <cell r="T120">
            <v>2367677.9</v>
          </cell>
        </row>
        <row r="121">
          <cell r="A121" t="str">
            <v>F40500E</v>
          </cell>
          <cell r="B121" t="str">
            <v>AMORTIZATION OF OTHER PLANT</v>
          </cell>
          <cell r="C121">
            <v>1622779</v>
          </cell>
          <cell r="D121">
            <v>135969.78</v>
          </cell>
          <cell r="E121">
            <v>135969.78</v>
          </cell>
          <cell r="F121">
            <v>256825.13</v>
          </cell>
          <cell r="G121">
            <v>250418.3</v>
          </cell>
          <cell r="H121">
            <v>20380.3</v>
          </cell>
          <cell r="I121">
            <v>438449.29</v>
          </cell>
          <cell r="J121">
            <v>132426.70000000001</v>
          </cell>
          <cell r="K121">
            <v>132430.34</v>
          </cell>
          <cell r="L121">
            <v>132422.56</v>
          </cell>
          <cell r="M121">
            <v>132496.01999999999</v>
          </cell>
          <cell r="N121">
            <v>132481.04</v>
          </cell>
          <cell r="O121">
            <v>146020.09</v>
          </cell>
          <cell r="P121">
            <v>2046289.3300000003</v>
          </cell>
          <cell r="R121" t="str">
            <v>F40500E</v>
          </cell>
          <cell r="S121">
            <v>2046289.33</v>
          </cell>
          <cell r="T121">
            <v>3669068.33</v>
          </cell>
        </row>
        <row r="122">
          <cell r="A122" t="str">
            <v>F40500G</v>
          </cell>
          <cell r="B122" t="str">
            <v>AMORTIZATION OF OTHER PLANT</v>
          </cell>
          <cell r="C122">
            <v>278290</v>
          </cell>
          <cell r="D122">
            <v>24420.13</v>
          </cell>
          <cell r="E122">
            <v>24420.13</v>
          </cell>
          <cell r="F122">
            <v>4911.3999999999996</v>
          </cell>
          <cell r="G122">
            <v>4958.6000000000004</v>
          </cell>
          <cell r="H122">
            <v>4958.66</v>
          </cell>
          <cell r="I122">
            <v>4958.66</v>
          </cell>
          <cell r="J122">
            <v>4958.6099999999997</v>
          </cell>
          <cell r="K122">
            <v>4958.63</v>
          </cell>
          <cell r="L122">
            <v>4957.7</v>
          </cell>
          <cell r="M122">
            <v>4958.4799999999996</v>
          </cell>
          <cell r="N122">
            <v>4958.54</v>
          </cell>
          <cell r="O122">
            <v>20209.53</v>
          </cell>
          <cell r="P122">
            <v>113629.06999999999</v>
          </cell>
          <cell r="R122" t="str">
            <v>F40500G</v>
          </cell>
          <cell r="S122">
            <v>113629.07</v>
          </cell>
          <cell r="T122">
            <v>391919.07</v>
          </cell>
        </row>
        <row r="123">
          <cell r="A123" t="str">
            <v>F40600C</v>
          </cell>
          <cell r="B123" t="str">
            <v>AMORT. OF UTILITY PLANT ACQ. ADJ.</v>
          </cell>
          <cell r="C123">
            <v>382944</v>
          </cell>
          <cell r="D123">
            <v>31912</v>
          </cell>
          <cell r="E123">
            <v>31912</v>
          </cell>
          <cell r="F123">
            <v>31912</v>
          </cell>
          <cell r="G123">
            <v>31912</v>
          </cell>
          <cell r="H123">
            <v>31912</v>
          </cell>
          <cell r="I123">
            <v>1181172.46</v>
          </cell>
          <cell r="J123">
            <v>1312</v>
          </cell>
          <cell r="K123">
            <v>1312</v>
          </cell>
          <cell r="L123">
            <v>1312</v>
          </cell>
          <cell r="M123">
            <v>1312</v>
          </cell>
          <cell r="N123">
            <v>1312</v>
          </cell>
          <cell r="O123">
            <v>1312</v>
          </cell>
          <cell r="P123">
            <v>1348604.46</v>
          </cell>
          <cell r="R123" t="str">
            <v>F40600C</v>
          </cell>
          <cell r="S123">
            <v>1348604.46</v>
          </cell>
          <cell r="T123">
            <v>1731548.46</v>
          </cell>
        </row>
        <row r="124">
          <cell r="A124" t="str">
            <v>F40710C</v>
          </cell>
          <cell r="B124" t="str">
            <v>AMORT. OF PROP LOSSES  UNREC PLANT AND REG STUDY C</v>
          </cell>
          <cell r="C124">
            <v>79751405.420000002</v>
          </cell>
          <cell r="D124">
            <v>3617912</v>
          </cell>
          <cell r="E124">
            <v>3633912</v>
          </cell>
          <cell r="F124">
            <v>144006</v>
          </cell>
          <cell r="G124">
            <v>-17518994</v>
          </cell>
          <cell r="H124">
            <v>1482006</v>
          </cell>
          <cell r="I124">
            <v>15375554.51</v>
          </cell>
          <cell r="J124">
            <v>15163661.83</v>
          </cell>
          <cell r="K124">
            <v>0</v>
          </cell>
          <cell r="P124">
            <v>21898058.34</v>
          </cell>
          <cell r="R124" t="str">
            <v>F40710C</v>
          </cell>
          <cell r="S124">
            <v>21898058.34</v>
          </cell>
          <cell r="T124">
            <v>101649463.76000001</v>
          </cell>
        </row>
        <row r="125">
          <cell r="A125" t="str">
            <v>F40730E</v>
          </cell>
          <cell r="B125" t="str">
            <v>REGULATORY DEBITS</v>
          </cell>
          <cell r="C125">
            <v>0</v>
          </cell>
          <cell r="F125">
            <v>-17607084.77</v>
          </cell>
          <cell r="G125">
            <v>19057895.120000001</v>
          </cell>
          <cell r="H125">
            <v>10245908.189999999</v>
          </cell>
          <cell r="I125">
            <v>13955586.74</v>
          </cell>
          <cell r="J125">
            <v>-15163661.83</v>
          </cell>
          <cell r="K125">
            <v>0</v>
          </cell>
          <cell r="P125">
            <v>10488643.450000001</v>
          </cell>
          <cell r="R125" t="str">
            <v>F40730E</v>
          </cell>
          <cell r="S125">
            <v>10488643.449999999</v>
          </cell>
          <cell r="T125">
            <v>10488643.450000001</v>
          </cell>
        </row>
        <row r="126">
          <cell r="A126" t="str">
            <v>F40810C</v>
          </cell>
          <cell r="B126" t="str">
            <v>TAXES OTHER THAN INCOME TAXES</v>
          </cell>
          <cell r="C126">
            <v>7592.58</v>
          </cell>
          <cell r="D126">
            <v>-265.37</v>
          </cell>
          <cell r="E126">
            <v>-554.11</v>
          </cell>
          <cell r="F126">
            <v>-1037136.11</v>
          </cell>
          <cell r="G126">
            <v>-1053869.1399999999</v>
          </cell>
          <cell r="H126">
            <v>3651383.56</v>
          </cell>
          <cell r="I126">
            <v>4484816.8499999996</v>
          </cell>
          <cell r="J126">
            <v>501984.69</v>
          </cell>
          <cell r="K126">
            <v>669937.77</v>
          </cell>
          <cell r="L126">
            <v>453746.01</v>
          </cell>
          <cell r="M126">
            <v>696825.16</v>
          </cell>
          <cell r="N126">
            <v>457185.14</v>
          </cell>
          <cell r="O126">
            <v>541274.21</v>
          </cell>
          <cell r="P126">
            <v>9365328.6600000001</v>
          </cell>
          <cell r="R126" t="str">
            <v>F40810C</v>
          </cell>
          <cell r="S126">
            <v>9365328.6600000001</v>
          </cell>
          <cell r="T126">
            <v>9372921.2400000002</v>
          </cell>
        </row>
        <row r="127">
          <cell r="A127" t="str">
            <v>F40810E</v>
          </cell>
          <cell r="B127" t="str">
            <v>TAXES OTHER THAN INCOME TAXES</v>
          </cell>
          <cell r="C127">
            <v>4917246.1500000004</v>
          </cell>
          <cell r="D127">
            <v>430623.17</v>
          </cell>
          <cell r="E127">
            <v>371050.11</v>
          </cell>
          <cell r="P127">
            <v>801673.28</v>
          </cell>
          <cell r="R127" t="str">
            <v>F40810E</v>
          </cell>
          <cell r="S127">
            <v>801673.28</v>
          </cell>
          <cell r="T127">
            <v>5718919.4300000006</v>
          </cell>
        </row>
        <row r="128">
          <cell r="A128" t="str">
            <v>F40810G</v>
          </cell>
          <cell r="B128" t="str">
            <v>TAXES OTHER THAN INCOME TAXES</v>
          </cell>
          <cell r="C128">
            <v>1818407.31</v>
          </cell>
          <cell r="D128">
            <v>164265.07</v>
          </cell>
          <cell r="E128">
            <v>126610.22</v>
          </cell>
          <cell r="P128">
            <v>290875.29000000004</v>
          </cell>
          <cell r="R128" t="str">
            <v>F40810G</v>
          </cell>
          <cell r="S128">
            <v>290875.28999999998</v>
          </cell>
          <cell r="T128">
            <v>2109282.6</v>
          </cell>
        </row>
        <row r="129">
          <cell r="A129" t="str">
            <v>F40811E</v>
          </cell>
          <cell r="B129" t="str">
            <v>PROPERTY TAXES ELEC</v>
          </cell>
          <cell r="C129">
            <v>30532995.329999998</v>
          </cell>
          <cell r="D129">
            <v>2607065</v>
          </cell>
          <cell r="E129">
            <v>2607065</v>
          </cell>
          <cell r="N129">
            <v>2373715.91</v>
          </cell>
          <cell r="O129">
            <v>-1200116.1200000001</v>
          </cell>
          <cell r="P129">
            <v>6387729.79</v>
          </cell>
          <cell r="R129" t="str">
            <v>F40811E</v>
          </cell>
          <cell r="S129">
            <v>6387729.79</v>
          </cell>
          <cell r="T129">
            <v>36920725.119999997</v>
          </cell>
        </row>
        <row r="130">
          <cell r="A130" t="str">
            <v>F40811G</v>
          </cell>
          <cell r="B130" t="str">
            <v>PROPERTY TAXES GAS</v>
          </cell>
          <cell r="C130">
            <v>4931837.37</v>
          </cell>
          <cell r="D130">
            <v>445804</v>
          </cell>
          <cell r="E130">
            <v>445804</v>
          </cell>
          <cell r="N130">
            <v>426139.24</v>
          </cell>
          <cell r="O130">
            <v>-1599738.56</v>
          </cell>
          <cell r="P130">
            <v>-281991.32000000007</v>
          </cell>
          <cell r="R130" t="str">
            <v>F40811G</v>
          </cell>
          <cell r="S130">
            <v>-281991.32</v>
          </cell>
          <cell r="T130">
            <v>4649846.05</v>
          </cell>
        </row>
        <row r="131">
          <cell r="A131" t="str">
            <v>F40820C</v>
          </cell>
          <cell r="B131" t="str">
            <v>TAXES OTHER THAN INCOME TAXES</v>
          </cell>
          <cell r="C131">
            <v>296072.96000000002</v>
          </cell>
          <cell r="D131">
            <v>-664.06</v>
          </cell>
          <cell r="E131">
            <v>30564</v>
          </cell>
          <cell r="F131">
            <v>30563.73</v>
          </cell>
          <cell r="G131">
            <v>30564</v>
          </cell>
          <cell r="H131">
            <v>30563.95</v>
          </cell>
          <cell r="I131">
            <v>11242.76</v>
          </cell>
          <cell r="J131">
            <v>30564</v>
          </cell>
          <cell r="K131">
            <v>30563.97</v>
          </cell>
          <cell r="L131">
            <v>30564</v>
          </cell>
          <cell r="M131">
            <v>19921.03</v>
          </cell>
          <cell r="N131">
            <v>30691.37</v>
          </cell>
          <cell r="O131">
            <v>5165.63</v>
          </cell>
          <cell r="P131">
            <v>280304.38</v>
          </cell>
          <cell r="R131" t="str">
            <v>F40820C</v>
          </cell>
          <cell r="S131">
            <v>280304.38</v>
          </cell>
          <cell r="T131">
            <v>576377.34000000008</v>
          </cell>
        </row>
        <row r="132">
          <cell r="A132" t="str">
            <v>F40830E</v>
          </cell>
          <cell r="B132" t="str">
            <v>TAXES OTHER THAN INCOME TAXES-PROPERTY ELECTRIC</v>
          </cell>
          <cell r="F132">
            <v>2607065</v>
          </cell>
          <cell r="G132">
            <v>2607065</v>
          </cell>
          <cell r="H132">
            <v>2607065</v>
          </cell>
          <cell r="I132">
            <v>3398774.5</v>
          </cell>
          <cell r="J132">
            <v>1463918.38</v>
          </cell>
          <cell r="K132">
            <v>2373716</v>
          </cell>
          <cell r="L132">
            <v>2373716</v>
          </cell>
          <cell r="M132">
            <v>2357675.5</v>
          </cell>
          <cell r="N132">
            <v>0</v>
          </cell>
          <cell r="O132">
            <v>2787773.39</v>
          </cell>
          <cell r="P132">
            <v>22576768.77</v>
          </cell>
          <cell r="R132" t="str">
            <v>F40830E</v>
          </cell>
          <cell r="S132">
            <v>22576768.77</v>
          </cell>
          <cell r="T132">
            <v>22576768.77</v>
          </cell>
        </row>
        <row r="133">
          <cell r="A133" t="str">
            <v>F40830G</v>
          </cell>
          <cell r="B133" t="str">
            <v>PROPERTY TAXES GAS</v>
          </cell>
          <cell r="F133">
            <v>445804</v>
          </cell>
          <cell r="G133">
            <v>445804</v>
          </cell>
          <cell r="H133">
            <v>445804</v>
          </cell>
          <cell r="I133">
            <v>-445804</v>
          </cell>
          <cell r="J133">
            <v>1335935.6200000001</v>
          </cell>
          <cell r="K133">
            <v>426138</v>
          </cell>
          <cell r="L133">
            <v>426138</v>
          </cell>
          <cell r="M133">
            <v>424830.83</v>
          </cell>
          <cell r="N133">
            <v>0</v>
          </cell>
          <cell r="O133">
            <v>1803436.55</v>
          </cell>
          <cell r="P133">
            <v>5308087</v>
          </cell>
          <cell r="R133" t="str">
            <v>F40830G</v>
          </cell>
          <cell r="S133">
            <v>5308087</v>
          </cell>
          <cell r="T133">
            <v>5308087</v>
          </cell>
        </row>
        <row r="134">
          <cell r="A134" t="str">
            <v>F40910E</v>
          </cell>
          <cell r="B134" t="str">
            <v>INCOME TAXES-FEDERAL (409.1)</v>
          </cell>
          <cell r="C134">
            <v>52551000</v>
          </cell>
          <cell r="D134">
            <v>82782000</v>
          </cell>
          <cell r="E134">
            <v>9088000</v>
          </cell>
          <cell r="F134">
            <v>15894000</v>
          </cell>
          <cell r="G134">
            <v>7738000</v>
          </cell>
          <cell r="H134">
            <v>-36138000</v>
          </cell>
          <cell r="I134">
            <v>7857000</v>
          </cell>
          <cell r="J134">
            <v>114694000</v>
          </cell>
          <cell r="K134">
            <v>20020670.059999999</v>
          </cell>
          <cell r="L134">
            <v>3687000</v>
          </cell>
          <cell r="M134">
            <v>10858000</v>
          </cell>
          <cell r="N134">
            <v>-54007000</v>
          </cell>
          <cell r="O134">
            <v>-54506000</v>
          </cell>
          <cell r="P134">
            <v>127967670.06</v>
          </cell>
          <cell r="R134" t="str">
            <v>F40910E</v>
          </cell>
          <cell r="S134">
            <v>127967670.06</v>
          </cell>
          <cell r="T134">
            <v>180518670.06</v>
          </cell>
        </row>
        <row r="135">
          <cell r="A135" t="str">
            <v>F40910G</v>
          </cell>
          <cell r="B135" t="str">
            <v>INCOME TAXES-FEDERAL (409.1)</v>
          </cell>
          <cell r="C135">
            <v>13899000</v>
          </cell>
          <cell r="D135">
            <v>1443000</v>
          </cell>
          <cell r="E135">
            <v>3451000</v>
          </cell>
          <cell r="F135">
            <v>-395000</v>
          </cell>
          <cell r="G135">
            <v>3072000</v>
          </cell>
          <cell r="H135">
            <v>1878000</v>
          </cell>
          <cell r="I135">
            <v>-2246000</v>
          </cell>
          <cell r="J135">
            <v>1457000</v>
          </cell>
          <cell r="K135">
            <v>821000</v>
          </cell>
          <cell r="L135">
            <v>2777000</v>
          </cell>
          <cell r="M135">
            <v>1856000</v>
          </cell>
          <cell r="N135">
            <v>-1995000</v>
          </cell>
          <cell r="O135">
            <v>2383000</v>
          </cell>
          <cell r="P135">
            <v>14502000</v>
          </cell>
          <cell r="R135" t="str">
            <v>F40910G</v>
          </cell>
          <cell r="S135">
            <v>14502000</v>
          </cell>
          <cell r="T135">
            <v>28401000</v>
          </cell>
        </row>
        <row r="136">
          <cell r="A136" t="str">
            <v>F40911E</v>
          </cell>
          <cell r="B136" t="str">
            <v>STATE INCOME TAXES ELEC</v>
          </cell>
          <cell r="C136">
            <v>16344000</v>
          </cell>
          <cell r="D136">
            <v>20677000</v>
          </cell>
          <cell r="E136">
            <v>0</v>
          </cell>
          <cell r="F136">
            <v>5755000</v>
          </cell>
          <cell r="G136">
            <v>6441000</v>
          </cell>
          <cell r="H136">
            <v>3938000</v>
          </cell>
          <cell r="I136">
            <v>-2517000</v>
          </cell>
          <cell r="J136">
            <v>3500000</v>
          </cell>
          <cell r="K136">
            <v>-73000</v>
          </cell>
          <cell r="L136">
            <v>6069000</v>
          </cell>
          <cell r="M136">
            <v>4056000</v>
          </cell>
          <cell r="N136">
            <v>-11567815</v>
          </cell>
          <cell r="O136">
            <v>11032000</v>
          </cell>
          <cell r="P136">
            <v>47310185</v>
          </cell>
          <cell r="R136" t="str">
            <v>F40911E</v>
          </cell>
          <cell r="S136">
            <v>47310185</v>
          </cell>
          <cell r="T136">
            <v>63654185</v>
          </cell>
        </row>
        <row r="137">
          <cell r="A137" t="str">
            <v>F40911G</v>
          </cell>
          <cell r="B137" t="str">
            <v>STATE INCOME TAXES GAS</v>
          </cell>
          <cell r="C137">
            <v>3855000</v>
          </cell>
          <cell r="D137">
            <v>342000</v>
          </cell>
          <cell r="E137">
            <v>0</v>
          </cell>
          <cell r="F137">
            <v>745000</v>
          </cell>
          <cell r="G137">
            <v>742000</v>
          </cell>
          <cell r="H137">
            <v>453000</v>
          </cell>
          <cell r="I137">
            <v>-427000</v>
          </cell>
          <cell r="J137">
            <v>375000</v>
          </cell>
          <cell r="K137">
            <v>211000</v>
          </cell>
          <cell r="L137">
            <v>715000</v>
          </cell>
          <cell r="M137">
            <v>478000</v>
          </cell>
          <cell r="N137">
            <v>-930000</v>
          </cell>
          <cell r="O137">
            <v>696000</v>
          </cell>
          <cell r="P137">
            <v>3400000</v>
          </cell>
          <cell r="R137" t="str">
            <v>F40911G</v>
          </cell>
          <cell r="S137">
            <v>3400000</v>
          </cell>
          <cell r="T137">
            <v>7255000</v>
          </cell>
        </row>
        <row r="138">
          <cell r="A138" t="str">
            <v>F40920C</v>
          </cell>
          <cell r="B138" t="str">
            <v>TAXES ON NON OPERATING INCOME</v>
          </cell>
          <cell r="C138">
            <v>19103000</v>
          </cell>
          <cell r="D138">
            <v>1380000</v>
          </cell>
          <cell r="E138">
            <v>11000</v>
          </cell>
          <cell r="F138">
            <v>5529000</v>
          </cell>
          <cell r="G138">
            <v>742000</v>
          </cell>
          <cell r="H138">
            <v>1288000</v>
          </cell>
          <cell r="I138">
            <v>1538000</v>
          </cell>
          <cell r="J138">
            <v>2070000</v>
          </cell>
          <cell r="K138">
            <v>1597000</v>
          </cell>
          <cell r="L138">
            <v>6685000</v>
          </cell>
          <cell r="M138">
            <v>1766000</v>
          </cell>
          <cell r="N138">
            <v>5935000</v>
          </cell>
          <cell r="O138">
            <v>-8540000</v>
          </cell>
          <cell r="P138">
            <v>20001000</v>
          </cell>
          <cell r="R138" t="str">
            <v>F40920C</v>
          </cell>
          <cell r="S138">
            <v>20001000</v>
          </cell>
          <cell r="T138">
            <v>39104000</v>
          </cell>
        </row>
        <row r="139">
          <cell r="A139" t="str">
            <v>F41010E</v>
          </cell>
          <cell r="B139" t="str">
            <v>PROVISION FOR DEFERRED INCOME TAXES FED ELECTRIC</v>
          </cell>
          <cell r="C139">
            <v>428711000</v>
          </cell>
          <cell r="D139">
            <v>1587000</v>
          </cell>
          <cell r="E139">
            <v>0</v>
          </cell>
          <cell r="F139">
            <v>2396000</v>
          </cell>
          <cell r="G139">
            <v>2720000</v>
          </cell>
          <cell r="H139">
            <v>1663000</v>
          </cell>
          <cell r="I139">
            <v>7343000</v>
          </cell>
          <cell r="J139">
            <v>2481000</v>
          </cell>
          <cell r="K139">
            <v>8017000</v>
          </cell>
          <cell r="L139">
            <v>4727000</v>
          </cell>
          <cell r="M139">
            <v>3158000</v>
          </cell>
          <cell r="N139">
            <v>62067000</v>
          </cell>
          <cell r="O139">
            <v>2593000</v>
          </cell>
          <cell r="P139">
            <v>98752000</v>
          </cell>
          <cell r="R139" t="str">
            <v>F41010E</v>
          </cell>
          <cell r="S139">
            <v>98752000</v>
          </cell>
          <cell r="T139">
            <v>527463000</v>
          </cell>
        </row>
        <row r="140">
          <cell r="A140" t="str">
            <v>F41010G</v>
          </cell>
          <cell r="B140" t="str">
            <v>PROVISION FOR DEFERRED INCOME TAXES FED  GAS</v>
          </cell>
          <cell r="C140">
            <v>33323000</v>
          </cell>
          <cell r="D140">
            <v>50000</v>
          </cell>
          <cell r="E140">
            <v>0</v>
          </cell>
          <cell r="F140">
            <v>80000</v>
          </cell>
          <cell r="G140">
            <v>89000</v>
          </cell>
          <cell r="H140">
            <v>55000</v>
          </cell>
          <cell r="I140">
            <v>2027000</v>
          </cell>
          <cell r="J140">
            <v>261000</v>
          </cell>
          <cell r="K140">
            <v>148000</v>
          </cell>
          <cell r="L140">
            <v>499000</v>
          </cell>
          <cell r="M140">
            <v>333000</v>
          </cell>
          <cell r="N140">
            <v>1657000</v>
          </cell>
          <cell r="O140">
            <v>27000</v>
          </cell>
          <cell r="P140">
            <v>5226000</v>
          </cell>
          <cell r="R140" t="str">
            <v>F41010G</v>
          </cell>
          <cell r="S140">
            <v>5226000</v>
          </cell>
          <cell r="T140">
            <v>38549000</v>
          </cell>
        </row>
        <row r="141">
          <cell r="A141" t="str">
            <v>F41011E</v>
          </cell>
          <cell r="B141" t="str">
            <v>PROVISION FOR DEFERRED INCOME TAXES STATE ELECTRIC</v>
          </cell>
          <cell r="C141">
            <v>98447000</v>
          </cell>
          <cell r="D141">
            <v>33000</v>
          </cell>
          <cell r="E141">
            <v>0</v>
          </cell>
          <cell r="F141">
            <v>10000</v>
          </cell>
          <cell r="G141">
            <v>30000</v>
          </cell>
          <cell r="H141">
            <v>18000</v>
          </cell>
          <cell r="I141">
            <v>2037000</v>
          </cell>
          <cell r="J141">
            <v>271000</v>
          </cell>
          <cell r="K141">
            <v>1422000</v>
          </cell>
          <cell r="L141">
            <v>516000</v>
          </cell>
          <cell r="M141">
            <v>344000</v>
          </cell>
          <cell r="N141">
            <v>13898000</v>
          </cell>
          <cell r="O141">
            <v>273000</v>
          </cell>
          <cell r="P141">
            <v>18852000</v>
          </cell>
          <cell r="R141" t="str">
            <v>F41011E</v>
          </cell>
          <cell r="S141">
            <v>18852000</v>
          </cell>
          <cell r="T141">
            <v>117299000</v>
          </cell>
        </row>
        <row r="142">
          <cell r="A142" t="str">
            <v>F41011G</v>
          </cell>
          <cell r="B142" t="str">
            <v>PROVISION FOR DEFERRED INCOME TAXES STATE GAS</v>
          </cell>
          <cell r="C142">
            <v>5310000</v>
          </cell>
          <cell r="D142">
            <v>8000</v>
          </cell>
          <cell r="E142">
            <v>0</v>
          </cell>
          <cell r="F142">
            <v>14000</v>
          </cell>
          <cell r="G142">
            <v>15000</v>
          </cell>
          <cell r="H142">
            <v>9000</v>
          </cell>
          <cell r="I142">
            <v>315000</v>
          </cell>
          <cell r="J142">
            <v>52000</v>
          </cell>
          <cell r="K142">
            <v>30000</v>
          </cell>
          <cell r="L142">
            <v>99000</v>
          </cell>
          <cell r="M142">
            <v>67000</v>
          </cell>
          <cell r="N142">
            <v>638000</v>
          </cell>
          <cell r="O142">
            <v>0</v>
          </cell>
          <cell r="P142">
            <v>1247000</v>
          </cell>
          <cell r="R142" t="str">
            <v>F41011G</v>
          </cell>
          <cell r="S142">
            <v>1247000</v>
          </cell>
          <cell r="T142">
            <v>6557000</v>
          </cell>
        </row>
        <row r="143">
          <cell r="A143" t="str">
            <v>F41020C</v>
          </cell>
          <cell r="B143" t="str">
            <v>PROVISION FOR DEFERRED INC. TAXES NON OPERATING IN</v>
          </cell>
          <cell r="C143">
            <v>1695000</v>
          </cell>
          <cell r="D143">
            <v>75000</v>
          </cell>
          <cell r="E143">
            <v>0</v>
          </cell>
          <cell r="F143">
            <v>99000</v>
          </cell>
          <cell r="G143">
            <v>119000</v>
          </cell>
          <cell r="H143">
            <v>73000</v>
          </cell>
          <cell r="I143">
            <v>40000</v>
          </cell>
          <cell r="J143">
            <v>79000</v>
          </cell>
          <cell r="K143">
            <v>45000</v>
          </cell>
          <cell r="L143">
            <v>148000</v>
          </cell>
          <cell r="M143">
            <v>101000</v>
          </cell>
          <cell r="N143">
            <v>329000</v>
          </cell>
          <cell r="O143">
            <v>9864000</v>
          </cell>
          <cell r="P143">
            <v>10972000</v>
          </cell>
          <cell r="R143" t="str">
            <v>F41020C</v>
          </cell>
          <cell r="S143">
            <v>10972000</v>
          </cell>
          <cell r="T143">
            <v>12667000</v>
          </cell>
        </row>
        <row r="144">
          <cell r="A144" t="str">
            <v>F41110E</v>
          </cell>
          <cell r="B144" t="str">
            <v>(LESS) PROVISION FOR DEFERRED INCOME TAXES-FED ELE</v>
          </cell>
          <cell r="C144">
            <v>-383969000</v>
          </cell>
          <cell r="D144">
            <v>-70427000</v>
          </cell>
          <cell r="E144">
            <v>0</v>
          </cell>
          <cell r="F144">
            <v>-4871000</v>
          </cell>
          <cell r="G144">
            <v>-5395000</v>
          </cell>
          <cell r="H144">
            <v>-3299000</v>
          </cell>
          <cell r="I144">
            <v>-1367000</v>
          </cell>
          <cell r="J144">
            <v>-106938000</v>
          </cell>
          <cell r="K144">
            <v>-12565670.060000001</v>
          </cell>
          <cell r="L144">
            <v>-3219000</v>
          </cell>
          <cell r="M144">
            <v>-2152000</v>
          </cell>
          <cell r="N144">
            <v>-9111185</v>
          </cell>
          <cell r="O144">
            <v>60556000</v>
          </cell>
          <cell r="P144">
            <v>-158788855.06</v>
          </cell>
          <cell r="R144" t="str">
            <v>F41110E</v>
          </cell>
          <cell r="S144">
            <v>-158788855.06</v>
          </cell>
          <cell r="T144">
            <v>-542757855.05999994</v>
          </cell>
        </row>
        <row r="145">
          <cell r="A145" t="str">
            <v>F41110G</v>
          </cell>
          <cell r="B145" t="str">
            <v>(LESS) PROVISION FOR DEFERRED INCOME TAXES-FED GAS</v>
          </cell>
          <cell r="C145">
            <v>-32056000</v>
          </cell>
          <cell r="D145">
            <v>-177000</v>
          </cell>
          <cell r="E145">
            <v>0</v>
          </cell>
          <cell r="F145">
            <v>-289000</v>
          </cell>
          <cell r="G145">
            <v>-318000</v>
          </cell>
          <cell r="H145">
            <v>-194000</v>
          </cell>
          <cell r="I145">
            <v>-177000</v>
          </cell>
          <cell r="J145">
            <v>-30000</v>
          </cell>
          <cell r="K145">
            <v>-17000</v>
          </cell>
          <cell r="L145">
            <v>-56000</v>
          </cell>
          <cell r="M145">
            <v>-39000</v>
          </cell>
          <cell r="N145">
            <v>-2929000</v>
          </cell>
          <cell r="O145">
            <v>-2012000</v>
          </cell>
          <cell r="P145">
            <v>-6238000</v>
          </cell>
          <cell r="R145" t="str">
            <v>F41110G</v>
          </cell>
          <cell r="S145">
            <v>-6238000</v>
          </cell>
          <cell r="T145">
            <v>-38294000</v>
          </cell>
        </row>
        <row r="146">
          <cell r="A146" t="str">
            <v>F41112E</v>
          </cell>
          <cell r="B146" t="str">
            <v>(LESS) PROVISION FOR DEFERRED INCOME TAXES-STATE E</v>
          </cell>
          <cell r="C146">
            <v>-97347000</v>
          </cell>
          <cell r="D146">
            <v>-18458000</v>
          </cell>
          <cell r="E146">
            <v>0</v>
          </cell>
          <cell r="F146">
            <v>-2345000</v>
          </cell>
          <cell r="G146">
            <v>-2597000</v>
          </cell>
          <cell r="H146">
            <v>-1588000</v>
          </cell>
          <cell r="I146">
            <v>-220000</v>
          </cell>
          <cell r="J146">
            <v>-1502000</v>
          </cell>
          <cell r="K146">
            <v>-14000</v>
          </cell>
          <cell r="L146">
            <v>-2245000</v>
          </cell>
          <cell r="M146">
            <v>-1501000</v>
          </cell>
          <cell r="N146">
            <v>-752000</v>
          </cell>
          <cell r="O146">
            <v>-14530000</v>
          </cell>
          <cell r="P146">
            <v>-45752000</v>
          </cell>
          <cell r="R146" t="str">
            <v>F41112E</v>
          </cell>
          <cell r="S146">
            <v>-45752000</v>
          </cell>
          <cell r="T146">
            <v>-143099000</v>
          </cell>
        </row>
        <row r="147">
          <cell r="A147" t="str">
            <v>F41112G</v>
          </cell>
          <cell r="B147" t="str">
            <v>(LESS) PROVISION FOR DEFERRED INCOME TAXES-STATE G</v>
          </cell>
          <cell r="C147">
            <v>-3518000</v>
          </cell>
          <cell r="D147">
            <v>-42000</v>
          </cell>
          <cell r="E147">
            <v>0</v>
          </cell>
          <cell r="F147">
            <v>-67000</v>
          </cell>
          <cell r="G147">
            <v>-74000</v>
          </cell>
          <cell r="H147">
            <v>-45000</v>
          </cell>
          <cell r="I147">
            <v>-89000</v>
          </cell>
          <cell r="J147">
            <v>-44000</v>
          </cell>
          <cell r="K147">
            <v>-25000</v>
          </cell>
          <cell r="L147">
            <v>-82000</v>
          </cell>
          <cell r="M147">
            <v>-57000</v>
          </cell>
          <cell r="N147">
            <v>-431000</v>
          </cell>
          <cell r="O147">
            <v>-491000</v>
          </cell>
          <cell r="P147">
            <v>-1447000</v>
          </cell>
          <cell r="R147" t="str">
            <v>F41112G</v>
          </cell>
          <cell r="S147">
            <v>-1447000</v>
          </cell>
          <cell r="T147">
            <v>-4965000</v>
          </cell>
        </row>
        <row r="148">
          <cell r="A148" t="str">
            <v>F41120C</v>
          </cell>
          <cell r="B148" t="str">
            <v>(LESS) PROVISION FOR DEFERRED INCOME TAXES-NON OP</v>
          </cell>
          <cell r="C148">
            <v>-11995000</v>
          </cell>
          <cell r="H148">
            <v>0</v>
          </cell>
          <cell r="I148">
            <v>-18000</v>
          </cell>
          <cell r="N148">
            <v>-4000000</v>
          </cell>
          <cell r="O148">
            <v>-3384000</v>
          </cell>
          <cell r="P148">
            <v>-7402000</v>
          </cell>
          <cell r="R148" t="str">
            <v>F41120C</v>
          </cell>
          <cell r="S148">
            <v>-7402000</v>
          </cell>
          <cell r="T148">
            <v>-19397000</v>
          </cell>
        </row>
        <row r="149">
          <cell r="A149" t="str">
            <v>F41140E</v>
          </cell>
          <cell r="B149" t="str">
            <v>INVESTMENT TAX CREDIT ADJ.-FED ELECTRIC</v>
          </cell>
          <cell r="C149">
            <v>-2629000</v>
          </cell>
          <cell r="D149">
            <v>-219000</v>
          </cell>
          <cell r="E149">
            <v>0</v>
          </cell>
          <cell r="F149">
            <v>-352000</v>
          </cell>
          <cell r="G149">
            <v>-390000</v>
          </cell>
          <cell r="H149">
            <v>-239000</v>
          </cell>
          <cell r="I149">
            <v>67000</v>
          </cell>
          <cell r="J149">
            <v>-230000</v>
          </cell>
          <cell r="K149">
            <v>-129000</v>
          </cell>
          <cell r="L149">
            <v>-437000</v>
          </cell>
          <cell r="M149">
            <v>-292000</v>
          </cell>
          <cell r="N149">
            <v>-237000</v>
          </cell>
          <cell r="O149">
            <v>181000</v>
          </cell>
          <cell r="P149">
            <v>-2277000</v>
          </cell>
          <cell r="R149" t="str">
            <v>F41140E</v>
          </cell>
          <cell r="S149">
            <v>-2277000</v>
          </cell>
          <cell r="T149">
            <v>-4906000</v>
          </cell>
        </row>
        <row r="150">
          <cell r="A150" t="str">
            <v>F41140G</v>
          </cell>
          <cell r="B150" t="str">
            <v>INVESTMENT TAX CREDIT ADJ.-FED GAS</v>
          </cell>
          <cell r="C150">
            <v>-247000</v>
          </cell>
          <cell r="D150">
            <v>-21000</v>
          </cell>
          <cell r="E150">
            <v>0</v>
          </cell>
          <cell r="F150">
            <v>-33000</v>
          </cell>
          <cell r="G150">
            <v>-36000</v>
          </cell>
          <cell r="H150">
            <v>-23000</v>
          </cell>
          <cell r="I150">
            <v>6000</v>
          </cell>
          <cell r="J150">
            <v>-21000</v>
          </cell>
          <cell r="K150">
            <v>-12000</v>
          </cell>
          <cell r="L150">
            <v>-42000</v>
          </cell>
          <cell r="M150">
            <v>-27000</v>
          </cell>
          <cell r="N150">
            <v>31000</v>
          </cell>
          <cell r="O150">
            <v>-401000</v>
          </cell>
          <cell r="P150">
            <v>-579000</v>
          </cell>
          <cell r="R150" t="str">
            <v>F41140G</v>
          </cell>
          <cell r="S150">
            <v>-579000</v>
          </cell>
          <cell r="T150">
            <v>-826000</v>
          </cell>
        </row>
        <row r="151">
          <cell r="A151" t="str">
            <v>F41160E</v>
          </cell>
          <cell r="B151" t="str">
            <v>GAIN FROM DISP UT PLANT</v>
          </cell>
          <cell r="C151">
            <v>0</v>
          </cell>
          <cell r="H151">
            <v>-43752302.68</v>
          </cell>
          <cell r="I151">
            <v>-275065835.74000001</v>
          </cell>
          <cell r="N151">
            <v>0</v>
          </cell>
          <cell r="O151">
            <v>-8146884.9900000002</v>
          </cell>
          <cell r="P151">
            <v>-326965023.41000003</v>
          </cell>
          <cell r="R151" t="str">
            <v>F41160E</v>
          </cell>
          <cell r="S151">
            <v>-326965023.41000003</v>
          </cell>
          <cell r="T151">
            <v>-326965023.41000003</v>
          </cell>
        </row>
        <row r="152">
          <cell r="A152" t="str">
            <v>F41170E</v>
          </cell>
          <cell r="B152" t="str">
            <v>LOSSES FROM DISP UT PLANT</v>
          </cell>
          <cell r="C152">
            <v>0</v>
          </cell>
          <cell r="F152">
            <v>0</v>
          </cell>
          <cell r="G152">
            <v>3792243.02</v>
          </cell>
          <cell r="H152">
            <v>0</v>
          </cell>
          <cell r="I152">
            <v>4883000</v>
          </cell>
          <cell r="N152">
            <v>0</v>
          </cell>
          <cell r="O152">
            <v>0.02</v>
          </cell>
          <cell r="P152">
            <v>8675243.0399999991</v>
          </cell>
          <cell r="R152" t="str">
            <v>F41170E</v>
          </cell>
          <cell r="S152">
            <v>8675243.0399999991</v>
          </cell>
          <cell r="T152">
            <v>8675243.0399999991</v>
          </cell>
        </row>
        <row r="153">
          <cell r="A153" t="str">
            <v>F41700C</v>
          </cell>
          <cell r="B153" t="str">
            <v>REVENUES FROM NONUTILITY OPERATIONS</v>
          </cell>
          <cell r="C153">
            <v>0</v>
          </cell>
          <cell r="F153">
            <v>379.51</v>
          </cell>
          <cell r="G153">
            <v>142.82</v>
          </cell>
          <cell r="H153">
            <v>1039.42</v>
          </cell>
          <cell r="I153">
            <v>851.94</v>
          </cell>
          <cell r="J153">
            <v>6861.69</v>
          </cell>
          <cell r="K153">
            <v>0</v>
          </cell>
          <cell r="L153">
            <v>-781.6</v>
          </cell>
          <cell r="M153">
            <v>95.46</v>
          </cell>
          <cell r="P153">
            <v>8589.239999999998</v>
          </cell>
          <cell r="R153" t="str">
            <v>F41700C</v>
          </cell>
          <cell r="S153">
            <v>8589.24</v>
          </cell>
          <cell r="T153">
            <v>8589.239999999998</v>
          </cell>
        </row>
        <row r="154">
          <cell r="A154" t="str">
            <v>F41710C</v>
          </cell>
          <cell r="B154" t="str">
            <v>EXPENSES OF NONUTILITY OPERATIONS</v>
          </cell>
          <cell r="C154">
            <v>171697.64</v>
          </cell>
          <cell r="D154">
            <v>0</v>
          </cell>
          <cell r="E154">
            <v>473.85</v>
          </cell>
          <cell r="F154">
            <v>21522.73</v>
          </cell>
          <cell r="G154">
            <v>21521.74</v>
          </cell>
          <cell r="H154">
            <v>21521.759999999998</v>
          </cell>
          <cell r="I154">
            <v>12720.58</v>
          </cell>
          <cell r="J154">
            <v>12720.56</v>
          </cell>
          <cell r="K154">
            <v>12720.57</v>
          </cell>
          <cell r="L154">
            <v>12720.58</v>
          </cell>
          <cell r="M154">
            <v>12720.57</v>
          </cell>
          <cell r="N154">
            <v>12720.58</v>
          </cell>
          <cell r="O154">
            <v>12720.57</v>
          </cell>
          <cell r="P154">
            <v>154084.09</v>
          </cell>
          <cell r="R154" t="str">
            <v>F41710C</v>
          </cell>
          <cell r="S154">
            <v>154084.09</v>
          </cell>
          <cell r="T154">
            <v>325781.73</v>
          </cell>
        </row>
        <row r="155">
          <cell r="A155" t="str">
            <v>F41800C</v>
          </cell>
          <cell r="B155" t="str">
            <v>NONOPERATING RENTAL INCOME</v>
          </cell>
          <cell r="C155">
            <v>-1435469.9</v>
          </cell>
          <cell r="D155">
            <v>-412735.47</v>
          </cell>
          <cell r="E155">
            <v>-30761.39</v>
          </cell>
          <cell r="F155">
            <v>-10466.65</v>
          </cell>
          <cell r="G155">
            <v>-10761.14</v>
          </cell>
          <cell r="H155">
            <v>-32535.65</v>
          </cell>
          <cell r="I155">
            <v>-32699.65</v>
          </cell>
          <cell r="J155">
            <v>-411970.7</v>
          </cell>
          <cell r="K155">
            <v>-32755.82</v>
          </cell>
          <cell r="L155">
            <v>-186830.13</v>
          </cell>
          <cell r="M155">
            <v>-31320.9</v>
          </cell>
          <cell r="N155">
            <v>23943.46</v>
          </cell>
          <cell r="O155">
            <v>-146135.20000000001</v>
          </cell>
          <cell r="P155">
            <v>-1315029.24</v>
          </cell>
          <cell r="R155" t="str">
            <v>F41800C</v>
          </cell>
          <cell r="S155">
            <v>-1315029.24</v>
          </cell>
          <cell r="T155">
            <v>-2750499.1399999997</v>
          </cell>
        </row>
        <row r="156">
          <cell r="A156" t="str">
            <v>F41900C</v>
          </cell>
          <cell r="B156" t="str">
            <v>INTEREST AND DIVIDEND INCOME</v>
          </cell>
          <cell r="C156">
            <v>-38623633.659999996</v>
          </cell>
          <cell r="D156">
            <v>-2668921.27</v>
          </cell>
          <cell r="E156">
            <v>-2506200.79</v>
          </cell>
          <cell r="F156">
            <v>-2584060.37</v>
          </cell>
          <cell r="G156">
            <v>-1991642.67</v>
          </cell>
          <cell r="H156">
            <v>-2815863.11</v>
          </cell>
          <cell r="I156">
            <v>-3607062.2</v>
          </cell>
          <cell r="J156">
            <v>-4890966.72</v>
          </cell>
          <cell r="K156">
            <v>-4188617.89</v>
          </cell>
          <cell r="L156">
            <v>-4262115.3099999996</v>
          </cell>
          <cell r="M156">
            <v>-4402250.75</v>
          </cell>
          <cell r="N156">
            <v>-4361155.87</v>
          </cell>
          <cell r="O156">
            <v>-4984653.22</v>
          </cell>
          <cell r="P156">
            <v>-43263510.169999994</v>
          </cell>
          <cell r="R156" t="str">
            <v>F41900C</v>
          </cell>
          <cell r="S156">
            <v>-43263510.170000002</v>
          </cell>
          <cell r="T156">
            <v>-81887143.829999983</v>
          </cell>
        </row>
        <row r="157">
          <cell r="A157" t="str">
            <v>F41910C</v>
          </cell>
          <cell r="B157" t="str">
            <v>ALLOWANCE FOR OTHER FUNDS USED DURING CONSTRUCTION</v>
          </cell>
          <cell r="C157">
            <v>-4604516.45</v>
          </cell>
          <cell r="D157">
            <v>-370705.35</v>
          </cell>
          <cell r="E157">
            <v>-340131.56</v>
          </cell>
          <cell r="F157">
            <v>-272698.5</v>
          </cell>
          <cell r="G157">
            <v>15.99</v>
          </cell>
          <cell r="H157">
            <v>3324.16</v>
          </cell>
          <cell r="I157">
            <v>20.68</v>
          </cell>
          <cell r="J157">
            <v>-421711.27</v>
          </cell>
          <cell r="K157">
            <v>-436553.56</v>
          </cell>
          <cell r="L157">
            <v>-415866.2</v>
          </cell>
          <cell r="M157">
            <v>-483960.64</v>
          </cell>
          <cell r="N157">
            <v>-440762.28</v>
          </cell>
          <cell r="O157">
            <v>-493621.87</v>
          </cell>
          <cell r="P157">
            <v>-3672650.4000000004</v>
          </cell>
          <cell r="R157" t="str">
            <v>F41910C</v>
          </cell>
          <cell r="S157">
            <v>-3672650.4</v>
          </cell>
          <cell r="T157">
            <v>-8277166.8500000006</v>
          </cell>
        </row>
        <row r="158">
          <cell r="A158" t="str">
            <v>F42100C</v>
          </cell>
          <cell r="B158" t="str">
            <v>MISCELLANEOUS NONOPERATING INCOME</v>
          </cell>
          <cell r="C158">
            <v>-4410209.68</v>
          </cell>
          <cell r="D158">
            <v>-593162.85</v>
          </cell>
          <cell r="E158">
            <v>-28500</v>
          </cell>
          <cell r="F158">
            <v>-1437.5</v>
          </cell>
          <cell r="G158">
            <v>0</v>
          </cell>
          <cell r="J158">
            <v>0</v>
          </cell>
          <cell r="K158">
            <v>340678.85</v>
          </cell>
          <cell r="L158">
            <v>-631459</v>
          </cell>
          <cell r="M158">
            <v>-1900</v>
          </cell>
          <cell r="N158">
            <v>2057.9499999999998</v>
          </cell>
          <cell r="O158">
            <v>-21987793.309999999</v>
          </cell>
          <cell r="P158">
            <v>-22901515.859999999</v>
          </cell>
          <cell r="R158" t="str">
            <v>F42100C</v>
          </cell>
          <cell r="S158">
            <v>-22901515.860000003</v>
          </cell>
          <cell r="T158">
            <v>-27311725.539999999</v>
          </cell>
        </row>
        <row r="159">
          <cell r="A159" t="str">
            <v>F42120C</v>
          </cell>
          <cell r="B159" t="str">
            <v>LOSS ON DISPOSITION OF PROPERTY</v>
          </cell>
          <cell r="C159">
            <v>299474.99</v>
          </cell>
          <cell r="P159">
            <v>0</v>
          </cell>
          <cell r="T159">
            <v>299474.99</v>
          </cell>
        </row>
        <row r="160">
          <cell r="A160" t="str">
            <v>F42610C</v>
          </cell>
          <cell r="B160" t="str">
            <v>DONATIONS</v>
          </cell>
          <cell r="C160">
            <v>1458846.01</v>
          </cell>
          <cell r="D160">
            <v>148380.49</v>
          </cell>
          <cell r="E160">
            <v>334869.49</v>
          </cell>
          <cell r="F160">
            <v>40841.879999999997</v>
          </cell>
          <cell r="G160">
            <v>96185</v>
          </cell>
          <cell r="H160">
            <v>137957.25</v>
          </cell>
          <cell r="I160">
            <v>123122</v>
          </cell>
          <cell r="J160">
            <v>41167</v>
          </cell>
          <cell r="K160">
            <v>60983.25</v>
          </cell>
          <cell r="L160">
            <v>144560</v>
          </cell>
          <cell r="M160">
            <v>93482</v>
          </cell>
          <cell r="N160">
            <v>63346</v>
          </cell>
          <cell r="O160">
            <v>290949.82</v>
          </cell>
          <cell r="P160">
            <v>1575844.18</v>
          </cell>
          <cell r="R160" t="str">
            <v>F42610C</v>
          </cell>
          <cell r="S160">
            <v>1575844.18</v>
          </cell>
          <cell r="T160">
            <v>3034690.19</v>
          </cell>
        </row>
        <row r="161">
          <cell r="A161" t="str">
            <v>F42620C</v>
          </cell>
          <cell r="B161" t="str">
            <v>LIFE INSURANCE</v>
          </cell>
          <cell r="C161">
            <v>-950243</v>
          </cell>
          <cell r="D161">
            <v>-84326</v>
          </cell>
          <cell r="E161">
            <v>-84326</v>
          </cell>
          <cell r="F161">
            <v>-84326</v>
          </cell>
          <cell r="G161">
            <v>-84326</v>
          </cell>
          <cell r="H161">
            <v>-84325</v>
          </cell>
          <cell r="I161">
            <v>-100165</v>
          </cell>
          <cell r="J161">
            <v>-98267</v>
          </cell>
          <cell r="K161">
            <v>-98267</v>
          </cell>
          <cell r="L161">
            <v>-98267</v>
          </cell>
          <cell r="M161">
            <v>-98267</v>
          </cell>
          <cell r="N161">
            <v>-98267</v>
          </cell>
          <cell r="O161">
            <v>-98267</v>
          </cell>
          <cell r="P161">
            <v>-1111396</v>
          </cell>
          <cell r="R161" t="str">
            <v>F42620C</v>
          </cell>
          <cell r="S161">
            <v>-1111396</v>
          </cell>
          <cell r="T161">
            <v>-2061639</v>
          </cell>
        </row>
        <row r="162">
          <cell r="A162" t="str">
            <v>F42630C</v>
          </cell>
          <cell r="B162" t="str">
            <v>PENALTIES</v>
          </cell>
          <cell r="C162">
            <v>1017936.98</v>
          </cell>
          <cell r="F162">
            <v>340</v>
          </cell>
          <cell r="G162">
            <v>0</v>
          </cell>
          <cell r="H162">
            <v>0</v>
          </cell>
          <cell r="I162">
            <v>1305.68</v>
          </cell>
          <cell r="J162">
            <v>640.5</v>
          </cell>
          <cell r="K162">
            <v>6146.2</v>
          </cell>
          <cell r="L162">
            <v>12060.96</v>
          </cell>
          <cell r="M162">
            <v>7072.33</v>
          </cell>
          <cell r="N162">
            <v>0</v>
          </cell>
          <cell r="O162">
            <v>7506.27</v>
          </cell>
          <cell r="P162">
            <v>35071.94</v>
          </cell>
          <cell r="R162" t="str">
            <v>F42630C</v>
          </cell>
          <cell r="S162">
            <v>35071.94</v>
          </cell>
          <cell r="T162">
            <v>1053008.92</v>
          </cell>
        </row>
        <row r="163">
          <cell r="A163" t="str">
            <v>F42640C</v>
          </cell>
          <cell r="B163" t="str">
            <v>EXPENDITURES FOR CIVIC  POLITICAL AND RELATED ACTI</v>
          </cell>
          <cell r="C163">
            <v>1800300.1</v>
          </cell>
          <cell r="D163">
            <v>168038.88</v>
          </cell>
          <cell r="E163">
            <v>121734.73</v>
          </cell>
          <cell r="F163">
            <v>168737.85</v>
          </cell>
          <cell r="G163">
            <v>0</v>
          </cell>
          <cell r="H163">
            <v>-166405.21</v>
          </cell>
          <cell r="I163">
            <v>25</v>
          </cell>
          <cell r="L163">
            <v>0</v>
          </cell>
          <cell r="M163">
            <v>1908.25</v>
          </cell>
          <cell r="N163">
            <v>0</v>
          </cell>
          <cell r="O163">
            <v>24556.25</v>
          </cell>
          <cell r="P163">
            <v>318595.75</v>
          </cell>
          <cell r="R163" t="str">
            <v>F42640C</v>
          </cell>
          <cell r="S163">
            <v>318595.75</v>
          </cell>
          <cell r="T163">
            <v>2118895.85</v>
          </cell>
        </row>
        <row r="164">
          <cell r="A164" t="str">
            <v>F42650C</v>
          </cell>
          <cell r="B164" t="str">
            <v>OTHER DEDUCTIONS</v>
          </cell>
          <cell r="C164">
            <v>16424123.109999999</v>
          </cell>
          <cell r="D164">
            <v>2750</v>
          </cell>
          <cell r="E164">
            <v>6946.54</v>
          </cell>
          <cell r="F164">
            <v>-8976204</v>
          </cell>
          <cell r="G164">
            <v>320</v>
          </cell>
          <cell r="H164">
            <v>-243535.46</v>
          </cell>
          <cell r="I164">
            <v>253284.72</v>
          </cell>
          <cell r="J164">
            <v>-101005.91</v>
          </cell>
          <cell r="K164">
            <v>0</v>
          </cell>
          <cell r="L164">
            <v>-11632500</v>
          </cell>
          <cell r="M164">
            <v>0</v>
          </cell>
          <cell r="N164">
            <v>-755339.34</v>
          </cell>
          <cell r="O164">
            <v>22552288.199999999</v>
          </cell>
          <cell r="P164">
            <v>1107004.75</v>
          </cell>
          <cell r="R164" t="str">
            <v>F42650C</v>
          </cell>
          <cell r="S164">
            <v>1107004.75</v>
          </cell>
          <cell r="T164">
            <v>17531127.859999999</v>
          </cell>
        </row>
        <row r="165">
          <cell r="A165" t="str">
            <v>F42700C</v>
          </cell>
          <cell r="B165" t="str">
            <v>INTEREST ON LONG-TERM DEBT</v>
          </cell>
          <cell r="C165">
            <v>54663807.270000003</v>
          </cell>
          <cell r="D165">
            <v>4138337.43</v>
          </cell>
          <cell r="E165">
            <v>4022695.84</v>
          </cell>
          <cell r="F165">
            <v>4011948.8</v>
          </cell>
          <cell r="G165">
            <v>4103103.79</v>
          </cell>
          <cell r="H165">
            <v>4226017.46</v>
          </cell>
          <cell r="I165">
            <v>4118499.26</v>
          </cell>
          <cell r="J165">
            <v>4032967.86</v>
          </cell>
          <cell r="K165">
            <v>4037718.11</v>
          </cell>
          <cell r="L165">
            <v>4077173.73</v>
          </cell>
          <cell r="M165">
            <v>4107381.5</v>
          </cell>
          <cell r="N165">
            <v>4096893.94</v>
          </cell>
          <cell r="O165">
            <v>4222114.7</v>
          </cell>
          <cell r="P165">
            <v>49194852.419999994</v>
          </cell>
          <cell r="R165" t="str">
            <v>F42700C</v>
          </cell>
          <cell r="S165">
            <v>49194852.420000002</v>
          </cell>
          <cell r="T165">
            <v>103858659.69</v>
          </cell>
        </row>
        <row r="166">
          <cell r="A166" t="str">
            <v>F42800C</v>
          </cell>
          <cell r="B166" t="str">
            <v>AMORTIZATION OF DEBT DISC. AND EXPENSE</v>
          </cell>
          <cell r="C166">
            <v>7774956.21</v>
          </cell>
          <cell r="D166">
            <v>731357.7</v>
          </cell>
          <cell r="E166">
            <v>736394.34</v>
          </cell>
          <cell r="F166">
            <v>44179.09</v>
          </cell>
          <cell r="G166">
            <v>736307.41</v>
          </cell>
          <cell r="H166">
            <v>736307.32</v>
          </cell>
          <cell r="I166">
            <v>736307.32</v>
          </cell>
          <cell r="J166">
            <v>58952.75</v>
          </cell>
          <cell r="K166">
            <v>58712.54</v>
          </cell>
          <cell r="L166">
            <v>58832.72</v>
          </cell>
          <cell r="M166">
            <v>58832.72</v>
          </cell>
          <cell r="N166">
            <v>58832.72</v>
          </cell>
          <cell r="O166">
            <v>58832.51</v>
          </cell>
          <cell r="P166">
            <v>4073849.14</v>
          </cell>
          <cell r="R166" t="str">
            <v>F42800C</v>
          </cell>
          <cell r="S166">
            <v>4073849.14</v>
          </cell>
          <cell r="T166">
            <v>11848805.35</v>
          </cell>
        </row>
        <row r="167">
          <cell r="A167" t="str">
            <v>F42810C</v>
          </cell>
          <cell r="B167" t="str">
            <v>AMORTIZATION OF LOSS ON REACQUIRED DEBT</v>
          </cell>
          <cell r="C167">
            <v>0</v>
          </cell>
          <cell r="F167">
            <v>692128.2</v>
          </cell>
          <cell r="G167">
            <v>0</v>
          </cell>
          <cell r="J167">
            <v>382477.76</v>
          </cell>
          <cell r="K167">
            <v>382477.7</v>
          </cell>
          <cell r="L167">
            <v>382477.76</v>
          </cell>
          <cell r="M167">
            <v>382477.76</v>
          </cell>
          <cell r="N167">
            <v>382477.76</v>
          </cell>
          <cell r="O167">
            <v>382477.62</v>
          </cell>
          <cell r="P167">
            <v>2986994.5599999996</v>
          </cell>
          <cell r="R167" t="str">
            <v>F42810C</v>
          </cell>
          <cell r="S167">
            <v>2986994.56</v>
          </cell>
          <cell r="T167">
            <v>2986994.5599999996</v>
          </cell>
        </row>
        <row r="168">
          <cell r="A168" t="str">
            <v>F42900C</v>
          </cell>
          <cell r="B168" t="str">
            <v>(LESS) AMORT. OF PREMIUM ON DEBT-CREDIT</v>
          </cell>
          <cell r="C168">
            <v>-25272.94</v>
          </cell>
          <cell r="D168">
            <v>-2106.0700000000002</v>
          </cell>
          <cell r="E168">
            <v>-2106.09</v>
          </cell>
          <cell r="F168">
            <v>-2106.0700000000002</v>
          </cell>
          <cell r="G168">
            <v>-2106.08</v>
          </cell>
          <cell r="H168">
            <v>-2106.08</v>
          </cell>
          <cell r="I168">
            <v>-2106.08</v>
          </cell>
          <cell r="J168">
            <v>-2106.08</v>
          </cell>
          <cell r="K168">
            <v>-2106.0700000000002</v>
          </cell>
          <cell r="L168">
            <v>-2106.09</v>
          </cell>
          <cell r="M168">
            <v>-2106.09</v>
          </cell>
          <cell r="N168">
            <v>-2106.09</v>
          </cell>
          <cell r="O168">
            <v>-2106.0500000000002</v>
          </cell>
          <cell r="P168">
            <v>-25272.94</v>
          </cell>
          <cell r="R168" t="str">
            <v>F42900C</v>
          </cell>
          <cell r="S168">
            <v>-25272.94</v>
          </cell>
          <cell r="T168">
            <v>-50545.88</v>
          </cell>
        </row>
        <row r="169">
          <cell r="A169" t="str">
            <v>F43000C</v>
          </cell>
          <cell r="B169" t="str">
            <v>INTEREST ON DEBT TO ASSOC. COMPANIES</v>
          </cell>
          <cell r="C169">
            <v>40912300.780000001</v>
          </cell>
          <cell r="D169">
            <v>3031670.15</v>
          </cell>
          <cell r="E169">
            <v>3031670.15</v>
          </cell>
          <cell r="F169">
            <v>3011461.3</v>
          </cell>
          <cell r="G169">
            <v>2932787.83</v>
          </cell>
          <cell r="H169">
            <v>2932787.83</v>
          </cell>
          <cell r="I169">
            <v>2823805.41</v>
          </cell>
          <cell r="J169">
            <v>2862420.51</v>
          </cell>
          <cell r="K169">
            <v>2862420.51</v>
          </cell>
          <cell r="L169">
            <v>2849600.8</v>
          </cell>
          <cell r="M169">
            <v>2787144.49</v>
          </cell>
          <cell r="N169">
            <v>2787144.49</v>
          </cell>
          <cell r="O169">
            <v>2861444.55</v>
          </cell>
          <cell r="P169">
            <v>34774358.019999996</v>
          </cell>
          <cell r="R169" t="str">
            <v>F43000C</v>
          </cell>
          <cell r="S169">
            <v>34774358.019999996</v>
          </cell>
          <cell r="T169">
            <v>75686658.799999997</v>
          </cell>
        </row>
        <row r="170">
          <cell r="A170" t="str">
            <v>F43100C</v>
          </cell>
          <cell r="B170" t="str">
            <v>OTHER INTEREST EXPENSE</v>
          </cell>
          <cell r="C170">
            <v>12932621.279999999</v>
          </cell>
          <cell r="D170">
            <v>1357345.93</v>
          </cell>
          <cell r="E170">
            <v>1472755.24</v>
          </cell>
          <cell r="F170">
            <v>934242</v>
          </cell>
          <cell r="G170">
            <v>714341.8</v>
          </cell>
          <cell r="H170">
            <v>1030158.76</v>
          </cell>
          <cell r="I170">
            <v>1161120.1399999999</v>
          </cell>
          <cell r="J170">
            <v>644447.93999999994</v>
          </cell>
          <cell r="K170">
            <v>9550430.7100000009</v>
          </cell>
          <cell r="L170">
            <v>5360605.29</v>
          </cell>
          <cell r="M170">
            <v>5435335</v>
          </cell>
          <cell r="N170">
            <v>5541851</v>
          </cell>
          <cell r="O170">
            <v>6366526.3899999997</v>
          </cell>
          <cell r="P170">
            <v>39569160.199999996</v>
          </cell>
          <cell r="R170" t="str">
            <v>F43100C</v>
          </cell>
          <cell r="S170">
            <v>39569160.200000003</v>
          </cell>
          <cell r="T170">
            <v>52501781.479999997</v>
          </cell>
        </row>
        <row r="171">
          <cell r="A171" t="str">
            <v>F43200C</v>
          </cell>
          <cell r="B171" t="str">
            <v>(LESS) ALLOW FOR BORROWED FUNDS USED DURING CON-CR</v>
          </cell>
          <cell r="C171">
            <v>-1600044.84</v>
          </cell>
          <cell r="D171">
            <v>-131061.5</v>
          </cell>
          <cell r="E171">
            <v>-121439.29</v>
          </cell>
          <cell r="F171">
            <v>-99200.65</v>
          </cell>
          <cell r="G171">
            <v>-747600.86</v>
          </cell>
          <cell r="H171">
            <v>-756612.08</v>
          </cell>
          <cell r="I171">
            <v>-640916.81000000006</v>
          </cell>
          <cell r="J171">
            <v>-157562.45000000001</v>
          </cell>
          <cell r="K171">
            <v>-153538.10999999999</v>
          </cell>
          <cell r="L171">
            <v>-149008.82999999999</v>
          </cell>
          <cell r="M171">
            <v>-172179.66</v>
          </cell>
          <cell r="N171">
            <v>-159381.57</v>
          </cell>
          <cell r="O171">
            <v>-169786.4</v>
          </cell>
          <cell r="P171">
            <v>-3458288.21</v>
          </cell>
          <cell r="R171" t="str">
            <v>F43200C</v>
          </cell>
          <cell r="S171">
            <v>-3458288.21</v>
          </cell>
          <cell r="T171">
            <v>-5058333.05</v>
          </cell>
        </row>
        <row r="172">
          <cell r="A172" t="str">
            <v>F43700C</v>
          </cell>
          <cell r="B172" t="str">
            <v>DIVIDENDS DECLARED - PREFERRED STOCK (A</v>
          </cell>
          <cell r="C172">
            <v>6582168.4000000004</v>
          </cell>
          <cell r="P172">
            <v>0</v>
          </cell>
          <cell r="T172">
            <v>6582168.4000000004</v>
          </cell>
        </row>
        <row r="173">
          <cell r="A173" t="str">
            <v>F43701C</v>
          </cell>
          <cell r="B173" t="str">
            <v>DIVIDENDS DECLARED - PREFERRED STOCK (ACCOUNT 437)</v>
          </cell>
          <cell r="C173">
            <v>0</v>
          </cell>
          <cell r="D173">
            <v>548514.03</v>
          </cell>
          <cell r="E173">
            <v>548514.03</v>
          </cell>
          <cell r="F173">
            <v>548514.04</v>
          </cell>
          <cell r="G173">
            <v>548514.03</v>
          </cell>
          <cell r="H173">
            <v>548514.03</v>
          </cell>
          <cell r="I173">
            <v>548514.04</v>
          </cell>
          <cell r="J173">
            <v>548514.03</v>
          </cell>
          <cell r="K173">
            <v>548514.03</v>
          </cell>
          <cell r="L173">
            <v>548514.04</v>
          </cell>
          <cell r="M173">
            <v>548514.03</v>
          </cell>
          <cell r="N173">
            <v>548514.03</v>
          </cell>
          <cell r="O173">
            <v>548514.04</v>
          </cell>
          <cell r="P173">
            <v>6582168.4000000013</v>
          </cell>
          <cell r="R173" t="str">
            <v>F43701C</v>
          </cell>
          <cell r="S173">
            <v>6582168.4000000004</v>
          </cell>
          <cell r="T173">
            <v>6582168.4000000013</v>
          </cell>
        </row>
        <row r="174">
          <cell r="A174" t="str">
            <v>F43800C</v>
          </cell>
          <cell r="B174" t="str">
            <v>DIVIDENDS DECLARED - COMMON STOCK (ACCO</v>
          </cell>
          <cell r="C174">
            <v>447700117.51999998</v>
          </cell>
          <cell r="P174">
            <v>0</v>
          </cell>
          <cell r="T174">
            <v>447700117.51999998</v>
          </cell>
        </row>
        <row r="175">
          <cell r="A175" t="str">
            <v>F44000C</v>
          </cell>
          <cell r="B175" t="str">
            <v>RESIDENTIAL SALES</v>
          </cell>
          <cell r="C175">
            <v>-636898770</v>
          </cell>
          <cell r="D175">
            <v>-62271168</v>
          </cell>
          <cell r="E175">
            <v>-58519793</v>
          </cell>
          <cell r="F175">
            <v>-48806221</v>
          </cell>
          <cell r="G175">
            <v>-51865637</v>
          </cell>
          <cell r="H175">
            <v>-46262412</v>
          </cell>
          <cell r="I175">
            <v>-47115127</v>
          </cell>
          <cell r="J175">
            <v>-56784150</v>
          </cell>
          <cell r="K175">
            <v>-58096075</v>
          </cell>
          <cell r="L175">
            <v>-60799111</v>
          </cell>
          <cell r="M175">
            <v>-55959524</v>
          </cell>
          <cell r="N175">
            <v>-58051454</v>
          </cell>
          <cell r="O175">
            <v>-57906139</v>
          </cell>
          <cell r="P175">
            <v>-662436811</v>
          </cell>
          <cell r="R175" t="str">
            <v>F44000C</v>
          </cell>
          <cell r="S175">
            <v>-662436811</v>
          </cell>
          <cell r="T175">
            <v>-1299335581</v>
          </cell>
        </row>
        <row r="176">
          <cell r="A176" t="str">
            <v>F44200C</v>
          </cell>
          <cell r="B176" t="str">
            <v>COMMERCIAL AND INDUSTRIAL SALES</v>
          </cell>
          <cell r="C176">
            <v>-875844874</v>
          </cell>
          <cell r="D176">
            <v>-53867887</v>
          </cell>
          <cell r="E176">
            <v>-51699448</v>
          </cell>
          <cell r="F176">
            <v>-50866587</v>
          </cell>
          <cell r="G176">
            <v>-51554023</v>
          </cell>
          <cell r="H176">
            <v>-57947205</v>
          </cell>
          <cell r="I176">
            <v>-74227908</v>
          </cell>
          <cell r="J176">
            <v>-78689117</v>
          </cell>
          <cell r="K176">
            <v>-71055984</v>
          </cell>
          <cell r="L176">
            <v>-72987438</v>
          </cell>
          <cell r="M176">
            <v>-63816685</v>
          </cell>
          <cell r="N176">
            <v>-65149879</v>
          </cell>
          <cell r="O176">
            <v>-54266880</v>
          </cell>
          <cell r="P176">
            <v>-746129041</v>
          </cell>
          <cell r="R176" t="str">
            <v>F44200C</v>
          </cell>
          <cell r="S176">
            <v>-746129041</v>
          </cell>
          <cell r="T176">
            <v>-1621973915</v>
          </cell>
        </row>
        <row r="177">
          <cell r="A177" t="str">
            <v>F44400C</v>
          </cell>
          <cell r="B177" t="str">
            <v>PUBLIC STREET AND HIGHWAY LIGHTING</v>
          </cell>
          <cell r="C177">
            <v>-7652527</v>
          </cell>
          <cell r="D177">
            <v>-499005</v>
          </cell>
          <cell r="E177">
            <v>-461502</v>
          </cell>
          <cell r="F177">
            <v>-648601</v>
          </cell>
          <cell r="G177">
            <v>-582035</v>
          </cell>
          <cell r="H177">
            <v>-475364</v>
          </cell>
          <cell r="I177">
            <v>-524764</v>
          </cell>
          <cell r="J177">
            <v>-520187</v>
          </cell>
          <cell r="K177">
            <v>-542051</v>
          </cell>
          <cell r="L177">
            <v>-627235</v>
          </cell>
          <cell r="M177">
            <v>-503317</v>
          </cell>
          <cell r="N177">
            <v>-608569</v>
          </cell>
          <cell r="O177">
            <v>-582091</v>
          </cell>
          <cell r="P177">
            <v>-6574721</v>
          </cell>
          <cell r="R177" t="str">
            <v>F44400C</v>
          </cell>
          <cell r="S177">
            <v>-6574721</v>
          </cell>
          <cell r="T177">
            <v>-14227248</v>
          </cell>
        </row>
        <row r="178">
          <cell r="A178" t="str">
            <v>F44700C</v>
          </cell>
          <cell r="B178" t="str">
            <v>SALES FOR RESALE</v>
          </cell>
          <cell r="C178">
            <v>-15446118.970000001</v>
          </cell>
          <cell r="D178">
            <v>-99837.75</v>
          </cell>
          <cell r="E178">
            <v>-39</v>
          </cell>
          <cell r="F178">
            <v>-249217.14</v>
          </cell>
          <cell r="G178">
            <v>-216221.5</v>
          </cell>
          <cell r="H178">
            <v>-132782.5</v>
          </cell>
          <cell r="I178">
            <v>-46964</v>
          </cell>
          <cell r="J178">
            <v>-109786.5</v>
          </cell>
          <cell r="K178">
            <v>-2313724.56</v>
          </cell>
          <cell r="L178">
            <v>-4250021.67</v>
          </cell>
          <cell r="M178">
            <v>-1731861</v>
          </cell>
          <cell r="N178">
            <v>-910565.4</v>
          </cell>
          <cell r="O178">
            <v>-164353.5</v>
          </cell>
          <cell r="P178">
            <v>-10225374.520000001</v>
          </cell>
          <cell r="R178" t="str">
            <v>F44700C</v>
          </cell>
          <cell r="S178">
            <v>-10225374.52</v>
          </cell>
          <cell r="T178">
            <v>-25671493.490000002</v>
          </cell>
        </row>
        <row r="179">
          <cell r="A179" t="str">
            <v>F44701C</v>
          </cell>
          <cell r="B179" t="str">
            <v>COST RECOVERY FROM ISO/PX</v>
          </cell>
          <cell r="C179">
            <v>-499663397.75</v>
          </cell>
          <cell r="D179">
            <v>-34956775.939999998</v>
          </cell>
          <cell r="E179">
            <v>-27191505.66</v>
          </cell>
          <cell r="F179">
            <v>-22028153.809999999</v>
          </cell>
          <cell r="G179">
            <v>-38685790.189999998</v>
          </cell>
          <cell r="H179">
            <v>-30349575.440000001</v>
          </cell>
          <cell r="I179">
            <v>-22344327.91</v>
          </cell>
          <cell r="J179">
            <v>-26831231.199999999</v>
          </cell>
          <cell r="K179">
            <v>-26569738.739999998</v>
          </cell>
          <cell r="L179">
            <v>-21856636.620000001</v>
          </cell>
          <cell r="M179">
            <v>-34542173.939999998</v>
          </cell>
          <cell r="N179">
            <v>-24284190.010000002</v>
          </cell>
          <cell r="O179">
            <v>-23026817.260000002</v>
          </cell>
          <cell r="P179">
            <v>-332666916.71999997</v>
          </cell>
          <cell r="R179" t="str">
            <v>F44701C</v>
          </cell>
          <cell r="S179">
            <v>-332666916.72000003</v>
          </cell>
          <cell r="T179">
            <v>-832330314.47000003</v>
          </cell>
        </row>
        <row r="180">
          <cell r="A180" t="str">
            <v>F45100C</v>
          </cell>
          <cell r="B180" t="str">
            <v>MISCELLANEOUS SERVICE REVENUES</v>
          </cell>
          <cell r="C180">
            <v>-25041348.719999999</v>
          </cell>
          <cell r="D180">
            <v>-1605786.25</v>
          </cell>
          <cell r="E180">
            <v>-1799300.07</v>
          </cell>
          <cell r="F180">
            <v>-1726468</v>
          </cell>
          <cell r="G180">
            <v>-1791762</v>
          </cell>
          <cell r="H180">
            <v>-1862895</v>
          </cell>
          <cell r="I180">
            <v>-2033948</v>
          </cell>
          <cell r="J180">
            <v>-2178548.13</v>
          </cell>
          <cell r="K180">
            <v>-2024548</v>
          </cell>
          <cell r="L180">
            <v>-2108870.83</v>
          </cell>
          <cell r="M180">
            <v>-1825393.88</v>
          </cell>
          <cell r="N180">
            <v>-1880651</v>
          </cell>
          <cell r="O180">
            <v>-2157547.21</v>
          </cell>
          <cell r="P180">
            <v>-22995718.370000001</v>
          </cell>
          <cell r="R180" t="str">
            <v>F45100C</v>
          </cell>
          <cell r="S180">
            <v>-22995718.370000001</v>
          </cell>
          <cell r="T180">
            <v>-48037067.090000004</v>
          </cell>
        </row>
        <row r="181">
          <cell r="A181" t="str">
            <v>F45400C</v>
          </cell>
          <cell r="B181" t="str">
            <v>RENT FROM ELECTRIC PROPERTY</v>
          </cell>
          <cell r="C181">
            <v>0</v>
          </cell>
          <cell r="F181">
            <v>26.47</v>
          </cell>
          <cell r="G181">
            <v>513.01</v>
          </cell>
          <cell r="H181">
            <v>243.3</v>
          </cell>
          <cell r="I181">
            <v>570</v>
          </cell>
          <cell r="J181">
            <v>114.01</v>
          </cell>
          <cell r="K181">
            <v>171.02</v>
          </cell>
          <cell r="L181">
            <v>-231.49</v>
          </cell>
          <cell r="M181">
            <v>0</v>
          </cell>
          <cell r="N181">
            <v>85.53</v>
          </cell>
          <cell r="O181">
            <v>0</v>
          </cell>
          <cell r="P181">
            <v>1491.85</v>
          </cell>
          <cell r="R181" t="str">
            <v>F45400C</v>
          </cell>
          <cell r="S181">
            <v>1491.85</v>
          </cell>
          <cell r="T181">
            <v>1491.85</v>
          </cell>
        </row>
        <row r="182">
          <cell r="A182" t="str">
            <v>F45400E</v>
          </cell>
          <cell r="B182" t="str">
            <v>RENT FROM ELECTRIC PROPERTY</v>
          </cell>
          <cell r="C182">
            <v>-4515149.5199999996</v>
          </cell>
          <cell r="D182">
            <v>-266393.14</v>
          </cell>
          <cell r="E182">
            <v>-947663.85</v>
          </cell>
          <cell r="F182">
            <v>1869.76</v>
          </cell>
          <cell r="G182">
            <v>-42303.41</v>
          </cell>
          <cell r="H182">
            <v>-15743.76</v>
          </cell>
          <cell r="I182">
            <v>-216844.95</v>
          </cell>
          <cell r="J182">
            <v>-39157.769999999997</v>
          </cell>
          <cell r="K182">
            <v>-48980.08</v>
          </cell>
          <cell r="L182">
            <v>-28163.599999999999</v>
          </cell>
          <cell r="M182">
            <v>-388477.57</v>
          </cell>
          <cell r="N182">
            <v>-71295.399999999994</v>
          </cell>
          <cell r="O182">
            <v>-49390.78</v>
          </cell>
          <cell r="P182">
            <v>-2112544.5499999998</v>
          </cell>
          <cell r="R182" t="str">
            <v>F45400E</v>
          </cell>
          <cell r="S182">
            <v>-2112544.5499999998</v>
          </cell>
          <cell r="T182">
            <v>-6627694.0699999994</v>
          </cell>
        </row>
        <row r="183">
          <cell r="A183" t="str">
            <v>F45600C</v>
          </cell>
          <cell r="B183" t="str">
            <v>OTHER ELECTRIC REVENUES</v>
          </cell>
          <cell r="C183">
            <v>-301401809.69999999</v>
          </cell>
          <cell r="D183">
            <v>-13677629.51</v>
          </cell>
          <cell r="E183">
            <v>-510367.43</v>
          </cell>
          <cell r="F183">
            <v>-11520946.27</v>
          </cell>
          <cell r="G183">
            <v>-22945866.670000002</v>
          </cell>
          <cell r="H183">
            <v>29951967</v>
          </cell>
          <cell r="I183">
            <v>-1632925.61</v>
          </cell>
          <cell r="J183">
            <v>2426055.92</v>
          </cell>
          <cell r="K183">
            <v>-7456163.6200000001</v>
          </cell>
          <cell r="L183">
            <v>-14059137.91</v>
          </cell>
          <cell r="M183">
            <v>-17819645.969999999</v>
          </cell>
          <cell r="N183">
            <v>11707854.41</v>
          </cell>
          <cell r="O183">
            <v>4684259.28</v>
          </cell>
          <cell r="P183">
            <v>-40852546.379999995</v>
          </cell>
          <cell r="R183" t="str">
            <v>F45600C</v>
          </cell>
          <cell r="S183">
            <v>-40852546.380000003</v>
          </cell>
          <cell r="T183">
            <v>-342254356.07999998</v>
          </cell>
        </row>
        <row r="184">
          <cell r="A184" t="str">
            <v>F45600E</v>
          </cell>
          <cell r="B184" t="str">
            <v>OTHER ELECTRIC REVENUES</v>
          </cell>
          <cell r="C184">
            <v>0</v>
          </cell>
          <cell r="N184">
            <v>0</v>
          </cell>
          <cell r="O184">
            <v>5740.8</v>
          </cell>
          <cell r="P184">
            <v>5740.8</v>
          </cell>
          <cell r="R184" t="str">
            <v>F45600E</v>
          </cell>
          <cell r="S184">
            <v>5740.8</v>
          </cell>
          <cell r="T184">
            <v>5740.8</v>
          </cell>
        </row>
        <row r="185">
          <cell r="A185" t="str">
            <v>F45601C</v>
          </cell>
          <cell r="B185" t="str">
            <v>OTHER ELECTRIC REVENUES</v>
          </cell>
          <cell r="F185">
            <v>789795.96</v>
          </cell>
          <cell r="G185">
            <v>568203.32999999996</v>
          </cell>
          <cell r="H185">
            <v>601172.64</v>
          </cell>
          <cell r="I185">
            <v>-4204920.43</v>
          </cell>
          <cell r="J185">
            <v>-3722046.19</v>
          </cell>
          <cell r="K185">
            <v>-2439827.9</v>
          </cell>
          <cell r="L185">
            <v>3567406.44</v>
          </cell>
          <cell r="M185">
            <v>-215415.42</v>
          </cell>
          <cell r="N185">
            <v>-349123.89</v>
          </cell>
          <cell r="O185">
            <v>-3281198.37</v>
          </cell>
          <cell r="P185">
            <v>-8685953.8300000001</v>
          </cell>
          <cell r="R185" t="str">
            <v>F45601C</v>
          </cell>
          <cell r="S185">
            <v>-8685953.8300000001</v>
          </cell>
          <cell r="T185">
            <v>-8685953.8300000001</v>
          </cell>
        </row>
        <row r="186">
          <cell r="A186" t="str">
            <v>F48000C</v>
          </cell>
          <cell r="B186" t="str">
            <v>RESIDENTIAL SALES</v>
          </cell>
          <cell r="C186">
            <v>-258426247</v>
          </cell>
          <cell r="D186">
            <v>-38496763</v>
          </cell>
          <cell r="E186">
            <v>-37862889</v>
          </cell>
          <cell r="F186">
            <v>-28479866</v>
          </cell>
          <cell r="G186">
            <v>-29802354</v>
          </cell>
          <cell r="H186">
            <v>-19882019</v>
          </cell>
          <cell r="I186">
            <v>-17429318</v>
          </cell>
          <cell r="J186">
            <v>-13681931</v>
          </cell>
          <cell r="K186">
            <v>-11341159</v>
          </cell>
          <cell r="L186">
            <v>-13098021</v>
          </cell>
          <cell r="M186">
            <v>-13071980</v>
          </cell>
          <cell r="N186">
            <v>-16189721</v>
          </cell>
          <cell r="O186">
            <v>-30719498</v>
          </cell>
          <cell r="P186">
            <v>-270055519</v>
          </cell>
          <cell r="R186" t="str">
            <v>F48000C</v>
          </cell>
          <cell r="S186">
            <v>-270055519</v>
          </cell>
          <cell r="T186">
            <v>-528481766</v>
          </cell>
        </row>
        <row r="187">
          <cell r="A187" t="str">
            <v>F48100C</v>
          </cell>
          <cell r="B187" t="str">
            <v>COMMERCIAL AND INDUSTRIAL SALES</v>
          </cell>
          <cell r="C187">
            <v>-104535512.09</v>
          </cell>
          <cell r="D187">
            <v>-11684204</v>
          </cell>
          <cell r="E187">
            <v>-11141097</v>
          </cell>
          <cell r="F187">
            <v>-11103433</v>
          </cell>
          <cell r="G187">
            <v>-9340054</v>
          </cell>
          <cell r="H187">
            <v>-8349834</v>
          </cell>
          <cell r="I187">
            <v>-7727457</v>
          </cell>
          <cell r="J187">
            <v>-7310641</v>
          </cell>
          <cell r="K187">
            <v>-6885313</v>
          </cell>
          <cell r="L187">
            <v>-8193850</v>
          </cell>
          <cell r="M187">
            <v>-8556740</v>
          </cell>
          <cell r="N187">
            <v>-8998362</v>
          </cell>
          <cell r="O187">
            <v>-11068968</v>
          </cell>
          <cell r="P187">
            <v>-110359953</v>
          </cell>
          <cell r="R187" t="str">
            <v>F48100C</v>
          </cell>
          <cell r="S187">
            <v>-110359953</v>
          </cell>
          <cell r="T187">
            <v>-214895465.09</v>
          </cell>
        </row>
        <row r="188">
          <cell r="A188" t="str">
            <v>F48300C</v>
          </cell>
          <cell r="B188" t="str">
            <v>SALES FOR RESALE</v>
          </cell>
          <cell r="C188">
            <v>-120070.14</v>
          </cell>
          <cell r="P188">
            <v>0</v>
          </cell>
          <cell r="T188">
            <v>-120070.14</v>
          </cell>
        </row>
        <row r="189">
          <cell r="A189" t="str">
            <v>F48400C</v>
          </cell>
          <cell r="B189" t="str">
            <v>INTERDEPARTMENTAL SALES</v>
          </cell>
          <cell r="C189">
            <v>-9621349</v>
          </cell>
          <cell r="D189">
            <v>-1081820</v>
          </cell>
          <cell r="E189">
            <v>-1085539</v>
          </cell>
          <cell r="F189">
            <v>-8749667.2599999998</v>
          </cell>
          <cell r="G189">
            <v>9556264.8200000003</v>
          </cell>
          <cell r="H189">
            <v>-5720067</v>
          </cell>
          <cell r="I189">
            <v>0</v>
          </cell>
          <cell r="P189">
            <v>-7080828.4399999995</v>
          </cell>
          <cell r="R189" t="str">
            <v>F48400C</v>
          </cell>
          <cell r="S189">
            <v>-7080828.4400000004</v>
          </cell>
          <cell r="T189">
            <v>-16702177.439999999</v>
          </cell>
        </row>
        <row r="190">
          <cell r="A190" t="str">
            <v>F48401C</v>
          </cell>
          <cell r="B190" t="str">
            <v>GAS FUEL</v>
          </cell>
          <cell r="C190">
            <v>-108640560</v>
          </cell>
          <cell r="D190">
            <v>-9601995</v>
          </cell>
          <cell r="E190">
            <v>-7432835</v>
          </cell>
          <cell r="H190">
            <v>-3492801</v>
          </cell>
          <cell r="I190">
            <v>3443864</v>
          </cell>
          <cell r="P190">
            <v>-17083767</v>
          </cell>
          <cell r="R190" t="str">
            <v>F48401C</v>
          </cell>
          <cell r="S190">
            <v>-17083767</v>
          </cell>
          <cell r="T190">
            <v>-125724327</v>
          </cell>
        </row>
        <row r="191">
          <cell r="A191" t="str">
            <v>F48410C</v>
          </cell>
          <cell r="B191" t="str">
            <v>GAS FUEL</v>
          </cell>
          <cell r="F191">
            <v>781232</v>
          </cell>
          <cell r="G191">
            <v>-11537995</v>
          </cell>
          <cell r="H191">
            <v>5768997</v>
          </cell>
          <cell r="I191">
            <v>-3482050</v>
          </cell>
          <cell r="L191">
            <v>-891195</v>
          </cell>
          <cell r="M191">
            <v>0</v>
          </cell>
          <cell r="P191">
            <v>-9361011</v>
          </cell>
          <cell r="R191" t="str">
            <v>F48410C</v>
          </cell>
          <cell r="S191">
            <v>-9361011</v>
          </cell>
          <cell r="T191">
            <v>-9361011</v>
          </cell>
        </row>
        <row r="192">
          <cell r="A192" t="str">
            <v>F48800C</v>
          </cell>
          <cell r="B192" t="str">
            <v>MISCELLANEOUS SERVICE REVENUES</v>
          </cell>
          <cell r="C192">
            <v>-4154331.19</v>
          </cell>
          <cell r="D192">
            <v>-410321</v>
          </cell>
          <cell r="E192">
            <v>-385000</v>
          </cell>
          <cell r="F192">
            <v>-399835</v>
          </cell>
          <cell r="G192">
            <v>-452635</v>
          </cell>
          <cell r="H192">
            <v>-357561</v>
          </cell>
          <cell r="I192">
            <v>-296108.93</v>
          </cell>
          <cell r="J192">
            <v>-323575</v>
          </cell>
          <cell r="K192">
            <v>-290272</v>
          </cell>
          <cell r="L192">
            <v>-310764</v>
          </cell>
          <cell r="M192">
            <v>-270742</v>
          </cell>
          <cell r="N192">
            <v>-286731</v>
          </cell>
          <cell r="O192">
            <v>-371048</v>
          </cell>
          <cell r="P192">
            <v>-4154592.93</v>
          </cell>
          <cell r="R192" t="str">
            <v>F48800C</v>
          </cell>
          <cell r="S192">
            <v>-4154592.93</v>
          </cell>
          <cell r="T192">
            <v>-8308924.1200000001</v>
          </cell>
        </row>
        <row r="193">
          <cell r="A193" t="str">
            <v>F48900C</v>
          </cell>
          <cell r="B193" t="str">
            <v>REV. FROM TRANS. OF GAS OF OTHERS</v>
          </cell>
          <cell r="C193">
            <v>-15825838</v>
          </cell>
          <cell r="D193">
            <v>-1546723</v>
          </cell>
          <cell r="E193">
            <v>-1168765</v>
          </cell>
          <cell r="F193">
            <v>-1806359</v>
          </cell>
          <cell r="G193">
            <v>-1310935</v>
          </cell>
          <cell r="H193">
            <v>-1270916</v>
          </cell>
          <cell r="I193">
            <v>-1654008</v>
          </cell>
          <cell r="J193">
            <v>-1999665</v>
          </cell>
          <cell r="K193">
            <v>-2048587</v>
          </cell>
          <cell r="L193">
            <v>-2101567</v>
          </cell>
          <cell r="M193">
            <v>-1985494</v>
          </cell>
          <cell r="N193">
            <v>-2024016</v>
          </cell>
          <cell r="O193">
            <v>-2121113</v>
          </cell>
          <cell r="P193">
            <v>-21038148</v>
          </cell>
          <cell r="R193" t="str">
            <v>F48900C</v>
          </cell>
          <cell r="S193">
            <v>-21038148</v>
          </cell>
          <cell r="T193">
            <v>-36863986</v>
          </cell>
        </row>
        <row r="194">
          <cell r="A194" t="str">
            <v>F49300C</v>
          </cell>
          <cell r="B194" t="str">
            <v>RENT FROM GAS PROPERTY</v>
          </cell>
          <cell r="C194">
            <v>-25848.28</v>
          </cell>
          <cell r="D194">
            <v>-2179.58</v>
          </cell>
          <cell r="E194">
            <v>-2105.06</v>
          </cell>
          <cell r="F194">
            <v>3000</v>
          </cell>
          <cell r="G194">
            <v>0</v>
          </cell>
          <cell r="H194">
            <v>0</v>
          </cell>
          <cell r="I194">
            <v>-8420.24</v>
          </cell>
          <cell r="J194">
            <v>-2105.06</v>
          </cell>
          <cell r="K194">
            <v>-2105.06</v>
          </cell>
          <cell r="L194">
            <v>-2105.06</v>
          </cell>
          <cell r="M194">
            <v>-2105.06</v>
          </cell>
          <cell r="N194">
            <v>-11271.66</v>
          </cell>
          <cell r="O194">
            <v>-2531.06</v>
          </cell>
          <cell r="P194">
            <v>-31927.84</v>
          </cell>
          <cell r="R194" t="str">
            <v>F49300C</v>
          </cell>
          <cell r="S194">
            <v>-31927.84</v>
          </cell>
          <cell r="T194">
            <v>-57776.119999999995</v>
          </cell>
        </row>
        <row r="195">
          <cell r="A195" t="str">
            <v>F49500C</v>
          </cell>
          <cell r="B195" t="str">
            <v>OTHER GAS REVENUES</v>
          </cell>
          <cell r="C195">
            <v>8426054.9900000002</v>
          </cell>
          <cell r="D195">
            <v>17551936.460000001</v>
          </cell>
          <cell r="E195">
            <v>19452991.84</v>
          </cell>
          <cell r="F195">
            <v>12042908.51</v>
          </cell>
          <cell r="G195">
            <v>14256278.039999999</v>
          </cell>
          <cell r="H195">
            <v>-7178724.9699999997</v>
          </cell>
          <cell r="I195">
            <v>-1916935.46</v>
          </cell>
          <cell r="J195">
            <v>-3760962.35</v>
          </cell>
          <cell r="K195">
            <v>-9789313.3599999994</v>
          </cell>
          <cell r="L195">
            <v>-2247682.9700000002</v>
          </cell>
          <cell r="M195">
            <v>31349.1</v>
          </cell>
          <cell r="N195">
            <v>-12394441.640000001</v>
          </cell>
          <cell r="O195">
            <v>-2737132.72</v>
          </cell>
          <cell r="P195">
            <v>23310270.479999997</v>
          </cell>
          <cell r="R195" t="str">
            <v>F49500C</v>
          </cell>
          <cell r="S195">
            <v>23310270.479999997</v>
          </cell>
          <cell r="T195">
            <v>31736325.469999999</v>
          </cell>
        </row>
        <row r="196">
          <cell r="A196" t="str">
            <v>F50000E</v>
          </cell>
          <cell r="B196" t="str">
            <v>OPERATION SUPERVISION AND ENGINEERING</v>
          </cell>
          <cell r="C196">
            <v>1810879.84</v>
          </cell>
          <cell r="D196">
            <v>96548.39</v>
          </cell>
          <cell r="E196">
            <v>304018.43</v>
          </cell>
          <cell r="F196">
            <v>87945.64</v>
          </cell>
          <cell r="G196">
            <v>42499.08</v>
          </cell>
          <cell r="H196">
            <v>26357.11</v>
          </cell>
          <cell r="I196">
            <v>7262.54</v>
          </cell>
          <cell r="J196">
            <v>12457.66</v>
          </cell>
          <cell r="K196">
            <v>21635.360000000001</v>
          </cell>
          <cell r="L196">
            <v>-11639.9</v>
          </cell>
          <cell r="M196">
            <v>10631.55</v>
          </cell>
          <cell r="N196">
            <v>-2583.63</v>
          </cell>
          <cell r="O196">
            <v>377232.82</v>
          </cell>
          <cell r="P196">
            <v>972365.05</v>
          </cell>
          <cell r="R196" t="str">
            <v>F50000E</v>
          </cell>
          <cell r="S196">
            <v>972365.05</v>
          </cell>
          <cell r="T196">
            <v>2783244.89</v>
          </cell>
        </row>
        <row r="197">
          <cell r="A197" t="str">
            <v>F50010E</v>
          </cell>
          <cell r="B197" t="str">
            <v>OPERATION SUPERVISION AND ENGINEERING</v>
          </cell>
          <cell r="C197">
            <v>0</v>
          </cell>
          <cell r="F197">
            <v>67409.649999999994</v>
          </cell>
          <cell r="G197">
            <v>51124</v>
          </cell>
          <cell r="H197">
            <v>33803.599999999999</v>
          </cell>
          <cell r="I197">
            <v>11312.56</v>
          </cell>
          <cell r="J197">
            <v>-76.680000000000007</v>
          </cell>
          <cell r="K197">
            <v>12221.44</v>
          </cell>
          <cell r="L197">
            <v>6872.92</v>
          </cell>
          <cell r="M197">
            <v>19385.810000000001</v>
          </cell>
          <cell r="N197">
            <v>8913.9500000000007</v>
          </cell>
          <cell r="O197">
            <v>12344.48</v>
          </cell>
          <cell r="P197">
            <v>223311.73000000004</v>
          </cell>
          <cell r="R197" t="str">
            <v>F50010E</v>
          </cell>
          <cell r="S197">
            <v>223311.73</v>
          </cell>
          <cell r="T197">
            <v>223311.73000000004</v>
          </cell>
        </row>
        <row r="198">
          <cell r="A198" t="str">
            <v>F50020E</v>
          </cell>
          <cell r="B198" t="str">
            <v>OPERATION SUPERVISION AND ENGINEERING</v>
          </cell>
          <cell r="C198">
            <v>0</v>
          </cell>
          <cell r="F198">
            <v>6420.93</v>
          </cell>
          <cell r="G198">
            <v>1334.91</v>
          </cell>
          <cell r="P198">
            <v>7755.84</v>
          </cell>
          <cell r="R198" t="str">
            <v>F50020E</v>
          </cell>
          <cell r="S198">
            <v>7755.84</v>
          </cell>
          <cell r="T198">
            <v>7755.84</v>
          </cell>
        </row>
        <row r="199">
          <cell r="A199" t="str">
            <v>F50040E</v>
          </cell>
          <cell r="B199" t="str">
            <v>OPERATION SUPERVISION AND ENGINEERING</v>
          </cell>
          <cell r="C199">
            <v>0</v>
          </cell>
          <cell r="F199">
            <v>10.9</v>
          </cell>
          <cell r="G199">
            <v>608.29</v>
          </cell>
          <cell r="H199">
            <v>0</v>
          </cell>
          <cell r="I199">
            <v>1097.8699999999999</v>
          </cell>
          <cell r="J199">
            <v>438.56</v>
          </cell>
          <cell r="K199">
            <v>0</v>
          </cell>
          <cell r="L199">
            <v>10.66</v>
          </cell>
          <cell r="M199">
            <v>100.88</v>
          </cell>
          <cell r="P199">
            <v>2267.16</v>
          </cell>
          <cell r="R199" t="str">
            <v>F50040E</v>
          </cell>
          <cell r="S199">
            <v>2267.16</v>
          </cell>
          <cell r="T199">
            <v>2267.16</v>
          </cell>
        </row>
        <row r="200">
          <cell r="A200" t="str">
            <v>F50060E</v>
          </cell>
          <cell r="B200" t="str">
            <v>OPERATION SUPERVISION AND ENGINEERING</v>
          </cell>
          <cell r="C200">
            <v>0</v>
          </cell>
          <cell r="F200">
            <v>252973.68</v>
          </cell>
          <cell r="G200">
            <v>22171.94</v>
          </cell>
          <cell r="H200">
            <v>21661.360000000001</v>
          </cell>
          <cell r="I200">
            <v>9396.5400000000009</v>
          </cell>
          <cell r="J200">
            <v>7833.85</v>
          </cell>
          <cell r="K200">
            <v>9624.5499999999993</v>
          </cell>
          <cell r="L200">
            <v>6949.64</v>
          </cell>
          <cell r="M200">
            <v>5133.2</v>
          </cell>
          <cell r="N200">
            <v>3906.74</v>
          </cell>
          <cell r="O200">
            <v>3699.94</v>
          </cell>
          <cell r="P200">
            <v>343351.43999999994</v>
          </cell>
          <cell r="R200" t="str">
            <v>F50060E</v>
          </cell>
          <cell r="S200">
            <v>343351.44</v>
          </cell>
          <cell r="T200">
            <v>343351.43999999994</v>
          </cell>
        </row>
        <row r="201">
          <cell r="A201" t="str">
            <v>F50070E</v>
          </cell>
          <cell r="B201" t="str">
            <v>OPERATION SUPERVISION AND ENGINEERING</v>
          </cell>
          <cell r="C201">
            <v>0</v>
          </cell>
          <cell r="F201">
            <v>9481.85</v>
          </cell>
          <cell r="G201">
            <v>7870.07</v>
          </cell>
          <cell r="H201">
            <v>8950.35</v>
          </cell>
          <cell r="I201">
            <v>11345.17</v>
          </cell>
          <cell r="J201">
            <v>4083.45</v>
          </cell>
          <cell r="K201">
            <v>6078.21</v>
          </cell>
          <cell r="L201">
            <v>5559.02</v>
          </cell>
          <cell r="M201">
            <v>4344.6099999999997</v>
          </cell>
          <cell r="N201">
            <v>2916.15</v>
          </cell>
          <cell r="O201">
            <v>3263.84</v>
          </cell>
          <cell r="P201">
            <v>63892.72</v>
          </cell>
          <cell r="R201" t="str">
            <v>F50070E</v>
          </cell>
          <cell r="S201">
            <v>63892.72</v>
          </cell>
          <cell r="T201">
            <v>63892.72</v>
          </cell>
        </row>
        <row r="202">
          <cell r="A202" t="str">
            <v>F50100E</v>
          </cell>
          <cell r="B202" t="str">
            <v>FUEL</v>
          </cell>
          <cell r="C202">
            <v>153994565.53</v>
          </cell>
          <cell r="D202">
            <v>12214139.189999999</v>
          </cell>
          <cell r="E202">
            <v>9744927.7899999991</v>
          </cell>
          <cell r="F202">
            <v>9112656.5999999996</v>
          </cell>
          <cell r="G202">
            <v>12477288.23</v>
          </cell>
          <cell r="H202">
            <v>4934509.6100000003</v>
          </cell>
          <cell r="I202">
            <v>-586063.44999999995</v>
          </cell>
          <cell r="J202">
            <v>-19546.82</v>
          </cell>
          <cell r="K202">
            <v>93.3</v>
          </cell>
          <cell r="L202">
            <v>2045973.95</v>
          </cell>
          <cell r="M202">
            <v>0</v>
          </cell>
          <cell r="N202">
            <v>140.25</v>
          </cell>
          <cell r="O202">
            <v>34</v>
          </cell>
          <cell r="P202">
            <v>49924152.649999999</v>
          </cell>
          <cell r="R202" t="str">
            <v>F50100E</v>
          </cell>
          <cell r="S202">
            <v>49924152.650000006</v>
          </cell>
          <cell r="T202">
            <v>203918718.18000001</v>
          </cell>
        </row>
        <row r="203">
          <cell r="A203" t="str">
            <v>F50140E</v>
          </cell>
          <cell r="B203" t="str">
            <v>FUEL</v>
          </cell>
          <cell r="C203">
            <v>0</v>
          </cell>
          <cell r="F203">
            <v>598.59</v>
          </cell>
          <cell r="G203">
            <v>0</v>
          </cell>
          <cell r="H203">
            <v>0</v>
          </cell>
          <cell r="I203">
            <v>1005.12</v>
          </cell>
          <cell r="J203">
            <v>1325.72</v>
          </cell>
          <cell r="K203">
            <v>876.3</v>
          </cell>
          <cell r="L203">
            <v>447.8</v>
          </cell>
          <cell r="M203">
            <v>0</v>
          </cell>
          <cell r="N203">
            <v>1830.59</v>
          </cell>
          <cell r="O203">
            <v>200.01</v>
          </cell>
          <cell r="P203">
            <v>6284.130000000001</v>
          </cell>
          <cell r="R203" t="str">
            <v>F50140E</v>
          </cell>
          <cell r="S203">
            <v>6284.13</v>
          </cell>
          <cell r="T203">
            <v>6284.130000000001</v>
          </cell>
        </row>
        <row r="204">
          <cell r="A204" t="str">
            <v>F50200E</v>
          </cell>
          <cell r="B204" t="str">
            <v>STEAM EXPENSES</v>
          </cell>
          <cell r="C204">
            <v>4736389.26</v>
          </cell>
          <cell r="D204">
            <v>361426.7</v>
          </cell>
          <cell r="E204">
            <v>281391.08</v>
          </cell>
          <cell r="F204">
            <v>158963</v>
          </cell>
          <cell r="G204">
            <v>117732.79</v>
          </cell>
          <cell r="H204">
            <v>27778.21</v>
          </cell>
          <cell r="I204">
            <v>-94.38</v>
          </cell>
          <cell r="J204">
            <v>0</v>
          </cell>
          <cell r="K204">
            <v>1347.31</v>
          </cell>
          <cell r="L204">
            <v>-380.85</v>
          </cell>
          <cell r="M204">
            <v>7.7</v>
          </cell>
          <cell r="N204">
            <v>-1056.27</v>
          </cell>
          <cell r="O204">
            <v>113.85</v>
          </cell>
          <cell r="P204">
            <v>947229.14</v>
          </cell>
          <cell r="R204" t="str">
            <v>F50200E</v>
          </cell>
          <cell r="S204">
            <v>947229.14</v>
          </cell>
          <cell r="T204">
            <v>5683618.3999999994</v>
          </cell>
        </row>
        <row r="205">
          <cell r="A205" t="str">
            <v>F50210E</v>
          </cell>
          <cell r="B205" t="str">
            <v>STEAM EXPENSES</v>
          </cell>
          <cell r="C205">
            <v>0</v>
          </cell>
          <cell r="F205">
            <v>192497.69</v>
          </cell>
          <cell r="G205">
            <v>241547.09</v>
          </cell>
          <cell r="H205">
            <v>222193.64</v>
          </cell>
          <cell r="I205">
            <v>78672.38</v>
          </cell>
          <cell r="J205">
            <v>9972.67</v>
          </cell>
          <cell r="K205">
            <v>147.49</v>
          </cell>
          <cell r="L205">
            <v>6596.82</v>
          </cell>
          <cell r="M205">
            <v>629.05999999999995</v>
          </cell>
          <cell r="N205">
            <v>996.4</v>
          </cell>
          <cell r="O205">
            <v>422.6</v>
          </cell>
          <cell r="P205">
            <v>753675.84000000008</v>
          </cell>
          <cell r="R205" t="str">
            <v>F50210E</v>
          </cell>
          <cell r="S205">
            <v>753675.84</v>
          </cell>
          <cell r="T205">
            <v>753675.84000000008</v>
          </cell>
        </row>
        <row r="206">
          <cell r="A206" t="str">
            <v>F50500E</v>
          </cell>
          <cell r="B206" t="str">
            <v>ELECTRIC EXPENSES</v>
          </cell>
          <cell r="C206">
            <v>4511447.3600000003</v>
          </cell>
          <cell r="D206">
            <v>290877.46999999997</v>
          </cell>
          <cell r="E206">
            <v>278650.44</v>
          </cell>
          <cell r="F206">
            <v>299230.09000000003</v>
          </cell>
          <cell r="G206">
            <v>284478.21000000002</v>
          </cell>
          <cell r="H206">
            <v>195678.57</v>
          </cell>
          <cell r="I206">
            <v>105545.12</v>
          </cell>
          <cell r="J206">
            <v>6534.65</v>
          </cell>
          <cell r="K206">
            <v>5452.7</v>
          </cell>
          <cell r="L206">
            <v>-49.19</v>
          </cell>
          <cell r="M206">
            <v>3647.19</v>
          </cell>
          <cell r="N206">
            <v>2009.67</v>
          </cell>
          <cell r="O206">
            <v>5332.55</v>
          </cell>
          <cell r="P206">
            <v>1477387.4699999997</v>
          </cell>
          <cell r="R206" t="str">
            <v>F50500E</v>
          </cell>
          <cell r="S206">
            <v>1477387.47</v>
          </cell>
          <cell r="T206">
            <v>5988834.8300000001</v>
          </cell>
        </row>
        <row r="207">
          <cell r="A207" t="str">
            <v>F50510E</v>
          </cell>
          <cell r="B207" t="str">
            <v>ELECTRIC EXPENSES</v>
          </cell>
          <cell r="C207">
            <v>0</v>
          </cell>
          <cell r="F207">
            <v>4190.09</v>
          </cell>
          <cell r="G207">
            <v>2255.69</v>
          </cell>
          <cell r="H207">
            <v>2116.33</v>
          </cell>
          <cell r="I207">
            <v>1211.57</v>
          </cell>
          <cell r="J207">
            <v>4545.12</v>
          </cell>
          <cell r="K207">
            <v>3358.92</v>
          </cell>
          <cell r="L207">
            <v>2793.8</v>
          </cell>
          <cell r="M207">
            <v>376.71</v>
          </cell>
          <cell r="N207">
            <v>3540.56</v>
          </cell>
          <cell r="O207">
            <v>1129.74</v>
          </cell>
          <cell r="P207">
            <v>25518.530000000002</v>
          </cell>
          <cell r="R207" t="str">
            <v>F50510E</v>
          </cell>
          <cell r="S207">
            <v>25518.53</v>
          </cell>
          <cell r="T207">
            <v>25518.530000000002</v>
          </cell>
        </row>
        <row r="208">
          <cell r="A208" t="str">
            <v>F50530E</v>
          </cell>
          <cell r="B208" t="str">
            <v>ELECTRIC EXPENSES</v>
          </cell>
          <cell r="C208">
            <v>0</v>
          </cell>
          <cell r="F208">
            <v>13837.65</v>
          </cell>
          <cell r="G208">
            <v>11909.33</v>
          </cell>
          <cell r="H208">
            <v>8793.8700000000008</v>
          </cell>
          <cell r="I208">
            <v>0</v>
          </cell>
          <cell r="L208">
            <v>0</v>
          </cell>
          <cell r="M208">
            <v>12034.92</v>
          </cell>
          <cell r="P208">
            <v>46575.77</v>
          </cell>
          <cell r="R208" t="str">
            <v>F50530E</v>
          </cell>
          <cell r="S208">
            <v>46575.77</v>
          </cell>
          <cell r="T208">
            <v>46575.77</v>
          </cell>
        </row>
        <row r="209">
          <cell r="A209" t="str">
            <v>F50540E</v>
          </cell>
          <cell r="B209" t="str">
            <v>ELECTRIC EXPENSES</v>
          </cell>
          <cell r="C209">
            <v>0</v>
          </cell>
          <cell r="F209">
            <v>19748.13</v>
          </cell>
          <cell r="G209">
            <v>17568.25</v>
          </cell>
          <cell r="H209">
            <v>14964.26</v>
          </cell>
          <cell r="I209">
            <v>12069.61</v>
          </cell>
          <cell r="J209">
            <v>14639.74</v>
          </cell>
          <cell r="K209">
            <v>25414.29</v>
          </cell>
          <cell r="L209">
            <v>8221.8799999999992</v>
          </cell>
          <cell r="M209">
            <v>8242.7000000000007</v>
          </cell>
          <cell r="N209">
            <v>10949.78</v>
          </cell>
          <cell r="O209">
            <v>7900.47</v>
          </cell>
          <cell r="P209">
            <v>139719.11000000002</v>
          </cell>
          <cell r="R209" t="str">
            <v>F50540E</v>
          </cell>
          <cell r="S209">
            <v>139719.10999999999</v>
          </cell>
          <cell r="T209">
            <v>139719.11000000002</v>
          </cell>
        </row>
        <row r="210">
          <cell r="A210" t="str">
            <v>F50560E</v>
          </cell>
          <cell r="B210" t="str">
            <v>ELECTRIC EXPENSES</v>
          </cell>
          <cell r="C210">
            <v>0</v>
          </cell>
          <cell r="F210">
            <v>102328.32000000001</v>
          </cell>
          <cell r="G210">
            <v>64125.09</v>
          </cell>
          <cell r="H210">
            <v>41975.78</v>
          </cell>
          <cell r="I210">
            <v>13677.37</v>
          </cell>
          <cell r="J210">
            <v>175</v>
          </cell>
          <cell r="K210">
            <v>517.61</v>
          </cell>
          <cell r="P210">
            <v>222799.16999999998</v>
          </cell>
          <cell r="R210" t="str">
            <v>F50560E</v>
          </cell>
          <cell r="S210">
            <v>222799.17</v>
          </cell>
          <cell r="T210">
            <v>222799.16999999998</v>
          </cell>
        </row>
        <row r="211">
          <cell r="A211" t="str">
            <v>F50570E</v>
          </cell>
          <cell r="B211" t="str">
            <v>ELECTRIC EXPENSES</v>
          </cell>
          <cell r="C211">
            <v>0</v>
          </cell>
          <cell r="F211">
            <v>14325.22</v>
          </cell>
          <cell r="G211">
            <v>1300.94</v>
          </cell>
          <cell r="P211">
            <v>15626.16</v>
          </cell>
          <cell r="R211" t="str">
            <v>F50570E</v>
          </cell>
          <cell r="S211">
            <v>15626.16</v>
          </cell>
          <cell r="T211">
            <v>15626.16</v>
          </cell>
        </row>
        <row r="212">
          <cell r="A212" t="str">
            <v>F50600E</v>
          </cell>
          <cell r="B212" t="str">
            <v>MISCELLANEOUS STEAM POWER EXPENSES</v>
          </cell>
          <cell r="C212">
            <v>2000601.75</v>
          </cell>
          <cell r="D212">
            <v>97045.7</v>
          </cell>
          <cell r="E212">
            <v>115599.1</v>
          </cell>
          <cell r="F212">
            <v>130467.19</v>
          </cell>
          <cell r="G212">
            <v>300063.57</v>
          </cell>
          <cell r="H212">
            <v>93286.21</v>
          </cell>
          <cell r="I212">
            <v>181011.88</v>
          </cell>
          <cell r="J212">
            <v>6852.82</v>
          </cell>
          <cell r="K212">
            <v>28608.15</v>
          </cell>
          <cell r="L212">
            <v>859287.05</v>
          </cell>
          <cell r="M212">
            <v>19474.689999999999</v>
          </cell>
          <cell r="N212">
            <v>53839.22</v>
          </cell>
          <cell r="O212">
            <v>16377.98</v>
          </cell>
          <cell r="P212">
            <v>1901913.5599999998</v>
          </cell>
          <cell r="R212" t="str">
            <v>F50600E</v>
          </cell>
          <cell r="S212">
            <v>1901913.56</v>
          </cell>
          <cell r="T212">
            <v>3902515.3099999996</v>
          </cell>
        </row>
        <row r="213">
          <cell r="A213" t="str">
            <v>F50700E</v>
          </cell>
          <cell r="B213" t="str">
            <v>RENTS</v>
          </cell>
          <cell r="C213">
            <v>9392326.0500000007</v>
          </cell>
          <cell r="D213">
            <v>776999.67</v>
          </cell>
          <cell r="E213">
            <v>758333.54</v>
          </cell>
          <cell r="F213">
            <v>756833.54</v>
          </cell>
          <cell r="G213">
            <v>771386.54</v>
          </cell>
          <cell r="H213">
            <v>-85195</v>
          </cell>
          <cell r="I213">
            <v>18004.599999999999</v>
          </cell>
          <cell r="J213">
            <v>13053</v>
          </cell>
          <cell r="K213">
            <v>21611.88</v>
          </cell>
          <cell r="L213">
            <v>0</v>
          </cell>
          <cell r="M213">
            <v>13624</v>
          </cell>
          <cell r="N213">
            <v>13053</v>
          </cell>
          <cell r="O213">
            <v>13053</v>
          </cell>
          <cell r="P213">
            <v>3070757.77</v>
          </cell>
          <cell r="R213" t="str">
            <v>F50700E</v>
          </cell>
          <cell r="S213">
            <v>3070757.77</v>
          </cell>
          <cell r="T213">
            <v>12463083.82</v>
          </cell>
        </row>
        <row r="214">
          <cell r="A214" t="str">
            <v>F51000E</v>
          </cell>
          <cell r="B214" t="str">
            <v>MAINTENANCE SUPERVISION AND ENGINEERING</v>
          </cell>
          <cell r="C214">
            <v>2707809.81</v>
          </cell>
          <cell r="D214">
            <v>193153.5</v>
          </cell>
          <cell r="E214">
            <v>124489.49</v>
          </cell>
          <cell r="F214">
            <v>43174.97</v>
          </cell>
          <cell r="G214">
            <v>32356.799999999999</v>
          </cell>
          <cell r="H214">
            <v>60970.96</v>
          </cell>
          <cell r="I214">
            <v>26632.66</v>
          </cell>
          <cell r="J214">
            <v>2419.77</v>
          </cell>
          <cell r="K214">
            <v>18970.93</v>
          </cell>
          <cell r="L214">
            <v>2029.6</v>
          </cell>
          <cell r="M214">
            <v>8194.6200000000008</v>
          </cell>
          <cell r="N214">
            <v>-12758.11</v>
          </cell>
          <cell r="O214">
            <v>-7535.31</v>
          </cell>
          <cell r="P214">
            <v>492099.87999999995</v>
          </cell>
          <cell r="R214" t="str">
            <v>F51000E</v>
          </cell>
          <cell r="S214">
            <v>492099.88</v>
          </cell>
          <cell r="T214">
            <v>3199909.69</v>
          </cell>
        </row>
        <row r="215">
          <cell r="A215" t="str">
            <v>F51010E</v>
          </cell>
          <cell r="B215" t="str">
            <v>MAINTENANCE SUPERVISION AND ENGINEERING</v>
          </cell>
          <cell r="C215">
            <v>0</v>
          </cell>
          <cell r="F215">
            <v>74542.350000000006</v>
          </cell>
          <cell r="G215">
            <v>61342.22</v>
          </cell>
          <cell r="H215">
            <v>74898.36</v>
          </cell>
          <cell r="I215">
            <v>16849.66</v>
          </cell>
          <cell r="J215">
            <v>2213.1799999999998</v>
          </cell>
          <cell r="K215">
            <v>7662.35</v>
          </cell>
          <cell r="L215">
            <v>8845.7199999999993</v>
          </cell>
          <cell r="M215">
            <v>8492.1200000000008</v>
          </cell>
          <cell r="N215">
            <v>18059.25</v>
          </cell>
          <cell r="O215">
            <v>9032.7800000000007</v>
          </cell>
          <cell r="P215">
            <v>281937.99</v>
          </cell>
          <cell r="R215" t="str">
            <v>F51010E</v>
          </cell>
          <cell r="S215">
            <v>281937.99</v>
          </cell>
          <cell r="T215">
            <v>281937.99</v>
          </cell>
        </row>
        <row r="216">
          <cell r="A216" t="str">
            <v>F51020E</v>
          </cell>
          <cell r="B216" t="str">
            <v>MAINTENANCE SUPERVISION AND ENGINEERING</v>
          </cell>
          <cell r="C216">
            <v>0</v>
          </cell>
          <cell r="F216">
            <v>67683.39</v>
          </cell>
          <cell r="G216">
            <v>50737.58</v>
          </cell>
          <cell r="H216">
            <v>11681.57</v>
          </cell>
          <cell r="I216">
            <v>1045.69</v>
          </cell>
          <cell r="J216">
            <v>266.60000000000002</v>
          </cell>
          <cell r="K216">
            <v>3508.6</v>
          </cell>
          <cell r="L216">
            <v>1154.69</v>
          </cell>
          <cell r="M216">
            <v>2150.6</v>
          </cell>
          <cell r="N216">
            <v>0</v>
          </cell>
          <cell r="O216">
            <v>347.02</v>
          </cell>
          <cell r="P216">
            <v>138575.74000000002</v>
          </cell>
          <cell r="R216" t="str">
            <v>F51020E</v>
          </cell>
          <cell r="S216">
            <v>138575.74</v>
          </cell>
          <cell r="T216">
            <v>138575.74000000002</v>
          </cell>
        </row>
        <row r="217">
          <cell r="A217" t="str">
            <v>F51030E</v>
          </cell>
          <cell r="B217" t="str">
            <v>MAINTENANCE SUPERVISION AND ENGINEERING</v>
          </cell>
          <cell r="C217">
            <v>0</v>
          </cell>
          <cell r="F217">
            <v>887.91</v>
          </cell>
          <cell r="G217">
            <v>308.12</v>
          </cell>
          <cell r="H217">
            <v>132.47999999999999</v>
          </cell>
          <cell r="I217">
            <v>0</v>
          </cell>
          <cell r="L217">
            <v>19795.3</v>
          </cell>
          <cell r="M217">
            <v>0</v>
          </cell>
          <cell r="N217">
            <v>0</v>
          </cell>
          <cell r="O217">
            <v>645.01</v>
          </cell>
          <cell r="P217">
            <v>21768.819999999996</v>
          </cell>
          <cell r="R217" t="str">
            <v>F51030E</v>
          </cell>
          <cell r="S217">
            <v>21768.82</v>
          </cell>
          <cell r="T217">
            <v>21768.819999999996</v>
          </cell>
        </row>
        <row r="218">
          <cell r="A218" t="str">
            <v>F51100E</v>
          </cell>
          <cell r="B218" t="str">
            <v>MAINTENANCE OF STRUCTURES</v>
          </cell>
          <cell r="C218">
            <v>4929031.97</v>
          </cell>
          <cell r="D218">
            <v>358471.67999999999</v>
          </cell>
          <cell r="E218">
            <v>171446.31</v>
          </cell>
          <cell r="F218">
            <v>250427.42</v>
          </cell>
          <cell r="G218">
            <v>188006.53</v>
          </cell>
          <cell r="H218">
            <v>206763.97</v>
          </cell>
          <cell r="I218">
            <v>326678.89</v>
          </cell>
          <cell r="J218">
            <v>222785.4</v>
          </cell>
          <cell r="K218">
            <v>107554.15</v>
          </cell>
          <cell r="L218">
            <v>84971.86</v>
          </cell>
          <cell r="M218">
            <v>48287.46</v>
          </cell>
          <cell r="N218">
            <v>182968.47</v>
          </cell>
          <cell r="O218">
            <v>-3260825.04</v>
          </cell>
          <cell r="P218">
            <v>-1112462.8999999999</v>
          </cell>
          <cell r="R218" t="str">
            <v>F51100E</v>
          </cell>
          <cell r="S218">
            <v>-1112462.8999999999</v>
          </cell>
          <cell r="T218">
            <v>3816569.07</v>
          </cell>
        </row>
        <row r="219">
          <cell r="A219" t="str">
            <v>F51200E</v>
          </cell>
          <cell r="B219" t="str">
            <v>MAINTENANCE OF BOILER PLANT</v>
          </cell>
          <cell r="C219">
            <v>4901535.7</v>
          </cell>
          <cell r="D219">
            <v>355912</v>
          </cell>
          <cell r="E219">
            <v>201114.43</v>
          </cell>
          <cell r="F219">
            <v>391470.51</v>
          </cell>
          <cell r="G219">
            <v>287888.03000000003</v>
          </cell>
          <cell r="H219">
            <v>174650.51</v>
          </cell>
          <cell r="I219">
            <v>29347.58</v>
          </cell>
          <cell r="J219">
            <v>6157.51</v>
          </cell>
          <cell r="K219">
            <v>20188.88</v>
          </cell>
          <cell r="L219">
            <v>-1426.53</v>
          </cell>
          <cell r="M219">
            <v>18.16</v>
          </cell>
          <cell r="N219">
            <v>9027.35</v>
          </cell>
          <cell r="O219">
            <v>82807.520000000004</v>
          </cell>
          <cell r="P219">
            <v>1557155.95</v>
          </cell>
          <cell r="R219" t="str">
            <v>F51200E</v>
          </cell>
          <cell r="S219">
            <v>1557155.95</v>
          </cell>
          <cell r="T219">
            <v>6458691.6500000004</v>
          </cell>
        </row>
        <row r="220">
          <cell r="A220" t="str">
            <v>F51220E</v>
          </cell>
          <cell r="B220" t="str">
            <v>MAINTENANCE OF BOILER PLANT</v>
          </cell>
          <cell r="C220">
            <v>0</v>
          </cell>
          <cell r="F220">
            <v>6077.06</v>
          </cell>
          <cell r="G220">
            <v>6448.36</v>
          </cell>
          <cell r="H220">
            <v>1466.08</v>
          </cell>
          <cell r="I220">
            <v>2079.16</v>
          </cell>
          <cell r="J220">
            <v>812.69</v>
          </cell>
          <cell r="K220">
            <v>0</v>
          </cell>
          <cell r="L220">
            <v>4263.3500000000004</v>
          </cell>
          <cell r="M220">
            <v>0</v>
          </cell>
          <cell r="P220">
            <v>21146.699999999997</v>
          </cell>
          <cell r="R220" t="str">
            <v>F51220E</v>
          </cell>
          <cell r="S220">
            <v>21146.7</v>
          </cell>
          <cell r="T220">
            <v>21146.699999999997</v>
          </cell>
        </row>
        <row r="221">
          <cell r="A221" t="str">
            <v>F51300E</v>
          </cell>
          <cell r="B221" t="str">
            <v>MAINTENANCE OF ELECTRIC PLANT</v>
          </cell>
          <cell r="C221">
            <v>3036140.66</v>
          </cell>
          <cell r="D221">
            <v>262316.05</v>
          </cell>
          <cell r="E221">
            <v>152942.04999999999</v>
          </cell>
          <cell r="F221">
            <v>450622.95</v>
          </cell>
          <cell r="G221">
            <v>183490.22</v>
          </cell>
          <cell r="H221">
            <v>72353.38</v>
          </cell>
          <cell r="I221">
            <v>41674.06</v>
          </cell>
          <cell r="J221">
            <v>8961.6299999999992</v>
          </cell>
          <cell r="K221">
            <v>582.09</v>
          </cell>
          <cell r="L221">
            <v>7167.55</v>
          </cell>
          <cell r="M221">
            <v>3537.39</v>
          </cell>
          <cell r="N221">
            <v>4909.05</v>
          </cell>
          <cell r="O221">
            <v>5584.87</v>
          </cell>
          <cell r="P221">
            <v>1194141.29</v>
          </cell>
          <cell r="R221" t="str">
            <v>F51300E</v>
          </cell>
          <cell r="S221">
            <v>1194141.29</v>
          </cell>
          <cell r="T221">
            <v>4230281.95</v>
          </cell>
        </row>
        <row r="222">
          <cell r="A222" t="str">
            <v>F51320E</v>
          </cell>
          <cell r="B222" t="str">
            <v>MAINTENANCE OF ELECTRIC PLANT</v>
          </cell>
          <cell r="C222">
            <v>0</v>
          </cell>
          <cell r="F222">
            <v>12129.57</v>
          </cell>
          <cell r="G222">
            <v>6450.11</v>
          </cell>
          <cell r="H222">
            <v>2232.46</v>
          </cell>
          <cell r="I222">
            <v>12460.84</v>
          </cell>
          <cell r="N222">
            <v>0</v>
          </cell>
          <cell r="O222">
            <v>1633.13</v>
          </cell>
          <cell r="P222">
            <v>34906.109999999993</v>
          </cell>
          <cell r="R222" t="str">
            <v>F51320E</v>
          </cell>
          <cell r="S222">
            <v>34906.11</v>
          </cell>
          <cell r="T222">
            <v>34906.109999999993</v>
          </cell>
        </row>
        <row r="223">
          <cell r="A223" t="str">
            <v>F51400E</v>
          </cell>
          <cell r="B223" t="str">
            <v>MAINTENANCE OF MISCELLANEOUS STEAM PLANT</v>
          </cell>
          <cell r="C223">
            <v>943606.75</v>
          </cell>
          <cell r="D223">
            <v>26845.49</v>
          </cell>
          <cell r="E223">
            <v>69138.83</v>
          </cell>
          <cell r="F223">
            <v>22126.46</v>
          </cell>
          <cell r="G223">
            <v>31366.15</v>
          </cell>
          <cell r="H223">
            <v>20841.439999999999</v>
          </cell>
          <cell r="I223">
            <v>18472.07</v>
          </cell>
          <cell r="J223">
            <v>0</v>
          </cell>
          <cell r="K223">
            <v>4459.33</v>
          </cell>
          <cell r="L223">
            <v>-614.9</v>
          </cell>
          <cell r="M223">
            <v>0</v>
          </cell>
          <cell r="N223">
            <v>0</v>
          </cell>
          <cell r="O223">
            <v>416.66</v>
          </cell>
          <cell r="P223">
            <v>193051.53</v>
          </cell>
          <cell r="R223" t="str">
            <v>F51400E</v>
          </cell>
          <cell r="S223">
            <v>193051.53</v>
          </cell>
          <cell r="T223">
            <v>1136658.28</v>
          </cell>
        </row>
        <row r="224">
          <cell r="A224" t="str">
            <v>F51420E</v>
          </cell>
          <cell r="B224" t="str">
            <v>MAINTENANCE OF MISCELLANEOUS STEAM PLANT</v>
          </cell>
          <cell r="C224">
            <v>0</v>
          </cell>
          <cell r="H224">
            <v>78.2</v>
          </cell>
          <cell r="I224">
            <v>0</v>
          </cell>
          <cell r="P224">
            <v>78.2</v>
          </cell>
          <cell r="R224" t="str">
            <v>F51420E</v>
          </cell>
          <cell r="S224">
            <v>78.2</v>
          </cell>
          <cell r="T224">
            <v>78.2</v>
          </cell>
        </row>
        <row r="225">
          <cell r="A225" t="str">
            <v>F51700E</v>
          </cell>
          <cell r="B225" t="str">
            <v>OPERATION SUPERVISION AND ENGINEERING</v>
          </cell>
          <cell r="C225">
            <v>21808919.77</v>
          </cell>
          <cell r="D225">
            <v>1927293.44</v>
          </cell>
          <cell r="E225">
            <v>1174519.58</v>
          </cell>
          <cell r="F225">
            <v>1158559.6200000001</v>
          </cell>
          <cell r="G225">
            <v>1550128.05</v>
          </cell>
          <cell r="H225">
            <v>1301394.23</v>
          </cell>
          <cell r="I225">
            <v>1533470.73</v>
          </cell>
          <cell r="J225">
            <v>1294027.8999999999</v>
          </cell>
          <cell r="K225">
            <v>1478485.49</v>
          </cell>
          <cell r="L225">
            <v>790605.21</v>
          </cell>
          <cell r="M225">
            <v>988795.5</v>
          </cell>
          <cell r="N225">
            <v>2334789.44</v>
          </cell>
          <cell r="O225">
            <v>1795646.92</v>
          </cell>
          <cell r="P225">
            <v>17327716.109999999</v>
          </cell>
          <cell r="R225" t="str">
            <v>F51700E</v>
          </cell>
          <cell r="S225">
            <v>17327716.109999999</v>
          </cell>
          <cell r="T225">
            <v>39136635.879999995</v>
          </cell>
        </row>
        <row r="226">
          <cell r="A226" t="str">
            <v>F51800E</v>
          </cell>
          <cell r="B226" t="str">
            <v>FUEL</v>
          </cell>
          <cell r="C226">
            <v>19421127.789999999</v>
          </cell>
          <cell r="D226">
            <v>972450.44</v>
          </cell>
          <cell r="E226">
            <v>887683.92</v>
          </cell>
          <cell r="F226">
            <v>1398210.85</v>
          </cell>
          <cell r="G226">
            <v>878387.18</v>
          </cell>
          <cell r="H226">
            <v>1326365.73</v>
          </cell>
          <cell r="I226">
            <v>1635673.86</v>
          </cell>
          <cell r="J226">
            <v>1421640.97</v>
          </cell>
          <cell r="K226">
            <v>1746999.54</v>
          </cell>
          <cell r="L226">
            <v>1647043.65</v>
          </cell>
          <cell r="M226">
            <v>1745326.87</v>
          </cell>
          <cell r="N226">
            <v>1654700.11</v>
          </cell>
          <cell r="O226">
            <v>1676773.8</v>
          </cell>
          <cell r="P226">
            <v>16991256.920000002</v>
          </cell>
          <cell r="R226" t="str">
            <v>F51800E</v>
          </cell>
          <cell r="S226">
            <v>16991256.920000002</v>
          </cell>
          <cell r="T226">
            <v>36412384.710000001</v>
          </cell>
        </row>
        <row r="227">
          <cell r="A227" t="str">
            <v>F51900E</v>
          </cell>
          <cell r="B227" t="str">
            <v>COOLANTS AND WATER</v>
          </cell>
          <cell r="C227">
            <v>188131.1</v>
          </cell>
          <cell r="D227">
            <v>12322.4</v>
          </cell>
          <cell r="E227">
            <v>18861.71</v>
          </cell>
          <cell r="F227">
            <v>18158.349999999999</v>
          </cell>
          <cell r="G227">
            <v>7606.21</v>
          </cell>
          <cell r="H227">
            <v>14180.43</v>
          </cell>
          <cell r="I227">
            <v>15247.76</v>
          </cell>
          <cell r="J227">
            <v>8902.1299999999992</v>
          </cell>
          <cell r="K227">
            <v>15427.79</v>
          </cell>
          <cell r="L227">
            <v>10228.08</v>
          </cell>
          <cell r="M227">
            <v>25582.3</v>
          </cell>
          <cell r="N227">
            <v>9063.7099999999991</v>
          </cell>
          <cell r="O227">
            <v>3820.82</v>
          </cell>
          <cell r="P227">
            <v>159401.69</v>
          </cell>
          <cell r="R227" t="str">
            <v>F51900E</v>
          </cell>
          <cell r="S227">
            <v>159401.69</v>
          </cell>
          <cell r="T227">
            <v>347532.79000000004</v>
          </cell>
        </row>
        <row r="228">
          <cell r="A228" t="str">
            <v>F52000E</v>
          </cell>
          <cell r="B228" t="str">
            <v>STEAM EXPENSES</v>
          </cell>
          <cell r="C228">
            <v>10392384.76</v>
          </cell>
          <cell r="D228">
            <v>915781.67</v>
          </cell>
          <cell r="E228">
            <v>179257.26</v>
          </cell>
          <cell r="F228">
            <v>927031.51</v>
          </cell>
          <cell r="G228">
            <v>2328757.4500000002</v>
          </cell>
          <cell r="H228">
            <v>1503047.57</v>
          </cell>
          <cell r="I228">
            <v>564026.1</v>
          </cell>
          <cell r="J228">
            <v>850513.72</v>
          </cell>
          <cell r="K228">
            <v>40396.379999999997</v>
          </cell>
          <cell r="L228">
            <v>696659.27</v>
          </cell>
          <cell r="M228">
            <v>603864.6</v>
          </cell>
          <cell r="N228">
            <v>668341.71</v>
          </cell>
          <cell r="O228">
            <v>766587.31</v>
          </cell>
          <cell r="P228">
            <v>10044264.549999999</v>
          </cell>
          <cell r="R228" t="str">
            <v>F52000E</v>
          </cell>
          <cell r="S228">
            <v>10044264.549999999</v>
          </cell>
          <cell r="T228">
            <v>20436649.309999999</v>
          </cell>
        </row>
        <row r="229">
          <cell r="A229" t="str">
            <v>F52300E</v>
          </cell>
          <cell r="B229" t="str">
            <v>ELECTRIC EXPENSES</v>
          </cell>
          <cell r="C229">
            <v>2549590.0299999998</v>
          </cell>
          <cell r="D229">
            <v>222209.72</v>
          </cell>
          <cell r="E229">
            <v>-61487.93</v>
          </cell>
          <cell r="F229">
            <v>302567.28000000003</v>
          </cell>
          <cell r="G229">
            <v>387983.12</v>
          </cell>
          <cell r="H229">
            <v>271397.67</v>
          </cell>
          <cell r="I229">
            <v>87425.66</v>
          </cell>
          <cell r="J229">
            <v>105925.15</v>
          </cell>
          <cell r="K229">
            <v>219892.43</v>
          </cell>
          <cell r="L229">
            <v>216662.11</v>
          </cell>
          <cell r="M229">
            <v>186818.49</v>
          </cell>
          <cell r="N229">
            <v>200364.44</v>
          </cell>
          <cell r="O229">
            <v>243300.26</v>
          </cell>
          <cell r="P229">
            <v>2383058.4000000004</v>
          </cell>
          <cell r="R229" t="str">
            <v>F52300E</v>
          </cell>
          <cell r="S229">
            <v>2383058.4</v>
          </cell>
          <cell r="T229">
            <v>4932648.43</v>
          </cell>
        </row>
        <row r="230">
          <cell r="A230" t="str">
            <v>F52400E</v>
          </cell>
          <cell r="B230" t="str">
            <v>MISCELLANEOUS NUCLEAR POWER EXPENSES</v>
          </cell>
          <cell r="C230">
            <v>21070197.010000002</v>
          </cell>
          <cell r="D230">
            <v>1449034.2</v>
          </cell>
          <cell r="E230">
            <v>814608.35</v>
          </cell>
          <cell r="F230">
            <v>1700636.83</v>
          </cell>
          <cell r="G230">
            <v>1485411.91</v>
          </cell>
          <cell r="H230">
            <v>1353313.47</v>
          </cell>
          <cell r="I230">
            <v>1966131.7</v>
          </cell>
          <cell r="J230">
            <v>1368241.16</v>
          </cell>
          <cell r="K230">
            <v>1292446.77</v>
          </cell>
          <cell r="L230">
            <v>1482754.89</v>
          </cell>
          <cell r="M230">
            <v>1401284.97</v>
          </cell>
          <cell r="N230">
            <v>1943085.09</v>
          </cell>
          <cell r="O230">
            <v>3212569.56</v>
          </cell>
          <cell r="P230">
            <v>19469518.899999999</v>
          </cell>
          <cell r="R230" t="str">
            <v>F52400E</v>
          </cell>
          <cell r="S230">
            <v>19469518.900000002</v>
          </cell>
          <cell r="T230">
            <v>40539715.909999996</v>
          </cell>
        </row>
        <row r="231">
          <cell r="A231" t="str">
            <v>F52500E</v>
          </cell>
          <cell r="B231" t="str">
            <v>RENTS</v>
          </cell>
          <cell r="C231">
            <v>263640.76</v>
          </cell>
          <cell r="D231">
            <v>-6803.26</v>
          </cell>
          <cell r="E231">
            <v>-14145.44</v>
          </cell>
          <cell r="F231">
            <v>28651.7</v>
          </cell>
          <cell r="G231">
            <v>25936.49</v>
          </cell>
          <cell r="H231">
            <v>17860.45</v>
          </cell>
          <cell r="I231">
            <v>34308.800000000003</v>
          </cell>
          <cell r="J231">
            <v>18.43</v>
          </cell>
          <cell r="K231">
            <v>20.16</v>
          </cell>
          <cell r="L231">
            <v>28560.84</v>
          </cell>
          <cell r="M231">
            <v>-617.99</v>
          </cell>
          <cell r="N231">
            <v>3563.17</v>
          </cell>
          <cell r="O231">
            <v>85978.47</v>
          </cell>
          <cell r="P231">
            <v>203331.82</v>
          </cell>
          <cell r="R231" t="str">
            <v>F52500E</v>
          </cell>
          <cell r="S231">
            <v>203331.82</v>
          </cell>
          <cell r="T231">
            <v>466972.58</v>
          </cell>
        </row>
        <row r="232">
          <cell r="A232" t="str">
            <v>F52800E</v>
          </cell>
          <cell r="B232" t="str">
            <v>MAINTENANCE SUPERVISION AND ENGINEERING</v>
          </cell>
          <cell r="C232">
            <v>6876841.0199999996</v>
          </cell>
          <cell r="D232">
            <v>514335.27</v>
          </cell>
          <cell r="E232">
            <v>1722812.44</v>
          </cell>
          <cell r="F232">
            <v>925774.1</v>
          </cell>
          <cell r="G232">
            <v>776137.77</v>
          </cell>
          <cell r="H232">
            <v>425718.62</v>
          </cell>
          <cell r="I232">
            <v>-411369.68</v>
          </cell>
          <cell r="J232">
            <v>585749.28</v>
          </cell>
          <cell r="K232">
            <v>496032.94</v>
          </cell>
          <cell r="L232">
            <v>2951384.36</v>
          </cell>
          <cell r="M232">
            <v>461958.09</v>
          </cell>
          <cell r="N232">
            <v>584172.93999999994</v>
          </cell>
          <cell r="O232">
            <v>670885.91</v>
          </cell>
          <cell r="P232">
            <v>9703592.0399999991</v>
          </cell>
          <cell r="R232" t="str">
            <v>F52800E</v>
          </cell>
          <cell r="S232">
            <v>9703592.0399999991</v>
          </cell>
          <cell r="T232">
            <v>16580433.059999999</v>
          </cell>
        </row>
        <row r="233">
          <cell r="A233" t="str">
            <v>F52900E</v>
          </cell>
          <cell r="B233" t="str">
            <v>MAINTENANCE OF STRUCTURES</v>
          </cell>
          <cell r="C233">
            <v>4313867.8899999997</v>
          </cell>
          <cell r="D233">
            <v>284779.23</v>
          </cell>
          <cell r="E233">
            <v>-92165.08</v>
          </cell>
          <cell r="F233">
            <v>147612.32999999999</v>
          </cell>
          <cell r="G233">
            <v>538181.94999999995</v>
          </cell>
          <cell r="H233">
            <v>331160.21000000002</v>
          </cell>
          <cell r="I233">
            <v>485045.79</v>
          </cell>
          <cell r="J233">
            <v>420259.13</v>
          </cell>
          <cell r="K233">
            <v>301846.82</v>
          </cell>
          <cell r="L233">
            <v>214515.78</v>
          </cell>
          <cell r="M233">
            <v>227474.34</v>
          </cell>
          <cell r="N233">
            <v>283395.18</v>
          </cell>
          <cell r="O233">
            <v>397541.19</v>
          </cell>
          <cell r="P233">
            <v>3539646.8699999996</v>
          </cell>
          <cell r="R233" t="str">
            <v>F52900E</v>
          </cell>
          <cell r="S233">
            <v>3539646.87</v>
          </cell>
          <cell r="T233">
            <v>7853514.7599999998</v>
          </cell>
        </row>
        <row r="234">
          <cell r="A234" t="str">
            <v>F53000E</v>
          </cell>
          <cell r="B234" t="str">
            <v>MAINTENANCE OF REACTOR PLANT EQUIPMENT</v>
          </cell>
          <cell r="C234">
            <v>6086066.96</v>
          </cell>
          <cell r="D234">
            <v>902578.44</v>
          </cell>
          <cell r="E234">
            <v>1008993.59</v>
          </cell>
          <cell r="F234">
            <v>1027611.09</v>
          </cell>
          <cell r="G234">
            <v>1527354.37</v>
          </cell>
          <cell r="H234">
            <v>810434.52</v>
          </cell>
          <cell r="I234">
            <v>1645790.49</v>
          </cell>
          <cell r="J234">
            <v>656931.99</v>
          </cell>
          <cell r="K234">
            <v>94662.1</v>
          </cell>
          <cell r="L234">
            <v>387853.65</v>
          </cell>
          <cell r="M234">
            <v>338422.89</v>
          </cell>
          <cell r="N234">
            <v>360797.07</v>
          </cell>
          <cell r="O234">
            <v>367202.02</v>
          </cell>
          <cell r="P234">
            <v>9128632.2200000007</v>
          </cell>
          <cell r="R234" t="str">
            <v>F53000E</v>
          </cell>
          <cell r="S234">
            <v>9128632.2200000007</v>
          </cell>
          <cell r="T234">
            <v>15214699.18</v>
          </cell>
        </row>
        <row r="235">
          <cell r="A235" t="str">
            <v>F53100E</v>
          </cell>
          <cell r="B235" t="str">
            <v>MAINTENANCE OF ELECTRIC PLANT</v>
          </cell>
          <cell r="C235">
            <v>3744030.47</v>
          </cell>
          <cell r="D235">
            <v>484827.19</v>
          </cell>
          <cell r="E235">
            <v>271826.28999999998</v>
          </cell>
          <cell r="F235">
            <v>623249.35</v>
          </cell>
          <cell r="G235">
            <v>729809.05</v>
          </cell>
          <cell r="H235">
            <v>286484.78000000003</v>
          </cell>
          <cell r="I235">
            <v>964302.51</v>
          </cell>
          <cell r="J235">
            <v>842764.49</v>
          </cell>
          <cell r="K235">
            <v>324549.7</v>
          </cell>
          <cell r="L235">
            <v>312179.5</v>
          </cell>
          <cell r="M235">
            <v>280435.20000000001</v>
          </cell>
          <cell r="N235">
            <v>336295.97</v>
          </cell>
          <cell r="O235">
            <v>193840.49</v>
          </cell>
          <cell r="P235">
            <v>5650564.5200000005</v>
          </cell>
          <cell r="R235" t="str">
            <v>F53100E</v>
          </cell>
          <cell r="S235">
            <v>5650564.5199999996</v>
          </cell>
          <cell r="T235">
            <v>9394594.9900000002</v>
          </cell>
        </row>
        <row r="236">
          <cell r="A236" t="str">
            <v>F53200E</v>
          </cell>
          <cell r="B236" t="str">
            <v>MAINTENANCE OF MISCELLANEOUS NUCLEAR PLANT</v>
          </cell>
          <cell r="C236">
            <v>5244396.0199999996</v>
          </cell>
          <cell r="D236">
            <v>2242367.89</v>
          </cell>
          <cell r="E236">
            <v>2103922.84</v>
          </cell>
          <cell r="F236">
            <v>990079.82</v>
          </cell>
          <cell r="G236">
            <v>478069.41</v>
          </cell>
          <cell r="H236">
            <v>-19417.95</v>
          </cell>
          <cell r="I236">
            <v>-362516.4</v>
          </cell>
          <cell r="J236">
            <v>-711002.64</v>
          </cell>
          <cell r="K236">
            <v>336287.63</v>
          </cell>
          <cell r="L236">
            <v>340361.57</v>
          </cell>
          <cell r="M236">
            <v>318225.08</v>
          </cell>
          <cell r="N236">
            <v>397486.45</v>
          </cell>
          <cell r="O236">
            <v>664456.06000000006</v>
          </cell>
          <cell r="P236">
            <v>6778319.7600000016</v>
          </cell>
          <cell r="R236" t="str">
            <v>F53200E</v>
          </cell>
          <cell r="S236">
            <v>6778319.7599999998</v>
          </cell>
          <cell r="T236">
            <v>12022715.780000001</v>
          </cell>
        </row>
        <row r="237">
          <cell r="A237" t="str">
            <v>F54600E</v>
          </cell>
          <cell r="B237" t="str">
            <v>OPERATION SUPERVISION AND ENGINEERING</v>
          </cell>
          <cell r="C237">
            <v>39405.160000000003</v>
          </cell>
          <cell r="D237">
            <v>9041.2199999999993</v>
          </cell>
          <cell r="E237">
            <v>3823.31</v>
          </cell>
          <cell r="F237">
            <v>3417</v>
          </cell>
          <cell r="G237">
            <v>3731.07</v>
          </cell>
          <cell r="H237">
            <v>20464.310000000001</v>
          </cell>
          <cell r="I237">
            <v>980.76</v>
          </cell>
          <cell r="J237">
            <v>1555.87</v>
          </cell>
          <cell r="K237">
            <v>385.17</v>
          </cell>
          <cell r="L237">
            <v>66.67</v>
          </cell>
          <cell r="M237">
            <v>348.88</v>
          </cell>
          <cell r="N237">
            <v>21.81</v>
          </cell>
          <cell r="O237">
            <v>0</v>
          </cell>
          <cell r="P237">
            <v>43836.07</v>
          </cell>
          <cell r="R237" t="str">
            <v>F54600E</v>
          </cell>
          <cell r="S237">
            <v>43836.07</v>
          </cell>
          <cell r="T237">
            <v>83241.23000000001</v>
          </cell>
        </row>
        <row r="238">
          <cell r="A238" t="str">
            <v>F54610E</v>
          </cell>
          <cell r="B238" t="str">
            <v>OPERATION SUPERVISION AND ENGINEERING</v>
          </cell>
          <cell r="C238">
            <v>0</v>
          </cell>
          <cell r="F238">
            <v>0</v>
          </cell>
          <cell r="G238">
            <v>351.62</v>
          </cell>
          <cell r="J238">
            <v>0</v>
          </cell>
          <cell r="K238">
            <v>10.66</v>
          </cell>
          <cell r="N238">
            <v>10.78</v>
          </cell>
          <cell r="O238">
            <v>0</v>
          </cell>
          <cell r="P238">
            <v>373.06</v>
          </cell>
          <cell r="R238" t="str">
            <v>F54610E</v>
          </cell>
          <cell r="S238">
            <v>373.06</v>
          </cell>
          <cell r="T238">
            <v>373.06</v>
          </cell>
        </row>
        <row r="239">
          <cell r="A239" t="str">
            <v>F54700E</v>
          </cell>
          <cell r="B239" t="str">
            <v>FUEL</v>
          </cell>
          <cell r="C239">
            <v>3247237.35</v>
          </cell>
          <cell r="D239">
            <v>136125.72</v>
          </cell>
          <cell r="E239">
            <v>183425.96</v>
          </cell>
          <cell r="F239">
            <v>146013.71</v>
          </cell>
          <cell r="G239">
            <v>210336.93</v>
          </cell>
          <cell r="H239">
            <v>524120</v>
          </cell>
          <cell r="I239">
            <v>608640.87</v>
          </cell>
          <cell r="J239">
            <v>20163.43</v>
          </cell>
          <cell r="K239">
            <v>0</v>
          </cell>
          <cell r="L239">
            <v>0</v>
          </cell>
          <cell r="M239">
            <v>6627.6</v>
          </cell>
          <cell r="N239">
            <v>57671.56</v>
          </cell>
          <cell r="O239">
            <v>0</v>
          </cell>
          <cell r="P239">
            <v>1893125.78</v>
          </cell>
          <cell r="R239" t="str">
            <v>F54700E</v>
          </cell>
          <cell r="S239">
            <v>1893125.78</v>
          </cell>
          <cell r="T239">
            <v>5140363.13</v>
          </cell>
        </row>
        <row r="240">
          <cell r="A240" t="str">
            <v>F54800E</v>
          </cell>
          <cell r="B240" t="str">
            <v>GENERATION EXPENSES</v>
          </cell>
          <cell r="C240">
            <v>70367.33</v>
          </cell>
          <cell r="D240">
            <v>15135.31</v>
          </cell>
          <cell r="E240">
            <v>6290.39</v>
          </cell>
          <cell r="F240">
            <v>6265.46</v>
          </cell>
          <cell r="G240">
            <v>5511.87</v>
          </cell>
          <cell r="H240">
            <v>1792.25</v>
          </cell>
          <cell r="I240">
            <v>1842.49</v>
          </cell>
          <cell r="J240">
            <v>2506.33</v>
          </cell>
          <cell r="K240">
            <v>0</v>
          </cell>
          <cell r="N240">
            <v>-152.66</v>
          </cell>
          <cell r="O240">
            <v>0</v>
          </cell>
          <cell r="P240">
            <v>39191.439999999995</v>
          </cell>
          <cell r="R240" t="str">
            <v>F54800E</v>
          </cell>
          <cell r="S240">
            <v>39191.440000000002</v>
          </cell>
          <cell r="T240">
            <v>109558.76999999999</v>
          </cell>
        </row>
        <row r="241">
          <cell r="A241" t="str">
            <v>F54900E</v>
          </cell>
          <cell r="B241" t="str">
            <v>MISCELLANEOUS OTHER POWER GENERATION EXPENSES</v>
          </cell>
          <cell r="C241">
            <v>50059.74</v>
          </cell>
          <cell r="D241">
            <v>-4322.09</v>
          </cell>
          <cell r="E241">
            <v>1638.21</v>
          </cell>
          <cell r="F241">
            <v>20139.689999999999</v>
          </cell>
          <cell r="G241">
            <v>1773.7</v>
          </cell>
          <cell r="H241">
            <v>5967.89</v>
          </cell>
          <cell r="I241">
            <v>5375.25</v>
          </cell>
          <cell r="J241">
            <v>3859.25</v>
          </cell>
          <cell r="K241">
            <v>2200.0100000000002</v>
          </cell>
          <cell r="L241">
            <v>10687.63</v>
          </cell>
          <cell r="M241">
            <v>2732.69</v>
          </cell>
          <cell r="N241">
            <v>7187.55</v>
          </cell>
          <cell r="O241">
            <v>4544.84</v>
          </cell>
          <cell r="P241">
            <v>61784.619999999995</v>
          </cell>
          <cell r="R241" t="str">
            <v>F54900E</v>
          </cell>
          <cell r="S241">
            <v>61784.62</v>
          </cell>
          <cell r="T241">
            <v>111844.35999999999</v>
          </cell>
        </row>
        <row r="242">
          <cell r="A242" t="str">
            <v>F55000E</v>
          </cell>
          <cell r="B242" t="str">
            <v>RENTS</v>
          </cell>
          <cell r="C242">
            <v>9422.84</v>
          </cell>
          <cell r="D242">
            <v>95.89</v>
          </cell>
          <cell r="E242">
            <v>0</v>
          </cell>
          <cell r="J242">
            <v>568.27</v>
          </cell>
          <cell r="K242">
            <v>0</v>
          </cell>
          <cell r="P242">
            <v>664.16</v>
          </cell>
          <cell r="R242" t="str">
            <v>F55000E</v>
          </cell>
          <cell r="S242">
            <v>664.16</v>
          </cell>
          <cell r="T242">
            <v>10087</v>
          </cell>
        </row>
        <row r="243">
          <cell r="A243" t="str">
            <v>F55100E</v>
          </cell>
          <cell r="B243" t="str">
            <v>MAINTENANCE SUPERVISION AND ENGINEERING</v>
          </cell>
          <cell r="C243">
            <v>66635.33</v>
          </cell>
          <cell r="D243">
            <v>6074</v>
          </cell>
          <cell r="E243">
            <v>4430.37</v>
          </cell>
          <cell r="F243">
            <v>-409.12</v>
          </cell>
          <cell r="G243">
            <v>339.45</v>
          </cell>
          <cell r="H243">
            <v>93.99</v>
          </cell>
          <cell r="I243">
            <v>346.82</v>
          </cell>
          <cell r="L243">
            <v>0</v>
          </cell>
          <cell r="M243">
            <v>75</v>
          </cell>
          <cell r="P243">
            <v>10950.509999999998</v>
          </cell>
          <cell r="R243" t="str">
            <v>F55100E</v>
          </cell>
          <cell r="S243">
            <v>10950.51</v>
          </cell>
          <cell r="T243">
            <v>77585.84</v>
          </cell>
        </row>
        <row r="244">
          <cell r="A244" t="str">
            <v>F55200E</v>
          </cell>
          <cell r="B244" t="str">
            <v>MAINTENANCE OF STRUCTURES</v>
          </cell>
          <cell r="C244">
            <v>130690.72</v>
          </cell>
          <cell r="D244">
            <v>3596.74</v>
          </cell>
          <cell r="E244">
            <v>4613.54</v>
          </cell>
          <cell r="F244">
            <v>940</v>
          </cell>
          <cell r="G244">
            <v>-148.72999999999999</v>
          </cell>
          <cell r="H244">
            <v>256.48</v>
          </cell>
          <cell r="I244">
            <v>-37.76</v>
          </cell>
          <cell r="J244">
            <v>89.48</v>
          </cell>
          <cell r="K244">
            <v>68.91</v>
          </cell>
          <cell r="N244">
            <v>60.97</v>
          </cell>
          <cell r="O244">
            <v>0</v>
          </cell>
          <cell r="P244">
            <v>9439.6299999999974</v>
          </cell>
          <cell r="R244" t="str">
            <v>F55200E</v>
          </cell>
          <cell r="S244">
            <v>9439.6299999999992</v>
          </cell>
          <cell r="T244">
            <v>140130.35</v>
          </cell>
        </row>
        <row r="245">
          <cell r="A245" t="str">
            <v>F55300E</v>
          </cell>
          <cell r="B245" t="str">
            <v>MAINTENANCE OF GENERATING AND ELECTRIC PLANT</v>
          </cell>
          <cell r="C245">
            <v>877318.2</v>
          </cell>
          <cell r="D245">
            <v>65582.210000000006</v>
          </cell>
          <cell r="E245">
            <v>406112.34</v>
          </cell>
          <cell r="F245">
            <v>11095.92</v>
          </cell>
          <cell r="G245">
            <v>17270.490000000002</v>
          </cell>
          <cell r="H245">
            <v>2654.18</v>
          </cell>
          <cell r="I245">
            <v>-9856.85</v>
          </cell>
          <cell r="J245">
            <v>-430.72</v>
          </cell>
          <cell r="K245">
            <v>26240.37</v>
          </cell>
          <cell r="L245">
            <v>346.16</v>
          </cell>
          <cell r="M245">
            <v>-345.76</v>
          </cell>
          <cell r="N245">
            <v>37903.440000000002</v>
          </cell>
          <cell r="O245">
            <v>-74988.58</v>
          </cell>
          <cell r="P245">
            <v>481583.2</v>
          </cell>
          <cell r="R245" t="str">
            <v>F55300E</v>
          </cell>
          <cell r="S245">
            <v>481583.2</v>
          </cell>
          <cell r="T245">
            <v>1358901.4</v>
          </cell>
        </row>
        <row r="246">
          <cell r="A246" t="str">
            <v>F55400E</v>
          </cell>
          <cell r="B246" t="str">
            <v>MAINT OF MISCELLANEOUS OTHER POWER GENERATION PLAN</v>
          </cell>
          <cell r="C246">
            <v>28192.17</v>
          </cell>
          <cell r="D246">
            <v>3879.95</v>
          </cell>
          <cell r="E246">
            <v>154.61000000000001</v>
          </cell>
          <cell r="F246">
            <v>117.94</v>
          </cell>
          <cell r="G246">
            <v>14.79</v>
          </cell>
          <cell r="H246">
            <v>-31.88</v>
          </cell>
          <cell r="I246">
            <v>0</v>
          </cell>
          <cell r="P246">
            <v>4135.41</v>
          </cell>
          <cell r="R246" t="str">
            <v>F55400E</v>
          </cell>
          <cell r="S246">
            <v>4135.41</v>
          </cell>
          <cell r="T246">
            <v>32327.579999999998</v>
          </cell>
        </row>
        <row r="247">
          <cell r="A247" t="str">
            <v>F55500E</v>
          </cell>
          <cell r="B247" t="str">
            <v>PURCHASED POWER</v>
          </cell>
          <cell r="C247">
            <v>291878187.51999998</v>
          </cell>
          <cell r="D247">
            <v>19391847.629999999</v>
          </cell>
          <cell r="E247">
            <v>18222982.25</v>
          </cell>
          <cell r="F247">
            <v>16672441.029999999</v>
          </cell>
          <cell r="G247">
            <v>18451668.07</v>
          </cell>
          <cell r="H247">
            <v>20548192.120000001</v>
          </cell>
          <cell r="I247">
            <v>25045568.039999999</v>
          </cell>
          <cell r="J247">
            <v>22448808.489999998</v>
          </cell>
          <cell r="K247">
            <v>15728074.84</v>
          </cell>
          <cell r="L247">
            <v>34938723.670000002</v>
          </cell>
          <cell r="M247">
            <v>21957781.66</v>
          </cell>
          <cell r="N247">
            <v>18732688.879999999</v>
          </cell>
          <cell r="O247">
            <v>18905248.510000002</v>
          </cell>
          <cell r="P247">
            <v>251044025.18999997</v>
          </cell>
          <cell r="R247" t="str">
            <v>F55500E</v>
          </cell>
          <cell r="S247">
            <v>251044025.19</v>
          </cell>
          <cell r="T247">
            <v>542922212.70999992</v>
          </cell>
        </row>
        <row r="248">
          <cell r="A248" t="str">
            <v>F55501E</v>
          </cell>
          <cell r="B248" t="str">
            <v>PX POWER</v>
          </cell>
          <cell r="C248">
            <v>418356591.27999997</v>
          </cell>
          <cell r="D248">
            <v>33909541.880000003</v>
          </cell>
          <cell r="E248">
            <v>25470360</v>
          </cell>
          <cell r="F248">
            <v>27981575.719999999</v>
          </cell>
          <cell r="G248">
            <v>3850718.29</v>
          </cell>
          <cell r="H248">
            <v>-1823024.64</v>
          </cell>
          <cell r="I248">
            <v>155098866.87</v>
          </cell>
          <cell r="J248">
            <v>53514973.289999999</v>
          </cell>
          <cell r="K248">
            <v>56170209.090000004</v>
          </cell>
          <cell r="L248">
            <v>45819743.119999997</v>
          </cell>
          <cell r="M248">
            <v>60513932.640000001</v>
          </cell>
          <cell r="N248">
            <v>40774607.57</v>
          </cell>
          <cell r="O248">
            <v>40893392.390000001</v>
          </cell>
          <cell r="P248">
            <v>542174896.22000003</v>
          </cell>
          <cell r="R248" t="str">
            <v>F55501E</v>
          </cell>
          <cell r="S248">
            <v>542174896.22000003</v>
          </cell>
          <cell r="T248">
            <v>960531487.5</v>
          </cell>
        </row>
        <row r="249">
          <cell r="A249" t="str">
            <v>F55510E</v>
          </cell>
          <cell r="B249" t="str">
            <v>PX POWER</v>
          </cell>
          <cell r="F249">
            <v>3321213.46</v>
          </cell>
          <cell r="G249">
            <v>27052206.460000001</v>
          </cell>
          <cell r="H249">
            <v>31951244.460000001</v>
          </cell>
          <cell r="I249">
            <v>-121704566.26000001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cell>
          <cell r="T249">
            <v>-59379901.880000003</v>
          </cell>
        </row>
        <row r="250">
          <cell r="A250" t="str">
            <v>F55600E</v>
          </cell>
          <cell r="B250" t="str">
            <v>SYSTEM CONTROL AND LOAD DISPATCHING</v>
          </cell>
          <cell r="C250">
            <v>1543276.58</v>
          </cell>
          <cell r="D250">
            <v>126109.33</v>
          </cell>
          <cell r="E250">
            <v>73638.36</v>
          </cell>
          <cell r="F250">
            <v>138006.32</v>
          </cell>
          <cell r="G250">
            <v>85517.39</v>
          </cell>
          <cell r="H250">
            <v>103939.68</v>
          </cell>
          <cell r="I250">
            <v>75870.289999999994</v>
          </cell>
          <cell r="J250">
            <v>109076.35</v>
          </cell>
          <cell r="K250">
            <v>120030.82</v>
          </cell>
          <cell r="L250">
            <v>103583.58</v>
          </cell>
          <cell r="M250">
            <v>102306.62</v>
          </cell>
          <cell r="N250">
            <v>112278.41</v>
          </cell>
          <cell r="O250">
            <v>165156.13</v>
          </cell>
          <cell r="P250">
            <v>1315513.2799999998</v>
          </cell>
          <cell r="R250" t="str">
            <v>F55600E</v>
          </cell>
          <cell r="S250">
            <v>1315513.28</v>
          </cell>
          <cell r="T250">
            <v>2858789.86</v>
          </cell>
        </row>
        <row r="251">
          <cell r="A251" t="str">
            <v>F55700E</v>
          </cell>
          <cell r="B251" t="str">
            <v>OTHER EXPENSES</v>
          </cell>
          <cell r="C251">
            <v>8619195.0299999993</v>
          </cell>
          <cell r="D251">
            <v>3322761.44</v>
          </cell>
          <cell r="E251">
            <v>455294.31</v>
          </cell>
          <cell r="F251">
            <v>5867738.2599999998</v>
          </cell>
          <cell r="G251">
            <v>595395.03</v>
          </cell>
          <cell r="H251">
            <v>364180.65</v>
          </cell>
          <cell r="I251">
            <v>501037.53</v>
          </cell>
          <cell r="J251">
            <v>493829.61</v>
          </cell>
          <cell r="K251">
            <v>819972.57</v>
          </cell>
          <cell r="L251">
            <v>675451.28</v>
          </cell>
          <cell r="M251">
            <v>1049476.22</v>
          </cell>
          <cell r="N251">
            <v>404222.28</v>
          </cell>
          <cell r="O251">
            <v>523779.94</v>
          </cell>
          <cell r="P251">
            <v>15073139.119999997</v>
          </cell>
          <cell r="R251" t="str">
            <v>F55700E</v>
          </cell>
          <cell r="S251">
            <v>15073139.119999999</v>
          </cell>
          <cell r="T251">
            <v>23692334.149999999</v>
          </cell>
        </row>
        <row r="252">
          <cell r="A252" t="str">
            <v>F55720E</v>
          </cell>
          <cell r="B252" t="str">
            <v>OTHER EXPENSES</v>
          </cell>
          <cell r="C252">
            <v>0</v>
          </cell>
          <cell r="F252">
            <v>94039</v>
          </cell>
          <cell r="G252">
            <v>176759.94</v>
          </cell>
          <cell r="H252">
            <v>45638.83</v>
          </cell>
          <cell r="I252">
            <v>57750.68</v>
          </cell>
          <cell r="J252">
            <v>45318.720000000001</v>
          </cell>
          <cell r="K252">
            <v>62938.86</v>
          </cell>
          <cell r="L252">
            <v>24214.44</v>
          </cell>
          <cell r="M252">
            <v>27613.07</v>
          </cell>
          <cell r="N252">
            <v>29191.57</v>
          </cell>
          <cell r="O252">
            <v>22671.43</v>
          </cell>
          <cell r="P252">
            <v>586136.54</v>
          </cell>
          <cell r="R252" t="str">
            <v>F55720E</v>
          </cell>
          <cell r="S252">
            <v>586136.54</v>
          </cell>
          <cell r="T252">
            <v>586136.54</v>
          </cell>
        </row>
        <row r="253">
          <cell r="A253" t="str">
            <v>F55780E</v>
          </cell>
          <cell r="B253" t="str">
            <v>OTHER EXPENSES</v>
          </cell>
          <cell r="C253">
            <v>0</v>
          </cell>
          <cell r="F253">
            <v>10032.15</v>
          </cell>
          <cell r="G253">
            <v>87022.720000000001</v>
          </cell>
          <cell r="H253">
            <v>28051.439999999999</v>
          </cell>
          <cell r="I253">
            <v>48262.52</v>
          </cell>
          <cell r="J253">
            <v>31916.43</v>
          </cell>
          <cell r="K253">
            <v>36577.9</v>
          </cell>
          <cell r="L253">
            <v>30638.12</v>
          </cell>
          <cell r="M253">
            <v>31789.19</v>
          </cell>
          <cell r="N253">
            <v>38124.92</v>
          </cell>
          <cell r="O253">
            <v>38022.5</v>
          </cell>
          <cell r="P253">
            <v>380437.88999999996</v>
          </cell>
          <cell r="R253" t="str">
            <v>F55780E</v>
          </cell>
          <cell r="S253">
            <v>380437.89</v>
          </cell>
          <cell r="T253">
            <v>380437.88999999996</v>
          </cell>
        </row>
        <row r="254">
          <cell r="A254" t="str">
            <v>F56000E</v>
          </cell>
          <cell r="B254" t="str">
            <v>OPERATION SUPERVISION AND ENGINEERING</v>
          </cell>
          <cell r="C254">
            <v>1653788.81</v>
          </cell>
          <cell r="D254">
            <v>174095.77</v>
          </cell>
          <cell r="E254">
            <v>111816.71</v>
          </cell>
          <cell r="F254">
            <v>169236.54</v>
          </cell>
          <cell r="G254">
            <v>175141.59</v>
          </cell>
          <cell r="H254">
            <v>165850.34</v>
          </cell>
          <cell r="I254">
            <v>191000.56</v>
          </cell>
          <cell r="J254">
            <v>163280.79</v>
          </cell>
          <cell r="K254">
            <v>217313.01</v>
          </cell>
          <cell r="L254">
            <v>216375.56</v>
          </cell>
          <cell r="M254">
            <v>168978.84</v>
          </cell>
          <cell r="N254">
            <v>154544.43</v>
          </cell>
          <cell r="O254">
            <v>-1538165.55</v>
          </cell>
          <cell r="P254">
            <v>369468.59000000008</v>
          </cell>
          <cell r="R254" t="str">
            <v>F56000E</v>
          </cell>
          <cell r="S254">
            <v>369468.59</v>
          </cell>
          <cell r="T254">
            <v>2023257.4000000001</v>
          </cell>
        </row>
        <row r="255">
          <cell r="A255" t="str">
            <v>F56010E</v>
          </cell>
          <cell r="B255" t="str">
            <v>OPERATION SUPERVISION AND ENGINEERING</v>
          </cell>
          <cell r="C255">
            <v>0</v>
          </cell>
          <cell r="F255">
            <v>152885.81</v>
          </cell>
          <cell r="G255">
            <v>110336.53</v>
          </cell>
          <cell r="H255">
            <v>144264.19</v>
          </cell>
          <cell r="I255">
            <v>104853.82</v>
          </cell>
          <cell r="J255">
            <v>92627.21</v>
          </cell>
          <cell r="K255">
            <v>155058.01999999999</v>
          </cell>
          <cell r="L255">
            <v>103780.94</v>
          </cell>
          <cell r="M255">
            <v>101365.32</v>
          </cell>
          <cell r="N255">
            <v>119041.54</v>
          </cell>
          <cell r="O255">
            <v>53798.25</v>
          </cell>
          <cell r="P255">
            <v>1138011.6300000001</v>
          </cell>
          <cell r="R255" t="str">
            <v>F56010E</v>
          </cell>
          <cell r="S255">
            <v>1138011.6299999999</v>
          </cell>
          <cell r="T255">
            <v>1138011.6300000001</v>
          </cell>
        </row>
        <row r="256">
          <cell r="A256" t="str">
            <v>F56020E</v>
          </cell>
          <cell r="B256" t="str">
            <v>OPERATION SUPERVISION AND ENGINEERING</v>
          </cell>
          <cell r="C256">
            <v>0</v>
          </cell>
          <cell r="F256">
            <v>25354.76</v>
          </cell>
          <cell r="G256">
            <v>22565.03</v>
          </cell>
          <cell r="H256">
            <v>20749.330000000002</v>
          </cell>
          <cell r="I256">
            <v>25135.16</v>
          </cell>
          <cell r="J256">
            <v>21012.95</v>
          </cell>
          <cell r="K256">
            <v>21646.54</v>
          </cell>
          <cell r="L256">
            <v>19351.419999999998</v>
          </cell>
          <cell r="M256">
            <v>22862.35</v>
          </cell>
          <cell r="N256">
            <v>31595.13</v>
          </cell>
          <cell r="O256">
            <v>23157.37</v>
          </cell>
          <cell r="P256">
            <v>233430.04</v>
          </cell>
          <cell r="R256" t="str">
            <v>F56020E</v>
          </cell>
          <cell r="S256">
            <v>233430.04</v>
          </cell>
          <cell r="T256">
            <v>233430.04</v>
          </cell>
        </row>
        <row r="257">
          <cell r="A257" t="str">
            <v>F56100E</v>
          </cell>
          <cell r="B257" t="str">
            <v>LOAD DISPATCHING</v>
          </cell>
          <cell r="C257">
            <v>1664541.67</v>
          </cell>
          <cell r="D257">
            <v>199038.89</v>
          </cell>
          <cell r="E257">
            <v>147569.62</v>
          </cell>
          <cell r="F257">
            <v>188906.05</v>
          </cell>
          <cell r="G257">
            <v>142314.16</v>
          </cell>
          <cell r="H257">
            <v>145899.71</v>
          </cell>
          <cell r="I257">
            <v>175605.58</v>
          </cell>
          <cell r="J257">
            <v>144403.63</v>
          </cell>
          <cell r="K257">
            <v>190281.51</v>
          </cell>
          <cell r="L257">
            <v>162880</v>
          </cell>
          <cell r="M257">
            <v>184300.55</v>
          </cell>
          <cell r="N257">
            <v>248593.69</v>
          </cell>
          <cell r="O257">
            <v>290896.39</v>
          </cell>
          <cell r="P257">
            <v>2220689.7800000003</v>
          </cell>
          <cell r="R257" t="str">
            <v>F56100E</v>
          </cell>
          <cell r="S257">
            <v>2220689.7799999998</v>
          </cell>
          <cell r="T257">
            <v>3885231.45</v>
          </cell>
        </row>
        <row r="258">
          <cell r="A258" t="str">
            <v>F56200E</v>
          </cell>
          <cell r="B258" t="str">
            <v>STATION EXPENSES</v>
          </cell>
          <cell r="C258">
            <v>196384.61</v>
          </cell>
          <cell r="D258">
            <v>17578.419999999998</v>
          </cell>
          <cell r="E258">
            <v>16582.34</v>
          </cell>
          <cell r="F258">
            <v>8647.24</v>
          </cell>
          <cell r="G258">
            <v>999.39</v>
          </cell>
          <cell r="H258">
            <v>2811.02</v>
          </cell>
          <cell r="I258">
            <v>6730.58</v>
          </cell>
          <cell r="J258">
            <v>1768.38</v>
          </cell>
          <cell r="K258">
            <v>1399.17</v>
          </cell>
          <cell r="L258">
            <v>-14.28</v>
          </cell>
          <cell r="M258">
            <v>1164.3499999999999</v>
          </cell>
          <cell r="N258">
            <v>986</v>
          </cell>
          <cell r="O258">
            <v>985.53</v>
          </cell>
          <cell r="P258">
            <v>59638.139999999985</v>
          </cell>
          <cell r="R258" t="str">
            <v>F56200E</v>
          </cell>
          <cell r="S258">
            <v>59638.14</v>
          </cell>
          <cell r="T258">
            <v>256022.74999999997</v>
          </cell>
        </row>
        <row r="259">
          <cell r="A259" t="str">
            <v>F56210E</v>
          </cell>
          <cell r="B259" t="str">
            <v>STATION EXPENSES</v>
          </cell>
          <cell r="C259">
            <v>0</v>
          </cell>
          <cell r="F259">
            <v>12005.65</v>
          </cell>
          <cell r="G259">
            <v>10744.45</v>
          </cell>
          <cell r="H259">
            <v>12882.06</v>
          </cell>
          <cell r="I259">
            <v>21620.18</v>
          </cell>
          <cell r="J259">
            <v>19606.12</v>
          </cell>
          <cell r="K259">
            <v>16341.73</v>
          </cell>
          <cell r="L259">
            <v>8005.34</v>
          </cell>
          <cell r="M259">
            <v>14920.06</v>
          </cell>
          <cell r="N259">
            <v>22055.11</v>
          </cell>
          <cell r="O259">
            <v>10354.950000000001</v>
          </cell>
          <cell r="P259">
            <v>148535.65</v>
          </cell>
          <cell r="R259" t="str">
            <v>F56210E</v>
          </cell>
          <cell r="S259">
            <v>148535.65</v>
          </cell>
          <cell r="T259">
            <v>148535.65</v>
          </cell>
        </row>
        <row r="260">
          <cell r="A260" t="str">
            <v>F56220E</v>
          </cell>
          <cell r="B260" t="str">
            <v>STATION EXPENSES</v>
          </cell>
          <cell r="C260">
            <v>0</v>
          </cell>
          <cell r="H260">
            <v>0</v>
          </cell>
          <cell r="I260">
            <v>126.9</v>
          </cell>
          <cell r="J260">
            <v>69.83</v>
          </cell>
          <cell r="K260">
            <v>0</v>
          </cell>
          <cell r="P260">
            <v>196.73000000000002</v>
          </cell>
          <cell r="R260" t="str">
            <v>F56220E</v>
          </cell>
          <cell r="S260">
            <v>196.73</v>
          </cell>
          <cell r="T260">
            <v>196.73000000000002</v>
          </cell>
        </row>
        <row r="261">
          <cell r="A261" t="str">
            <v>F56300E</v>
          </cell>
          <cell r="B261" t="str">
            <v>OVERHEAD LINE EXPENSES</v>
          </cell>
          <cell r="C261">
            <v>506540.81</v>
          </cell>
          <cell r="D261">
            <v>25552.94</v>
          </cell>
          <cell r="E261">
            <v>22012.99</v>
          </cell>
          <cell r="F261">
            <v>17491.259999999998</v>
          </cell>
          <cell r="G261">
            <v>3114.48</v>
          </cell>
          <cell r="H261">
            <v>6402.7</v>
          </cell>
          <cell r="I261">
            <v>7208.51</v>
          </cell>
          <cell r="J261">
            <v>11803.43</v>
          </cell>
          <cell r="K261">
            <v>3781.01</v>
          </cell>
          <cell r="L261">
            <v>-2960.12</v>
          </cell>
          <cell r="M261">
            <v>3997.27</v>
          </cell>
          <cell r="N261">
            <v>1753.56</v>
          </cell>
          <cell r="O261">
            <v>1290.19</v>
          </cell>
          <cell r="P261">
            <v>101448.22</v>
          </cell>
          <cell r="R261" t="str">
            <v>F56300E</v>
          </cell>
          <cell r="S261">
            <v>101448.22</v>
          </cell>
          <cell r="T261">
            <v>607989.03</v>
          </cell>
        </row>
        <row r="262">
          <cell r="A262" t="str">
            <v>F56310E</v>
          </cell>
          <cell r="B262" t="str">
            <v>OVERHEAD LINE EXPENSES</v>
          </cell>
          <cell r="C262">
            <v>0</v>
          </cell>
          <cell r="F262">
            <v>32784.559999999998</v>
          </cell>
          <cell r="G262">
            <v>31515.5</v>
          </cell>
          <cell r="H262">
            <v>36573</v>
          </cell>
          <cell r="I262">
            <v>32281.38</v>
          </cell>
          <cell r="J262">
            <v>21235.42</v>
          </cell>
          <cell r="K262">
            <v>51463.05</v>
          </cell>
          <cell r="L262">
            <v>39652.6</v>
          </cell>
          <cell r="M262">
            <v>19277.37</v>
          </cell>
          <cell r="N262">
            <v>48142.58</v>
          </cell>
          <cell r="O262">
            <v>74708.149999999994</v>
          </cell>
          <cell r="P262">
            <v>387633.61</v>
          </cell>
          <cell r="R262" t="str">
            <v>F56310E</v>
          </cell>
          <cell r="S262">
            <v>387633.61</v>
          </cell>
          <cell r="T262">
            <v>387633.61</v>
          </cell>
        </row>
        <row r="263">
          <cell r="A263" t="str">
            <v>F56400E</v>
          </cell>
          <cell r="B263" t="str">
            <v>UNDERGROUND LINE EXPENSES</v>
          </cell>
          <cell r="C263">
            <v>2378.9</v>
          </cell>
          <cell r="F263">
            <v>0</v>
          </cell>
          <cell r="G263">
            <v>10294.34</v>
          </cell>
          <cell r="H263">
            <v>0</v>
          </cell>
          <cell r="I263">
            <v>713.68</v>
          </cell>
          <cell r="J263">
            <v>0</v>
          </cell>
          <cell r="K263">
            <v>-1878.24</v>
          </cell>
          <cell r="N263">
            <v>0</v>
          </cell>
          <cell r="O263">
            <v>85.92</v>
          </cell>
          <cell r="P263">
            <v>9215.7000000000007</v>
          </cell>
          <cell r="R263" t="str">
            <v>F56400E</v>
          </cell>
          <cell r="S263">
            <v>9215.7000000000007</v>
          </cell>
          <cell r="T263">
            <v>11594.6</v>
          </cell>
        </row>
        <row r="264">
          <cell r="A264" t="str">
            <v>F56500E</v>
          </cell>
          <cell r="B264" t="str">
            <v>TRANSMISSION OF ELECTRICITY BY OTHERS</v>
          </cell>
          <cell r="C264">
            <v>8151025.6399999997</v>
          </cell>
          <cell r="D264">
            <v>590679.17000000004</v>
          </cell>
          <cell r="E264">
            <v>585470.93999999994</v>
          </cell>
          <cell r="F264">
            <v>58499.34</v>
          </cell>
          <cell r="G264">
            <v>606923.09</v>
          </cell>
          <cell r="H264">
            <v>1167585.8500000001</v>
          </cell>
          <cell r="I264">
            <v>614264.71</v>
          </cell>
          <cell r="J264">
            <v>608140.59</v>
          </cell>
          <cell r="K264">
            <v>894655.57</v>
          </cell>
          <cell r="L264">
            <v>600141.71</v>
          </cell>
          <cell r="M264">
            <v>652098.15</v>
          </cell>
          <cell r="N264">
            <v>563697.02</v>
          </cell>
          <cell r="O264">
            <v>249058.57</v>
          </cell>
          <cell r="P264">
            <v>7191214.7100000009</v>
          </cell>
          <cell r="R264" t="str">
            <v>F56500E</v>
          </cell>
          <cell r="S264">
            <v>7191214.71</v>
          </cell>
          <cell r="T264">
            <v>15342240.350000001</v>
          </cell>
        </row>
        <row r="265">
          <cell r="A265" t="str">
            <v>F56600E</v>
          </cell>
          <cell r="B265" t="str">
            <v>MISCELLANEOUS TRANSMISSION EXPENSES</v>
          </cell>
          <cell r="C265">
            <v>46244763.329999998</v>
          </cell>
          <cell r="D265">
            <v>1211564.75</v>
          </cell>
          <cell r="E265">
            <v>1036945.91</v>
          </cell>
          <cell r="F265">
            <v>-898031.91</v>
          </cell>
          <cell r="G265">
            <v>6550995.5899999999</v>
          </cell>
          <cell r="H265">
            <v>84388.18</v>
          </cell>
          <cell r="I265">
            <v>13389759.16</v>
          </cell>
          <cell r="J265">
            <v>6711875.7999999998</v>
          </cell>
          <cell r="K265">
            <v>4709316.4800000004</v>
          </cell>
          <cell r="L265">
            <v>7357514.5199999996</v>
          </cell>
          <cell r="M265">
            <v>8179033.3499999996</v>
          </cell>
          <cell r="N265">
            <v>11576880.380000001</v>
          </cell>
          <cell r="O265">
            <v>1628401.54</v>
          </cell>
          <cell r="P265">
            <v>61538643.750000007</v>
          </cell>
          <cell r="R265" t="str">
            <v>F56600E</v>
          </cell>
          <cell r="S265">
            <v>61538643.75</v>
          </cell>
          <cell r="T265">
            <v>107783407.08000001</v>
          </cell>
        </row>
        <row r="266">
          <cell r="A266" t="str">
            <v>F56700E</v>
          </cell>
          <cell r="B266" t="str">
            <v>RENTS</v>
          </cell>
          <cell r="C266">
            <v>1480999.24</v>
          </cell>
          <cell r="D266">
            <v>3746.91</v>
          </cell>
          <cell r="E266">
            <v>-17659.79</v>
          </cell>
          <cell r="F266">
            <v>0</v>
          </cell>
          <cell r="G266">
            <v>390.62</v>
          </cell>
          <cell r="H266">
            <v>0</v>
          </cell>
          <cell r="I266">
            <v>129119.03999999999</v>
          </cell>
          <cell r="J266">
            <v>404500.1</v>
          </cell>
          <cell r="K266">
            <v>20794.14</v>
          </cell>
          <cell r="L266">
            <v>2560.79</v>
          </cell>
          <cell r="M266">
            <v>39971.86</v>
          </cell>
          <cell r="N266">
            <v>12713.56</v>
          </cell>
          <cell r="O266">
            <v>18466.38</v>
          </cell>
          <cell r="P266">
            <v>614603.6100000001</v>
          </cell>
          <cell r="R266" t="str">
            <v>F56700E</v>
          </cell>
          <cell r="S266">
            <v>614603.61</v>
          </cell>
          <cell r="T266">
            <v>2095602.85</v>
          </cell>
        </row>
        <row r="267">
          <cell r="A267" t="str">
            <v>F56800E</v>
          </cell>
          <cell r="B267" t="str">
            <v>MAINTENANCE SUPERVISION AND ENGINEERING</v>
          </cell>
          <cell r="C267">
            <v>125146.51</v>
          </cell>
          <cell r="D267">
            <v>9115.64</v>
          </cell>
          <cell r="E267">
            <v>9363.56</v>
          </cell>
          <cell r="F267">
            <v>1172.52</v>
          </cell>
          <cell r="G267">
            <v>5543.41</v>
          </cell>
          <cell r="H267">
            <v>556.30999999999995</v>
          </cell>
          <cell r="I267">
            <v>410.91</v>
          </cell>
          <cell r="J267">
            <v>0</v>
          </cell>
          <cell r="K267">
            <v>568.57000000000005</v>
          </cell>
          <cell r="L267">
            <v>4407.2299999999996</v>
          </cell>
          <cell r="M267">
            <v>-11831.56</v>
          </cell>
          <cell r="N267">
            <v>-3409.99</v>
          </cell>
          <cell r="O267">
            <v>459.62</v>
          </cell>
          <cell r="P267">
            <v>16356.219999999998</v>
          </cell>
          <cell r="R267" t="str">
            <v>F56800E</v>
          </cell>
          <cell r="S267">
            <v>16356.22</v>
          </cell>
          <cell r="T267">
            <v>141502.72999999998</v>
          </cell>
        </row>
        <row r="268">
          <cell r="A268" t="str">
            <v>F56810E</v>
          </cell>
          <cell r="B268" t="str">
            <v>MAINTENANCE SUPERVISION AND ENGINEERING</v>
          </cell>
          <cell r="C268">
            <v>0</v>
          </cell>
          <cell r="F268">
            <v>6436.7</v>
          </cell>
          <cell r="G268">
            <v>16969.13</v>
          </cell>
          <cell r="H268">
            <v>11224.28</v>
          </cell>
          <cell r="I268">
            <v>221.02</v>
          </cell>
          <cell r="J268">
            <v>11214.85</v>
          </cell>
          <cell r="K268">
            <v>26844.51</v>
          </cell>
          <cell r="L268">
            <v>17344.48</v>
          </cell>
          <cell r="M268">
            <v>12738.41</v>
          </cell>
          <cell r="N268">
            <v>208.6</v>
          </cell>
          <cell r="O268">
            <v>23861.19</v>
          </cell>
          <cell r="P268">
            <v>127063.17</v>
          </cell>
          <cell r="R268" t="str">
            <v>F56810E</v>
          </cell>
          <cell r="S268">
            <v>127063.17</v>
          </cell>
          <cell r="T268">
            <v>127063.17</v>
          </cell>
        </row>
        <row r="269">
          <cell r="A269" t="str">
            <v>F56900E</v>
          </cell>
          <cell r="B269" t="str">
            <v>MAINTENANCE OF STRUCTURES</v>
          </cell>
          <cell r="C269">
            <v>9686.15</v>
          </cell>
          <cell r="D269">
            <v>0</v>
          </cell>
          <cell r="E269">
            <v>-231.48</v>
          </cell>
          <cell r="F269">
            <v>0</v>
          </cell>
          <cell r="G269">
            <v>173.09</v>
          </cell>
          <cell r="H269">
            <v>99.65</v>
          </cell>
          <cell r="I269">
            <v>9983.2099999999991</v>
          </cell>
          <cell r="J269">
            <v>428.11</v>
          </cell>
          <cell r="K269">
            <v>15.6</v>
          </cell>
          <cell r="L269">
            <v>15</v>
          </cell>
          <cell r="M269">
            <v>23</v>
          </cell>
          <cell r="N269">
            <v>14.8</v>
          </cell>
          <cell r="O269">
            <v>649.98</v>
          </cell>
          <cell r="P269">
            <v>11170.96</v>
          </cell>
          <cell r="R269" t="str">
            <v>F56900E</v>
          </cell>
          <cell r="S269">
            <v>11170.96</v>
          </cell>
          <cell r="T269">
            <v>20857.11</v>
          </cell>
        </row>
        <row r="270">
          <cell r="A270" t="str">
            <v>F57000E</v>
          </cell>
          <cell r="B270" t="str">
            <v>MAINTENANCE OF STATION EQUIPMENT</v>
          </cell>
          <cell r="C270">
            <v>2272180.41</v>
          </cell>
          <cell r="D270">
            <v>203884.23</v>
          </cell>
          <cell r="E270">
            <v>170126.67</v>
          </cell>
          <cell r="F270">
            <v>45535.15</v>
          </cell>
          <cell r="G270">
            <v>34771.79</v>
          </cell>
          <cell r="H270">
            <v>25834.13</v>
          </cell>
          <cell r="I270">
            <v>34839.35</v>
          </cell>
          <cell r="J270">
            <v>46292.7</v>
          </cell>
          <cell r="K270">
            <v>34215.5</v>
          </cell>
          <cell r="L270">
            <v>27201.99</v>
          </cell>
          <cell r="M270">
            <v>38698.29</v>
          </cell>
          <cell r="N270">
            <v>86870.64</v>
          </cell>
          <cell r="O270">
            <v>20672.25</v>
          </cell>
          <cell r="P270">
            <v>768942.69000000006</v>
          </cell>
          <cell r="R270" t="str">
            <v>F57000E</v>
          </cell>
          <cell r="S270">
            <v>768942.69</v>
          </cell>
          <cell r="T270">
            <v>3041123.1</v>
          </cell>
        </row>
        <row r="271">
          <cell r="A271" t="str">
            <v>F57010E</v>
          </cell>
          <cell r="B271" t="str">
            <v>MAINTENANCE OF STATION EQUIPMENT</v>
          </cell>
          <cell r="C271">
            <v>0</v>
          </cell>
          <cell r="F271">
            <v>114705.25</v>
          </cell>
          <cell r="G271">
            <v>88980.08</v>
          </cell>
          <cell r="H271">
            <v>73580.97</v>
          </cell>
          <cell r="I271">
            <v>63842.14</v>
          </cell>
          <cell r="J271">
            <v>78053.509999999995</v>
          </cell>
          <cell r="K271">
            <v>107342.6</v>
          </cell>
          <cell r="L271">
            <v>119684.96</v>
          </cell>
          <cell r="M271">
            <v>100851.22</v>
          </cell>
          <cell r="N271">
            <v>131064.94</v>
          </cell>
          <cell r="O271">
            <v>72609.710000000006</v>
          </cell>
          <cell r="P271">
            <v>950715.37999999989</v>
          </cell>
          <cell r="R271" t="str">
            <v>F57010E</v>
          </cell>
          <cell r="S271">
            <v>950715.38</v>
          </cell>
          <cell r="T271">
            <v>950715.37999999989</v>
          </cell>
        </row>
        <row r="272">
          <cell r="A272" t="str">
            <v>F57020E</v>
          </cell>
          <cell r="B272" t="str">
            <v>MAINTENANCE OF STATION EQUIPMENT</v>
          </cell>
          <cell r="C272">
            <v>0</v>
          </cell>
          <cell r="F272">
            <v>9835.99</v>
          </cell>
          <cell r="G272">
            <v>10956.67</v>
          </cell>
          <cell r="H272">
            <v>10746.87</v>
          </cell>
          <cell r="I272">
            <v>11550.14</v>
          </cell>
          <cell r="J272">
            <v>11276.4</v>
          </cell>
          <cell r="K272">
            <v>13324.64</v>
          </cell>
          <cell r="L272">
            <v>8164.69</v>
          </cell>
          <cell r="M272">
            <v>6845.61</v>
          </cell>
          <cell r="N272">
            <v>16869.14</v>
          </cell>
          <cell r="O272">
            <v>11862.12</v>
          </cell>
          <cell r="P272">
            <v>111432.26999999999</v>
          </cell>
          <cell r="R272" t="str">
            <v>F57020E</v>
          </cell>
          <cell r="S272">
            <v>111432.27</v>
          </cell>
          <cell r="T272">
            <v>111432.26999999999</v>
          </cell>
        </row>
        <row r="273">
          <cell r="A273" t="str">
            <v>F57050E</v>
          </cell>
          <cell r="B273" t="str">
            <v>MAINTENANCE OF STATION EQUIPMENT</v>
          </cell>
          <cell r="C273">
            <v>0</v>
          </cell>
          <cell r="J273">
            <v>276.07</v>
          </cell>
          <cell r="K273">
            <v>218.61</v>
          </cell>
          <cell r="N273">
            <v>5398.63</v>
          </cell>
          <cell r="O273">
            <v>28.25</v>
          </cell>
          <cell r="P273">
            <v>5921.56</v>
          </cell>
          <cell r="R273" t="str">
            <v>F57050E</v>
          </cell>
          <cell r="S273">
            <v>5921.56</v>
          </cell>
          <cell r="T273">
            <v>5921.56</v>
          </cell>
        </row>
        <row r="274">
          <cell r="A274" t="str">
            <v>F57060E</v>
          </cell>
          <cell r="B274" t="str">
            <v>MAINTENANCE OF STATION EQUIPMENT</v>
          </cell>
          <cell r="C274">
            <v>0</v>
          </cell>
          <cell r="F274">
            <v>4799.4799999999996</v>
          </cell>
          <cell r="G274">
            <v>316.29000000000002</v>
          </cell>
          <cell r="H274">
            <v>332.53</v>
          </cell>
          <cell r="I274">
            <v>1128.1099999999999</v>
          </cell>
          <cell r="J274">
            <v>563.91999999999996</v>
          </cell>
          <cell r="K274">
            <v>10973.64</v>
          </cell>
          <cell r="L274">
            <v>0</v>
          </cell>
          <cell r="M274">
            <v>6826.33</v>
          </cell>
          <cell r="N274">
            <v>33724.82</v>
          </cell>
          <cell r="O274">
            <v>650.21</v>
          </cell>
          <cell r="P274">
            <v>59315.329999999994</v>
          </cell>
          <cell r="R274" t="str">
            <v>F57060E</v>
          </cell>
          <cell r="S274">
            <v>59315.33</v>
          </cell>
          <cell r="T274">
            <v>59315.329999999994</v>
          </cell>
        </row>
        <row r="275">
          <cell r="A275" t="str">
            <v>F57070E</v>
          </cell>
          <cell r="B275" t="str">
            <v>MAINTENANCE OF STATION EQUIPMENT</v>
          </cell>
          <cell r="C275">
            <v>0</v>
          </cell>
          <cell r="F275">
            <v>5426.51</v>
          </cell>
          <cell r="G275">
            <v>316.56</v>
          </cell>
          <cell r="H275">
            <v>1105.1500000000001</v>
          </cell>
          <cell r="I275">
            <v>1311.05</v>
          </cell>
          <cell r="J275">
            <v>2135</v>
          </cell>
          <cell r="K275">
            <v>2689.56</v>
          </cell>
          <cell r="L275">
            <v>1774.1</v>
          </cell>
          <cell r="M275">
            <v>15841.75</v>
          </cell>
          <cell r="N275">
            <v>9312.68</v>
          </cell>
          <cell r="O275">
            <v>6</v>
          </cell>
          <cell r="P275">
            <v>39918.36</v>
          </cell>
          <cell r="R275" t="str">
            <v>F57070E</v>
          </cell>
          <cell r="S275">
            <v>39918.36</v>
          </cell>
          <cell r="T275">
            <v>39918.36</v>
          </cell>
        </row>
        <row r="276">
          <cell r="A276" t="str">
            <v>F57100E</v>
          </cell>
          <cell r="B276" t="str">
            <v>MAINTENANCE OF OVERHEAD LINES</v>
          </cell>
          <cell r="C276">
            <v>3328290.8</v>
          </cell>
          <cell r="D276">
            <v>123444.26</v>
          </cell>
          <cell r="E276">
            <v>107333.83</v>
          </cell>
          <cell r="F276">
            <v>24258.74</v>
          </cell>
          <cell r="G276">
            <v>29146.13</v>
          </cell>
          <cell r="H276">
            <v>52283.79</v>
          </cell>
          <cell r="I276">
            <v>120833.22</v>
          </cell>
          <cell r="J276">
            <v>109185.09</v>
          </cell>
          <cell r="K276">
            <v>33963.53</v>
          </cell>
          <cell r="L276">
            <v>30067.35</v>
          </cell>
          <cell r="M276">
            <v>148637.45000000001</v>
          </cell>
          <cell r="N276">
            <v>125573.24</v>
          </cell>
          <cell r="O276">
            <v>1022175.82</v>
          </cell>
          <cell r="P276">
            <v>1926902.4499999997</v>
          </cell>
          <cell r="R276" t="str">
            <v>F57100E</v>
          </cell>
          <cell r="S276">
            <v>1926902.45</v>
          </cell>
          <cell r="T276">
            <v>5255193.25</v>
          </cell>
        </row>
        <row r="277">
          <cell r="A277" t="str">
            <v>F57110E</v>
          </cell>
          <cell r="B277" t="str">
            <v>MAINTENANCE OF OVERHEAD LINES</v>
          </cell>
          <cell r="C277">
            <v>0</v>
          </cell>
          <cell r="F277">
            <v>20106.22</v>
          </cell>
          <cell r="G277">
            <v>13391.08</v>
          </cell>
          <cell r="H277">
            <v>11160.37</v>
          </cell>
          <cell r="I277">
            <v>13896.16</v>
          </cell>
          <cell r="J277">
            <v>17123.2</v>
          </cell>
          <cell r="K277">
            <v>36854.32</v>
          </cell>
          <cell r="L277">
            <v>28075.599999999999</v>
          </cell>
          <cell r="M277">
            <v>54752.7</v>
          </cell>
          <cell r="N277">
            <v>34898.879999999997</v>
          </cell>
          <cell r="O277">
            <v>30272.39</v>
          </cell>
          <cell r="P277">
            <v>260530.92000000004</v>
          </cell>
          <cell r="R277" t="str">
            <v>F57110E</v>
          </cell>
          <cell r="S277">
            <v>260530.92</v>
          </cell>
          <cell r="T277">
            <v>260530.92000000004</v>
          </cell>
        </row>
        <row r="278">
          <cell r="A278" t="str">
            <v>F57120E</v>
          </cell>
          <cell r="B278" t="str">
            <v>MAINTENANCE OF OVERHEAD LINES</v>
          </cell>
          <cell r="C278">
            <v>0</v>
          </cell>
          <cell r="F278">
            <v>17841.439999999999</v>
          </cell>
          <cell r="G278">
            <v>6117.19</v>
          </cell>
          <cell r="H278">
            <v>147287.66</v>
          </cell>
          <cell r="I278">
            <v>192352.79</v>
          </cell>
          <cell r="J278">
            <v>8290.3700000000008</v>
          </cell>
          <cell r="K278">
            <v>10833.03</v>
          </cell>
          <cell r="L278">
            <v>11784.26</v>
          </cell>
          <cell r="M278">
            <v>15929.24</v>
          </cell>
          <cell r="N278">
            <v>38531.75</v>
          </cell>
          <cell r="O278">
            <v>182253.31</v>
          </cell>
          <cell r="P278">
            <v>631221.04</v>
          </cell>
          <cell r="R278" t="str">
            <v>F57120E</v>
          </cell>
          <cell r="S278">
            <v>631221.04</v>
          </cell>
          <cell r="T278">
            <v>631221.04</v>
          </cell>
        </row>
        <row r="279">
          <cell r="A279" t="str">
            <v>F57130E</v>
          </cell>
          <cell r="B279" t="str">
            <v>MAINTENANCE OF OVERHEAD LINES</v>
          </cell>
          <cell r="C279">
            <v>0</v>
          </cell>
          <cell r="F279">
            <v>68257.490000000005</v>
          </cell>
          <cell r="G279">
            <v>63685.05</v>
          </cell>
          <cell r="H279">
            <v>62375.13</v>
          </cell>
          <cell r="I279">
            <v>61191.16</v>
          </cell>
          <cell r="J279">
            <v>89421.31</v>
          </cell>
          <cell r="K279">
            <v>110983.14</v>
          </cell>
          <cell r="L279">
            <v>79038.080000000002</v>
          </cell>
          <cell r="M279">
            <v>54440.23</v>
          </cell>
          <cell r="N279">
            <v>93780.73</v>
          </cell>
          <cell r="O279">
            <v>66341.179999999993</v>
          </cell>
          <cell r="P279">
            <v>749513.5</v>
          </cell>
          <cell r="R279" t="str">
            <v>F57130E</v>
          </cell>
          <cell r="S279">
            <v>749513.5</v>
          </cell>
          <cell r="T279">
            <v>749513.5</v>
          </cell>
        </row>
        <row r="280">
          <cell r="A280" t="str">
            <v>F57170E</v>
          </cell>
          <cell r="B280" t="str">
            <v>MAINTENANCE OF OVERHEAD LINES</v>
          </cell>
          <cell r="C280">
            <v>0</v>
          </cell>
          <cell r="F280">
            <v>332.19</v>
          </cell>
          <cell r="G280">
            <v>1390.03</v>
          </cell>
          <cell r="H280">
            <v>980</v>
          </cell>
          <cell r="I280">
            <v>0</v>
          </cell>
          <cell r="J280">
            <v>3573.07</v>
          </cell>
          <cell r="K280">
            <v>134.62</v>
          </cell>
          <cell r="L280">
            <v>0</v>
          </cell>
          <cell r="M280">
            <v>1120</v>
          </cell>
          <cell r="N280">
            <v>0</v>
          </cell>
          <cell r="O280">
            <v>220.99</v>
          </cell>
          <cell r="P280">
            <v>7750.9000000000005</v>
          </cell>
          <cell r="R280" t="str">
            <v>F57170E</v>
          </cell>
          <cell r="S280">
            <v>7750.9</v>
          </cell>
          <cell r="T280">
            <v>7750.9000000000005</v>
          </cell>
        </row>
        <row r="281">
          <cell r="A281" t="str">
            <v>F57180E</v>
          </cell>
          <cell r="B281" t="str">
            <v>MAINTENANCE OF OVERHEAD LINES</v>
          </cell>
          <cell r="C281">
            <v>0</v>
          </cell>
          <cell r="F281">
            <v>1760.47</v>
          </cell>
          <cell r="G281">
            <v>1478.63</v>
          </cell>
          <cell r="H281">
            <v>1467.85</v>
          </cell>
          <cell r="I281">
            <v>3470.06</v>
          </cell>
          <cell r="J281">
            <v>2904.46</v>
          </cell>
          <cell r="K281">
            <v>5050.5</v>
          </cell>
          <cell r="L281">
            <v>4800.24</v>
          </cell>
          <cell r="M281">
            <v>2383.63</v>
          </cell>
          <cell r="N281">
            <v>4230.07</v>
          </cell>
          <cell r="O281">
            <v>3204.52</v>
          </cell>
          <cell r="P281">
            <v>30750.43</v>
          </cell>
          <cell r="R281" t="str">
            <v>F57180E</v>
          </cell>
          <cell r="S281">
            <v>30750.43</v>
          </cell>
          <cell r="T281">
            <v>30750.43</v>
          </cell>
        </row>
        <row r="282">
          <cell r="A282" t="str">
            <v>F57190E</v>
          </cell>
          <cell r="B282" t="str">
            <v>MAINTENANCE OF OVERHEAD LINES</v>
          </cell>
          <cell r="C282">
            <v>0</v>
          </cell>
          <cell r="F282">
            <v>100.82</v>
          </cell>
          <cell r="G282">
            <v>0</v>
          </cell>
          <cell r="L282">
            <v>47.22</v>
          </cell>
          <cell r="M282">
            <v>0</v>
          </cell>
          <cell r="P282">
            <v>148.04</v>
          </cell>
          <cell r="R282" t="str">
            <v>F57190E</v>
          </cell>
          <cell r="S282">
            <v>148.04</v>
          </cell>
          <cell r="T282">
            <v>148.04</v>
          </cell>
        </row>
        <row r="283">
          <cell r="A283" t="str">
            <v>F57200E</v>
          </cell>
          <cell r="B283" t="str">
            <v>MAINTENANCE OF UNDERGROUND LINES</v>
          </cell>
          <cell r="C283">
            <v>19683.07</v>
          </cell>
          <cell r="D283">
            <v>485.32</v>
          </cell>
          <cell r="E283">
            <v>275.73</v>
          </cell>
          <cell r="F283">
            <v>607.92999999999995</v>
          </cell>
          <cell r="G283">
            <v>1213.67</v>
          </cell>
          <cell r="H283">
            <v>1066.21</v>
          </cell>
          <cell r="I283">
            <v>9149.35</v>
          </cell>
          <cell r="J283">
            <v>289.93</v>
          </cell>
          <cell r="K283">
            <v>340.01</v>
          </cell>
          <cell r="L283">
            <v>487.31</v>
          </cell>
          <cell r="M283">
            <v>234.88</v>
          </cell>
          <cell r="N283">
            <v>145.85</v>
          </cell>
          <cell r="O283">
            <v>348.08</v>
          </cell>
          <cell r="P283">
            <v>14644.27</v>
          </cell>
          <cell r="R283" t="str">
            <v>F57200E</v>
          </cell>
          <cell r="S283">
            <v>14644.27</v>
          </cell>
          <cell r="T283">
            <v>34327.339999999997</v>
          </cell>
        </row>
        <row r="284">
          <cell r="A284" t="str">
            <v>F57300E</v>
          </cell>
          <cell r="B284" t="str">
            <v>MAINTENANCE OF MISCELLANEOUS TRANSMISSION PLANT</v>
          </cell>
          <cell r="C284">
            <v>291.64999999999998</v>
          </cell>
          <cell r="D284">
            <v>0</v>
          </cell>
          <cell r="E284">
            <v>4.4000000000000004</v>
          </cell>
          <cell r="H284">
            <v>0</v>
          </cell>
          <cell r="I284">
            <v>392.55</v>
          </cell>
          <cell r="J284">
            <v>1280.04</v>
          </cell>
          <cell r="K284">
            <v>499.07</v>
          </cell>
          <cell r="L284">
            <v>475</v>
          </cell>
          <cell r="M284">
            <v>708.65</v>
          </cell>
          <cell r="N284">
            <v>2046.59</v>
          </cell>
          <cell r="O284">
            <v>1312.79</v>
          </cell>
          <cell r="P284">
            <v>6719.09</v>
          </cell>
          <cell r="R284" t="str">
            <v>F57300E</v>
          </cell>
          <cell r="S284">
            <v>6719.09</v>
          </cell>
          <cell r="T284">
            <v>7010.74</v>
          </cell>
        </row>
        <row r="285">
          <cell r="A285" t="str">
            <v>F58000E</v>
          </cell>
          <cell r="B285" t="str">
            <v>OPERATION SUPERVISION AND ENGINEERING</v>
          </cell>
          <cell r="C285">
            <v>4816900.55</v>
          </cell>
          <cell r="D285">
            <v>249496.82</v>
          </cell>
          <cell r="E285">
            <v>299097.13</v>
          </cell>
          <cell r="F285">
            <v>515844.65</v>
          </cell>
          <cell r="G285">
            <v>471809.89</v>
          </cell>
          <cell r="H285">
            <v>334262.99</v>
          </cell>
          <cell r="I285">
            <v>430541.22</v>
          </cell>
          <cell r="J285">
            <v>334294.59999999998</v>
          </cell>
          <cell r="K285">
            <v>462086.1</v>
          </cell>
          <cell r="L285">
            <v>445329.17</v>
          </cell>
          <cell r="M285">
            <v>1343047.6</v>
          </cell>
          <cell r="N285">
            <v>364737</v>
          </cell>
          <cell r="O285">
            <v>1509405.01</v>
          </cell>
          <cell r="P285">
            <v>6759952.1799999997</v>
          </cell>
          <cell r="R285" t="str">
            <v>F58000E</v>
          </cell>
          <cell r="S285">
            <v>6759952.1800000006</v>
          </cell>
          <cell r="T285">
            <v>11576852.73</v>
          </cell>
        </row>
        <row r="286">
          <cell r="A286" t="str">
            <v>F58010E</v>
          </cell>
          <cell r="B286" t="str">
            <v>OPERATION SUPERVISION AND ENGINEERING</v>
          </cell>
          <cell r="C286">
            <v>0</v>
          </cell>
          <cell r="F286">
            <v>174182.17</v>
          </cell>
          <cell r="G286">
            <v>131623.12</v>
          </cell>
          <cell r="H286">
            <v>139897.34</v>
          </cell>
          <cell r="I286">
            <v>173578.79</v>
          </cell>
          <cell r="J286">
            <v>158761.37</v>
          </cell>
          <cell r="K286">
            <v>178383.53</v>
          </cell>
          <cell r="L286">
            <v>127819.02</v>
          </cell>
          <cell r="M286">
            <v>94461.14</v>
          </cell>
          <cell r="N286">
            <v>130936.43</v>
          </cell>
          <cell r="O286">
            <v>90910.21</v>
          </cell>
          <cell r="P286">
            <v>1400553.1199999999</v>
          </cell>
          <cell r="R286" t="str">
            <v>F58010E</v>
          </cell>
          <cell r="S286">
            <v>1400553.12</v>
          </cell>
          <cell r="T286">
            <v>1400553.1199999999</v>
          </cell>
        </row>
        <row r="287">
          <cell r="A287" t="str">
            <v>F58020E</v>
          </cell>
          <cell r="B287" t="str">
            <v>OPERATION SUPERVISION AND ENGINEERING</v>
          </cell>
          <cell r="C287">
            <v>0</v>
          </cell>
          <cell r="F287">
            <v>68974.63</v>
          </cell>
          <cell r="G287">
            <v>53764.33</v>
          </cell>
          <cell r="H287">
            <v>67773.97</v>
          </cell>
          <cell r="I287">
            <v>92663.34</v>
          </cell>
          <cell r="J287">
            <v>85692.6</v>
          </cell>
          <cell r="K287">
            <v>91914.06</v>
          </cell>
          <cell r="L287">
            <v>71335.92</v>
          </cell>
          <cell r="M287">
            <v>63244.480000000003</v>
          </cell>
          <cell r="N287">
            <v>103800.73</v>
          </cell>
          <cell r="O287">
            <v>64838.32</v>
          </cell>
          <cell r="P287">
            <v>764002.37999999989</v>
          </cell>
          <cell r="R287" t="str">
            <v>F58020E</v>
          </cell>
          <cell r="S287">
            <v>764002.38</v>
          </cell>
          <cell r="T287">
            <v>764002.37999999989</v>
          </cell>
        </row>
        <row r="288">
          <cell r="A288" t="str">
            <v>F58040E</v>
          </cell>
          <cell r="B288" t="str">
            <v>OPERATION SUPERVISION AND ENGINEERING</v>
          </cell>
          <cell r="C288">
            <v>0</v>
          </cell>
          <cell r="F288">
            <v>2414.4699999999998</v>
          </cell>
          <cell r="G288">
            <v>1609.12</v>
          </cell>
          <cell r="H288">
            <v>2134.3200000000002</v>
          </cell>
          <cell r="I288">
            <v>2761.61</v>
          </cell>
          <cell r="J288">
            <v>3101.51</v>
          </cell>
          <cell r="K288">
            <v>3183.57</v>
          </cell>
          <cell r="L288">
            <v>3270.17</v>
          </cell>
          <cell r="M288">
            <v>8574.23</v>
          </cell>
          <cell r="N288">
            <v>2751.99</v>
          </cell>
          <cell r="O288">
            <v>1976.42</v>
          </cell>
          <cell r="P288">
            <v>31777.409999999996</v>
          </cell>
          <cell r="R288" t="str">
            <v>F58040E</v>
          </cell>
          <cell r="S288">
            <v>31777.41</v>
          </cell>
          <cell r="T288">
            <v>31777.409999999996</v>
          </cell>
        </row>
        <row r="289">
          <cell r="A289" t="str">
            <v>F58100E</v>
          </cell>
          <cell r="B289" t="str">
            <v>LOAD DISPATCHING</v>
          </cell>
          <cell r="C289">
            <v>1064235.47</v>
          </cell>
          <cell r="D289">
            <v>97688.17</v>
          </cell>
          <cell r="E289">
            <v>55361.08</v>
          </cell>
          <cell r="F289">
            <v>114408.75</v>
          </cell>
          <cell r="G289">
            <v>86200.3</v>
          </cell>
          <cell r="H289">
            <v>86645.71</v>
          </cell>
          <cell r="I289">
            <v>110685.2</v>
          </cell>
          <cell r="J289">
            <v>84288.14</v>
          </cell>
          <cell r="K289">
            <v>96367.83</v>
          </cell>
          <cell r="L289">
            <v>127295.77</v>
          </cell>
          <cell r="M289">
            <v>88665.9</v>
          </cell>
          <cell r="N289">
            <v>125522.61</v>
          </cell>
          <cell r="O289">
            <v>98568.04</v>
          </cell>
          <cell r="P289">
            <v>1171697.5</v>
          </cell>
          <cell r="R289" t="str">
            <v>F58100E</v>
          </cell>
          <cell r="S289">
            <v>1171697.5</v>
          </cell>
          <cell r="T289">
            <v>2235932.9699999997</v>
          </cell>
        </row>
        <row r="290">
          <cell r="A290" t="str">
            <v>F58200E</v>
          </cell>
          <cell r="B290" t="str">
            <v>STATION EXPENSES</v>
          </cell>
          <cell r="C290">
            <v>2512656.5299999998</v>
          </cell>
          <cell r="D290">
            <v>190862.57</v>
          </cell>
          <cell r="E290">
            <v>177902.41</v>
          </cell>
          <cell r="F290">
            <v>79147.899999999994</v>
          </cell>
          <cell r="G290">
            <v>110315.33</v>
          </cell>
          <cell r="H290">
            <v>52066.96</v>
          </cell>
          <cell r="I290">
            <v>87103.1</v>
          </cell>
          <cell r="J290">
            <v>93436.42</v>
          </cell>
          <cell r="K290">
            <v>70716.5</v>
          </cell>
          <cell r="L290">
            <v>204932.84</v>
          </cell>
          <cell r="M290">
            <v>97871.69</v>
          </cell>
          <cell r="N290">
            <v>123109.13</v>
          </cell>
          <cell r="O290">
            <v>173444.64</v>
          </cell>
          <cell r="P290">
            <v>1460909.4900000002</v>
          </cell>
          <cell r="R290" t="str">
            <v>F58200E</v>
          </cell>
          <cell r="S290">
            <v>1460909.49</v>
          </cell>
          <cell r="T290">
            <v>3973566.02</v>
          </cell>
        </row>
        <row r="291">
          <cell r="A291" t="str">
            <v>F58210E</v>
          </cell>
          <cell r="B291" t="str">
            <v>STATION EXPENSES</v>
          </cell>
          <cell r="C291">
            <v>0</v>
          </cell>
          <cell r="F291">
            <v>70390.19</v>
          </cell>
          <cell r="G291">
            <v>62497.2</v>
          </cell>
          <cell r="H291">
            <v>76998.05</v>
          </cell>
          <cell r="I291">
            <v>89946.48</v>
          </cell>
          <cell r="J291">
            <v>83589.119999999995</v>
          </cell>
          <cell r="K291">
            <v>104145.52</v>
          </cell>
          <cell r="L291">
            <v>83827.31</v>
          </cell>
          <cell r="M291">
            <v>75991.91</v>
          </cell>
          <cell r="N291">
            <v>101699.84</v>
          </cell>
          <cell r="O291">
            <v>78550.05</v>
          </cell>
          <cell r="P291">
            <v>827635.67</v>
          </cell>
          <cell r="R291" t="str">
            <v>F58210E</v>
          </cell>
          <cell r="S291">
            <v>827635.67</v>
          </cell>
          <cell r="T291">
            <v>827635.67</v>
          </cell>
        </row>
        <row r="292">
          <cell r="A292" t="str">
            <v>F58220E</v>
          </cell>
          <cell r="B292" t="str">
            <v>STATION EXPENSES</v>
          </cell>
          <cell r="C292">
            <v>0</v>
          </cell>
          <cell r="F292">
            <v>30</v>
          </cell>
          <cell r="G292">
            <v>46.02</v>
          </cell>
          <cell r="H292">
            <v>170.95</v>
          </cell>
          <cell r="I292">
            <v>153.93</v>
          </cell>
          <cell r="J292">
            <v>6280.2</v>
          </cell>
          <cell r="K292">
            <v>0</v>
          </cell>
          <cell r="L292">
            <v>1790.45</v>
          </cell>
          <cell r="M292">
            <v>0</v>
          </cell>
          <cell r="N292">
            <v>159.12</v>
          </cell>
          <cell r="O292">
            <v>681.56</v>
          </cell>
          <cell r="P292">
            <v>9312.23</v>
          </cell>
          <cell r="R292" t="str">
            <v>F58220E</v>
          </cell>
          <cell r="S292">
            <v>9312.23</v>
          </cell>
          <cell r="T292">
            <v>9312.23</v>
          </cell>
        </row>
        <row r="293">
          <cell r="A293" t="str">
            <v>F58240E</v>
          </cell>
          <cell r="B293" t="str">
            <v>STATION EXPENSES</v>
          </cell>
          <cell r="C293">
            <v>0</v>
          </cell>
          <cell r="L293">
            <v>555.02</v>
          </cell>
          <cell r="M293">
            <v>0</v>
          </cell>
          <cell r="N293">
            <v>0</v>
          </cell>
          <cell r="O293">
            <v>63.35</v>
          </cell>
          <cell r="P293">
            <v>618.37</v>
          </cell>
          <cell r="R293" t="str">
            <v>F58240E</v>
          </cell>
          <cell r="S293">
            <v>618.37</v>
          </cell>
          <cell r="T293">
            <v>618.37</v>
          </cell>
        </row>
        <row r="294">
          <cell r="A294" t="str">
            <v>F58250E</v>
          </cell>
          <cell r="B294" t="str">
            <v>STATION EXPENSES</v>
          </cell>
          <cell r="C294">
            <v>0</v>
          </cell>
          <cell r="F294">
            <v>1172.95</v>
          </cell>
          <cell r="G294">
            <v>868.45</v>
          </cell>
          <cell r="H294">
            <v>1138.6099999999999</v>
          </cell>
          <cell r="I294">
            <v>1679.18</v>
          </cell>
          <cell r="J294">
            <v>1036.68</v>
          </cell>
          <cell r="K294">
            <v>1106.68</v>
          </cell>
          <cell r="L294">
            <v>763.36</v>
          </cell>
          <cell r="M294">
            <v>839.37</v>
          </cell>
          <cell r="N294">
            <v>1016.43</v>
          </cell>
          <cell r="O294">
            <v>739.3</v>
          </cell>
          <cell r="P294">
            <v>10361.01</v>
          </cell>
          <cell r="R294" t="str">
            <v>F58250E</v>
          </cell>
          <cell r="S294">
            <v>10361.01</v>
          </cell>
          <cell r="T294">
            <v>10361.01</v>
          </cell>
        </row>
        <row r="295">
          <cell r="A295" t="str">
            <v>F58270E</v>
          </cell>
          <cell r="B295" t="str">
            <v>STATION EXPENSES</v>
          </cell>
          <cell r="C295">
            <v>0</v>
          </cell>
          <cell r="F295">
            <v>66308.33</v>
          </cell>
          <cell r="G295">
            <v>61242.13</v>
          </cell>
          <cell r="H295">
            <v>88019.32</v>
          </cell>
          <cell r="I295">
            <v>97416.42</v>
          </cell>
          <cell r="J295">
            <v>77901.42</v>
          </cell>
          <cell r="K295">
            <v>122934.15</v>
          </cell>
          <cell r="L295">
            <v>69168.14</v>
          </cell>
          <cell r="M295">
            <v>72506.259999999995</v>
          </cell>
          <cell r="N295">
            <v>102404.26</v>
          </cell>
          <cell r="O295">
            <v>66671.179999999993</v>
          </cell>
          <cell r="P295">
            <v>824571.6100000001</v>
          </cell>
          <cell r="R295" t="str">
            <v>F58270E</v>
          </cell>
          <cell r="S295">
            <v>824571.61</v>
          </cell>
          <cell r="T295">
            <v>824571.6100000001</v>
          </cell>
        </row>
        <row r="296">
          <cell r="A296" t="str">
            <v>F58300E</v>
          </cell>
          <cell r="B296" t="str">
            <v>OVERHEAD LINE EXPENSES</v>
          </cell>
          <cell r="C296">
            <v>2722324.95</v>
          </cell>
          <cell r="D296">
            <v>93692.87</v>
          </cell>
          <cell r="E296">
            <v>159937.03</v>
          </cell>
          <cell r="F296">
            <v>95999.42</v>
          </cell>
          <cell r="G296">
            <v>100411.91</v>
          </cell>
          <cell r="H296">
            <v>69672.399999999994</v>
          </cell>
          <cell r="I296">
            <v>110309.12</v>
          </cell>
          <cell r="J296">
            <v>86736.93</v>
          </cell>
          <cell r="K296">
            <v>110867.33</v>
          </cell>
          <cell r="L296">
            <v>63329.22</v>
          </cell>
          <cell r="M296">
            <v>85942.48</v>
          </cell>
          <cell r="N296">
            <v>95213.95</v>
          </cell>
          <cell r="O296">
            <v>111497.39</v>
          </cell>
          <cell r="P296">
            <v>1183610.0499999998</v>
          </cell>
          <cell r="R296" t="str">
            <v>F58300E</v>
          </cell>
          <cell r="S296">
            <v>1183610.05</v>
          </cell>
          <cell r="T296">
            <v>3905935</v>
          </cell>
        </row>
        <row r="297">
          <cell r="A297" t="str">
            <v>F58310E</v>
          </cell>
          <cell r="B297" t="str">
            <v>OVERHEAD LINE EXPENSES</v>
          </cell>
          <cell r="C297">
            <v>0</v>
          </cell>
          <cell r="F297">
            <v>42885.74</v>
          </cell>
          <cell r="G297">
            <v>49014.46</v>
          </cell>
          <cell r="H297">
            <v>59689.65</v>
          </cell>
          <cell r="I297">
            <v>55119.56</v>
          </cell>
          <cell r="J297">
            <v>65627.67</v>
          </cell>
          <cell r="K297">
            <v>78447.95</v>
          </cell>
          <cell r="L297">
            <v>54549.78</v>
          </cell>
          <cell r="M297">
            <v>50880.76</v>
          </cell>
          <cell r="N297">
            <v>62690.48</v>
          </cell>
          <cell r="O297">
            <v>48060.9</v>
          </cell>
          <cell r="P297">
            <v>566966.95000000007</v>
          </cell>
          <cell r="R297" t="str">
            <v>F58310E</v>
          </cell>
          <cell r="S297">
            <v>566966.94999999995</v>
          </cell>
          <cell r="T297">
            <v>566966.95000000007</v>
          </cell>
        </row>
        <row r="298">
          <cell r="A298" t="str">
            <v>F58330E</v>
          </cell>
          <cell r="B298" t="str">
            <v>OVERHEAD LINE EXPENSES</v>
          </cell>
          <cell r="C298">
            <v>0</v>
          </cell>
          <cell r="F298">
            <v>14399.56</v>
          </cell>
          <cell r="G298">
            <v>11692.88</v>
          </cell>
          <cell r="H298">
            <v>8878.94</v>
          </cell>
          <cell r="I298">
            <v>4635.8</v>
          </cell>
          <cell r="J298">
            <v>2743.68</v>
          </cell>
          <cell r="K298">
            <v>-263698.84000000003</v>
          </cell>
          <cell r="L298">
            <v>-38188.230000000003</v>
          </cell>
          <cell r="M298">
            <v>-26547.47</v>
          </cell>
          <cell r="N298">
            <v>-32751.17</v>
          </cell>
          <cell r="O298">
            <v>-48613.16</v>
          </cell>
          <cell r="P298">
            <v>-367448.01</v>
          </cell>
          <cell r="R298" t="str">
            <v>F58330E</v>
          </cell>
          <cell r="S298">
            <v>-367448.01</v>
          </cell>
          <cell r="T298">
            <v>-367448.01</v>
          </cell>
        </row>
        <row r="299">
          <cell r="A299" t="str">
            <v>F58340E</v>
          </cell>
          <cell r="B299" t="str">
            <v>OVERHEAD LINE EXPENSES</v>
          </cell>
          <cell r="C299">
            <v>0</v>
          </cell>
          <cell r="F299">
            <v>14100.15</v>
          </cell>
          <cell r="G299">
            <v>0</v>
          </cell>
          <cell r="P299">
            <v>14100.15</v>
          </cell>
          <cell r="R299" t="str">
            <v>F58340E</v>
          </cell>
          <cell r="S299">
            <v>14100.15</v>
          </cell>
          <cell r="T299">
            <v>14100.15</v>
          </cell>
        </row>
        <row r="300">
          <cell r="A300" t="str">
            <v>F58350E</v>
          </cell>
          <cell r="B300" t="str">
            <v>OVERHEAD LINE EXPENSES</v>
          </cell>
          <cell r="C300">
            <v>0</v>
          </cell>
          <cell r="F300">
            <v>54.79</v>
          </cell>
          <cell r="G300">
            <v>98.43</v>
          </cell>
          <cell r="P300">
            <v>153.22</v>
          </cell>
          <cell r="R300" t="str">
            <v>F58350E</v>
          </cell>
          <cell r="S300">
            <v>153.22</v>
          </cell>
          <cell r="T300">
            <v>153.22</v>
          </cell>
        </row>
        <row r="301">
          <cell r="A301" t="str">
            <v>F58360E</v>
          </cell>
          <cell r="B301" t="str">
            <v>OVERHEAD LINE EXPENSES</v>
          </cell>
          <cell r="C301">
            <v>0</v>
          </cell>
          <cell r="F301">
            <v>1454.88</v>
          </cell>
          <cell r="G301">
            <v>1222.78</v>
          </cell>
          <cell r="H301">
            <v>1250.94</v>
          </cell>
          <cell r="I301">
            <v>1737.68</v>
          </cell>
          <cell r="J301">
            <v>1197.04</v>
          </cell>
          <cell r="K301">
            <v>1478.24</v>
          </cell>
          <cell r="L301">
            <v>936.13</v>
          </cell>
          <cell r="M301">
            <v>1591.28</v>
          </cell>
          <cell r="N301">
            <v>1268.71</v>
          </cell>
          <cell r="O301">
            <v>1250.33</v>
          </cell>
          <cell r="P301">
            <v>13388.01</v>
          </cell>
          <cell r="R301" t="str">
            <v>F58360E</v>
          </cell>
          <cell r="S301">
            <v>13388.01</v>
          </cell>
          <cell r="T301">
            <v>13388.01</v>
          </cell>
        </row>
        <row r="302">
          <cell r="A302" t="str">
            <v>F58400E</v>
          </cell>
          <cell r="B302" t="str">
            <v>UNDERGROUND LINE EXPENSES</v>
          </cell>
          <cell r="C302">
            <v>2054075.19</v>
          </cell>
          <cell r="D302">
            <v>108451.04</v>
          </cell>
          <cell r="E302">
            <v>88186.59</v>
          </cell>
          <cell r="F302">
            <v>153403.6</v>
          </cell>
          <cell r="G302">
            <v>155906.76999999999</v>
          </cell>
          <cell r="H302">
            <v>190547.06</v>
          </cell>
          <cell r="I302">
            <v>204728.51</v>
          </cell>
          <cell r="J302">
            <v>164157.29999999999</v>
          </cell>
          <cell r="K302">
            <v>215693.42</v>
          </cell>
          <cell r="L302">
            <v>146119.21</v>
          </cell>
          <cell r="M302">
            <v>157081.92000000001</v>
          </cell>
          <cell r="N302">
            <v>193082.88</v>
          </cell>
          <cell r="O302">
            <v>160756.32</v>
          </cell>
          <cell r="P302">
            <v>1938114.6199999999</v>
          </cell>
          <cell r="R302" t="str">
            <v>F58400E</v>
          </cell>
          <cell r="S302">
            <v>1938114.62</v>
          </cell>
          <cell r="T302">
            <v>3992189.8099999996</v>
          </cell>
        </row>
        <row r="303">
          <cell r="A303" t="str">
            <v>F58410E</v>
          </cell>
          <cell r="B303" t="str">
            <v>UNDERGROUND LINE EXPENSES</v>
          </cell>
          <cell r="C303">
            <v>0</v>
          </cell>
          <cell r="F303">
            <v>6953.7</v>
          </cell>
          <cell r="G303">
            <v>4669.34</v>
          </cell>
          <cell r="H303">
            <v>4610.4799999999996</v>
          </cell>
          <cell r="I303">
            <v>7904.03</v>
          </cell>
          <cell r="J303">
            <v>26644.83</v>
          </cell>
          <cell r="K303">
            <v>55623.96</v>
          </cell>
          <cell r="L303">
            <v>52217.760000000002</v>
          </cell>
          <cell r="M303">
            <v>43611.06</v>
          </cell>
          <cell r="N303">
            <v>61211.38</v>
          </cell>
          <cell r="O303">
            <v>34495.199999999997</v>
          </cell>
          <cell r="P303">
            <v>297941.74</v>
          </cell>
          <cell r="R303" t="str">
            <v>F58410E</v>
          </cell>
          <cell r="S303">
            <v>297941.74</v>
          </cell>
          <cell r="T303">
            <v>297941.74</v>
          </cell>
        </row>
        <row r="304">
          <cell r="A304" t="str">
            <v>F58420E</v>
          </cell>
          <cell r="B304" t="str">
            <v>UNDERGROUND LINE EXPENSES</v>
          </cell>
          <cell r="C304">
            <v>0</v>
          </cell>
          <cell r="F304">
            <v>22123.15</v>
          </cell>
          <cell r="G304">
            <v>17453.91</v>
          </cell>
          <cell r="H304">
            <v>10628.62</v>
          </cell>
          <cell r="I304">
            <v>4462.21</v>
          </cell>
          <cell r="J304">
            <v>3517.45</v>
          </cell>
          <cell r="K304">
            <v>-483836.22</v>
          </cell>
          <cell r="L304">
            <v>-123064.47</v>
          </cell>
          <cell r="M304">
            <v>-75468.479999999996</v>
          </cell>
          <cell r="N304">
            <v>-88025.18</v>
          </cell>
          <cell r="O304">
            <v>-94846.399999999994</v>
          </cell>
          <cell r="P304">
            <v>-807055.41</v>
          </cell>
          <cell r="R304" t="str">
            <v>F58420E</v>
          </cell>
          <cell r="S304">
            <v>-807055.41</v>
          </cell>
          <cell r="T304">
            <v>-807055.41</v>
          </cell>
        </row>
        <row r="305">
          <cell r="A305" t="str">
            <v>F58430E</v>
          </cell>
          <cell r="B305" t="str">
            <v>UNDERGROUND LINE EXPENSES</v>
          </cell>
          <cell r="C305">
            <v>0</v>
          </cell>
          <cell r="N305">
            <v>0</v>
          </cell>
          <cell r="O305">
            <v>215.67</v>
          </cell>
          <cell r="P305">
            <v>215.67</v>
          </cell>
          <cell r="R305" t="str">
            <v>F58430E</v>
          </cell>
          <cell r="S305">
            <v>215.67</v>
          </cell>
          <cell r="T305">
            <v>215.67</v>
          </cell>
        </row>
        <row r="306">
          <cell r="A306" t="str">
            <v>F58440E</v>
          </cell>
          <cell r="B306" t="str">
            <v>UNDERGROUND LINE EXPENSES</v>
          </cell>
          <cell r="C306">
            <v>0</v>
          </cell>
          <cell r="H306">
            <v>1102.99</v>
          </cell>
          <cell r="I306">
            <v>0</v>
          </cell>
          <cell r="L306">
            <v>0</v>
          </cell>
          <cell r="M306">
            <v>245.86</v>
          </cell>
          <cell r="N306">
            <v>0</v>
          </cell>
          <cell r="O306">
            <v>1574.85</v>
          </cell>
          <cell r="P306">
            <v>2923.7</v>
          </cell>
          <cell r="R306" t="str">
            <v>F58440E</v>
          </cell>
          <cell r="S306">
            <v>2923.7</v>
          </cell>
          <cell r="T306">
            <v>2923.7</v>
          </cell>
        </row>
        <row r="307">
          <cell r="A307" t="str">
            <v>F58450E</v>
          </cell>
          <cell r="B307" t="str">
            <v>UNDERGROUND LINE EXPENSES</v>
          </cell>
          <cell r="C307">
            <v>0</v>
          </cell>
          <cell r="F307">
            <v>1215.24</v>
          </cell>
          <cell r="G307">
            <v>1007.39</v>
          </cell>
          <cell r="H307">
            <v>1034.27</v>
          </cell>
          <cell r="I307">
            <v>933.66</v>
          </cell>
          <cell r="J307">
            <v>992.95</v>
          </cell>
          <cell r="K307">
            <v>1109.94</v>
          </cell>
          <cell r="L307">
            <v>830.65</v>
          </cell>
          <cell r="M307">
            <v>772.58</v>
          </cell>
          <cell r="N307">
            <v>1088.83</v>
          </cell>
          <cell r="O307">
            <v>787.98</v>
          </cell>
          <cell r="P307">
            <v>9773.49</v>
          </cell>
          <cell r="R307" t="str">
            <v>F58450E</v>
          </cell>
          <cell r="S307">
            <v>9773.49</v>
          </cell>
          <cell r="T307">
            <v>9773.49</v>
          </cell>
        </row>
        <row r="308">
          <cell r="A308" t="str">
            <v>F58460E</v>
          </cell>
          <cell r="B308" t="str">
            <v>UNDERGROUND LINE EXPENSES</v>
          </cell>
          <cell r="C308">
            <v>0</v>
          </cell>
          <cell r="F308">
            <v>57690.6</v>
          </cell>
          <cell r="G308">
            <v>44054.32</v>
          </cell>
          <cell r="H308">
            <v>87549.34</v>
          </cell>
          <cell r="I308">
            <v>95810.01</v>
          </cell>
          <cell r="J308">
            <v>87090.11</v>
          </cell>
          <cell r="K308">
            <v>85901.1</v>
          </cell>
          <cell r="L308">
            <v>106026.27</v>
          </cell>
          <cell r="M308">
            <v>83762.03</v>
          </cell>
          <cell r="N308">
            <v>147222.35999999999</v>
          </cell>
          <cell r="O308">
            <v>97989.85</v>
          </cell>
          <cell r="P308">
            <v>893095.99</v>
          </cell>
          <cell r="R308" t="str">
            <v>F58460E</v>
          </cell>
          <cell r="S308">
            <v>893095.99</v>
          </cell>
          <cell r="T308">
            <v>893095.99</v>
          </cell>
        </row>
        <row r="309">
          <cell r="A309" t="str">
            <v>F58500E</v>
          </cell>
          <cell r="B309" t="str">
            <v>STREET LIGHTING AND SIGNAL SYSTEM EXPENSES</v>
          </cell>
          <cell r="C309">
            <v>446781.25</v>
          </cell>
          <cell r="D309">
            <v>30715.93</v>
          </cell>
          <cell r="E309">
            <v>34318.92</v>
          </cell>
          <cell r="F309">
            <v>4748.3100000000004</v>
          </cell>
          <cell r="G309">
            <v>3751.94</v>
          </cell>
          <cell r="H309">
            <v>5460.24</v>
          </cell>
          <cell r="I309">
            <v>1831.7</v>
          </cell>
          <cell r="J309">
            <v>5853.86</v>
          </cell>
          <cell r="K309">
            <v>-1430.54</v>
          </cell>
          <cell r="L309">
            <v>2818.72</v>
          </cell>
          <cell r="M309">
            <v>3472.78</v>
          </cell>
          <cell r="N309">
            <v>7747.74</v>
          </cell>
          <cell r="O309">
            <v>1776.14</v>
          </cell>
          <cell r="P309">
            <v>101065.74000000002</v>
          </cell>
          <cell r="R309" t="str">
            <v>F58500E</v>
          </cell>
          <cell r="S309">
            <v>101065.74</v>
          </cell>
          <cell r="T309">
            <v>547846.99</v>
          </cell>
        </row>
        <row r="310">
          <cell r="A310" t="str">
            <v>F58510E</v>
          </cell>
          <cell r="B310" t="str">
            <v>STREET LIGHTING AND SIGNAL SYSTEM EXPENSES</v>
          </cell>
          <cell r="C310">
            <v>0</v>
          </cell>
          <cell r="F310">
            <v>51684.29</v>
          </cell>
          <cell r="G310">
            <v>8268.58</v>
          </cell>
          <cell r="H310">
            <v>46897.75</v>
          </cell>
          <cell r="I310">
            <v>36201.78</v>
          </cell>
          <cell r="J310">
            <v>39414.44</v>
          </cell>
          <cell r="K310">
            <v>60987.72</v>
          </cell>
          <cell r="L310">
            <v>40260.69</v>
          </cell>
          <cell r="M310">
            <v>49636.1</v>
          </cell>
          <cell r="N310">
            <v>56066.21</v>
          </cell>
          <cell r="O310">
            <v>51789.54</v>
          </cell>
          <cell r="P310">
            <v>441207.1</v>
          </cell>
          <cell r="R310" t="str">
            <v>F58510E</v>
          </cell>
          <cell r="S310">
            <v>441207.1</v>
          </cell>
          <cell r="T310">
            <v>441207.1</v>
          </cell>
        </row>
        <row r="311">
          <cell r="A311" t="str">
            <v>F58540E</v>
          </cell>
          <cell r="B311" t="str">
            <v>STREET LIGHTING AND SIGNAL SYSTEM EXPENSES</v>
          </cell>
          <cell r="C311">
            <v>0</v>
          </cell>
          <cell r="F311">
            <v>2742.13</v>
          </cell>
          <cell r="G311">
            <v>1904.16</v>
          </cell>
          <cell r="H311">
            <v>1420.01</v>
          </cell>
          <cell r="I311">
            <v>2937.64</v>
          </cell>
          <cell r="J311">
            <v>397.41</v>
          </cell>
          <cell r="K311">
            <v>1842.59</v>
          </cell>
          <cell r="L311">
            <v>863.09</v>
          </cell>
          <cell r="M311">
            <v>1553.8</v>
          </cell>
          <cell r="N311">
            <v>438.69</v>
          </cell>
          <cell r="O311">
            <v>3402.85</v>
          </cell>
          <cell r="P311">
            <v>17502.37</v>
          </cell>
          <cell r="R311" t="str">
            <v>F58540E</v>
          </cell>
          <cell r="S311">
            <v>17502.37</v>
          </cell>
          <cell r="T311">
            <v>17502.37</v>
          </cell>
        </row>
        <row r="312">
          <cell r="A312" t="str">
            <v>F58560E</v>
          </cell>
          <cell r="B312" t="str">
            <v>STREET LIGHTING AND SIGNAL SYSTEM EXPENSES</v>
          </cell>
          <cell r="C312">
            <v>0</v>
          </cell>
          <cell r="F312">
            <v>-2274.31</v>
          </cell>
          <cell r="G312">
            <v>-1228.8599999999999</v>
          </cell>
          <cell r="H312">
            <v>-2473.61</v>
          </cell>
          <cell r="I312">
            <v>-1496.99</v>
          </cell>
          <cell r="J312">
            <v>-1696.02</v>
          </cell>
          <cell r="K312">
            <v>769.85</v>
          </cell>
          <cell r="L312">
            <v>-2352.4299999999998</v>
          </cell>
          <cell r="M312">
            <v>-3374.11</v>
          </cell>
          <cell r="N312">
            <v>551.19000000000005</v>
          </cell>
          <cell r="O312">
            <v>-3363.46</v>
          </cell>
          <cell r="P312">
            <v>-16938.75</v>
          </cell>
          <cell r="R312" t="str">
            <v>F58560E</v>
          </cell>
          <cell r="S312">
            <v>-16938.75</v>
          </cell>
          <cell r="T312">
            <v>-16938.75</v>
          </cell>
        </row>
        <row r="313">
          <cell r="A313" t="str">
            <v>F58600E</v>
          </cell>
          <cell r="B313" t="str">
            <v>METER EXPENSES</v>
          </cell>
          <cell r="C313">
            <v>4350782.88</v>
          </cell>
          <cell r="D313">
            <v>321664.37</v>
          </cell>
          <cell r="E313">
            <v>237107.25</v>
          </cell>
          <cell r="F313">
            <v>78872.87</v>
          </cell>
          <cell r="G313">
            <v>74456.75</v>
          </cell>
          <cell r="H313">
            <v>78559.38</v>
          </cell>
          <cell r="I313">
            <v>80885.919999999998</v>
          </cell>
          <cell r="J313">
            <v>51309.47</v>
          </cell>
          <cell r="K313">
            <v>55312.32</v>
          </cell>
          <cell r="L313">
            <v>33320.11</v>
          </cell>
          <cell r="M313">
            <v>-1497.15</v>
          </cell>
          <cell r="N313">
            <v>29489.57</v>
          </cell>
          <cell r="O313">
            <v>332936.71000000002</v>
          </cell>
          <cell r="P313">
            <v>1372417.5699999998</v>
          </cell>
          <cell r="R313" t="str">
            <v>F58600E</v>
          </cell>
          <cell r="S313">
            <v>1372417.57</v>
          </cell>
          <cell r="T313">
            <v>5723200.4499999993</v>
          </cell>
        </row>
        <row r="314">
          <cell r="A314" t="str">
            <v>F58610E</v>
          </cell>
          <cell r="B314" t="str">
            <v>METER EXPENSES</v>
          </cell>
          <cell r="C314">
            <v>0</v>
          </cell>
          <cell r="F314">
            <v>29349.84</v>
          </cell>
          <cell r="G314">
            <v>28342.880000000001</v>
          </cell>
          <cell r="H314">
            <v>25489.82</v>
          </cell>
          <cell r="I314">
            <v>28510.82</v>
          </cell>
          <cell r="J314">
            <v>21255.77</v>
          </cell>
          <cell r="K314">
            <v>29181.68</v>
          </cell>
          <cell r="L314">
            <v>19962.96</v>
          </cell>
          <cell r="M314">
            <v>20045.66</v>
          </cell>
          <cell r="N314">
            <v>22137.8</v>
          </cell>
          <cell r="O314">
            <v>19456.099999999999</v>
          </cell>
          <cell r="P314">
            <v>243733.33</v>
          </cell>
          <cell r="R314" t="str">
            <v>F58610E</v>
          </cell>
          <cell r="S314">
            <v>243733.33</v>
          </cell>
          <cell r="T314">
            <v>243733.33</v>
          </cell>
        </row>
        <row r="315">
          <cell r="A315" t="str">
            <v>F58620E</v>
          </cell>
          <cell r="B315" t="str">
            <v>METER EXPENSES</v>
          </cell>
          <cell r="C315">
            <v>0</v>
          </cell>
          <cell r="F315">
            <v>41880.69</v>
          </cell>
          <cell r="G315">
            <v>28622.63</v>
          </cell>
          <cell r="H315">
            <v>31455.91</v>
          </cell>
          <cell r="I315">
            <v>28518.45</v>
          </cell>
          <cell r="J315">
            <v>24896.19</v>
          </cell>
          <cell r="K315">
            <v>29610.6</v>
          </cell>
          <cell r="L315">
            <v>25394.7</v>
          </cell>
          <cell r="M315">
            <v>27327.61</v>
          </cell>
          <cell r="N315">
            <v>19845.669999999998</v>
          </cell>
          <cell r="O315">
            <v>12423.49</v>
          </cell>
          <cell r="P315">
            <v>269975.94</v>
          </cell>
          <cell r="R315" t="str">
            <v>F58620E</v>
          </cell>
          <cell r="S315">
            <v>269975.94</v>
          </cell>
          <cell r="T315">
            <v>269975.94</v>
          </cell>
        </row>
        <row r="316">
          <cell r="A316" t="str">
            <v>F58630E</v>
          </cell>
          <cell r="B316" t="str">
            <v>METER EXPENSES</v>
          </cell>
          <cell r="C316">
            <v>0</v>
          </cell>
          <cell r="F316">
            <v>0</v>
          </cell>
          <cell r="G316">
            <v>599.1</v>
          </cell>
          <cell r="J316">
            <v>138.19999999999999</v>
          </cell>
          <cell r="K316">
            <v>0</v>
          </cell>
          <cell r="P316">
            <v>737.3</v>
          </cell>
          <cell r="R316" t="str">
            <v>F58630E</v>
          </cell>
          <cell r="S316">
            <v>737.3</v>
          </cell>
          <cell r="T316">
            <v>737.3</v>
          </cell>
        </row>
        <row r="317">
          <cell r="A317" t="str">
            <v>F58640E</v>
          </cell>
          <cell r="B317" t="str">
            <v>METER EXPENSES</v>
          </cell>
          <cell r="C317">
            <v>0</v>
          </cell>
          <cell r="F317">
            <v>203635.32</v>
          </cell>
          <cell r="G317">
            <v>167384.20000000001</v>
          </cell>
          <cell r="H317">
            <v>162342.39999999999</v>
          </cell>
          <cell r="I317">
            <v>196267.39</v>
          </cell>
          <cell r="J317">
            <v>181089.22</v>
          </cell>
          <cell r="K317">
            <v>220152.27</v>
          </cell>
          <cell r="L317">
            <v>166633.72</v>
          </cell>
          <cell r="M317">
            <v>144598.88</v>
          </cell>
          <cell r="N317">
            <v>164745.26999999999</v>
          </cell>
          <cell r="O317">
            <v>126120</v>
          </cell>
          <cell r="P317">
            <v>1732968.67</v>
          </cell>
          <cell r="R317" t="str">
            <v>F58640E</v>
          </cell>
          <cell r="S317">
            <v>1732968.67</v>
          </cell>
          <cell r="T317">
            <v>1732968.67</v>
          </cell>
        </row>
        <row r="318">
          <cell r="A318" t="str">
            <v>F58650E</v>
          </cell>
          <cell r="B318" t="str">
            <v>METER EXPENSES</v>
          </cell>
          <cell r="C318">
            <v>0</v>
          </cell>
          <cell r="F318">
            <v>73.680000000000007</v>
          </cell>
          <cell r="G318">
            <v>43.76</v>
          </cell>
          <cell r="H318">
            <v>80.150000000000006</v>
          </cell>
          <cell r="I318">
            <v>38.15</v>
          </cell>
          <cell r="J318">
            <v>0</v>
          </cell>
          <cell r="K318">
            <v>115.25</v>
          </cell>
          <cell r="L318">
            <v>39.159999999999997</v>
          </cell>
          <cell r="M318">
            <v>116.5</v>
          </cell>
          <cell r="N318">
            <v>157.30000000000001</v>
          </cell>
          <cell r="O318">
            <v>39.450000000000003</v>
          </cell>
          <cell r="P318">
            <v>703.40000000000009</v>
          </cell>
          <cell r="R318" t="str">
            <v>F58650E</v>
          </cell>
          <cell r="S318">
            <v>703.4</v>
          </cell>
          <cell r="T318">
            <v>703.40000000000009</v>
          </cell>
        </row>
        <row r="319">
          <cell r="A319" t="str">
            <v>F58700E</v>
          </cell>
          <cell r="B319" t="str">
            <v>CUSTOMER INSTALLATIONS EXPENSES</v>
          </cell>
          <cell r="C319">
            <v>2552361.4</v>
          </cell>
          <cell r="D319">
            <v>275677.84000000003</v>
          </cell>
          <cell r="E319">
            <v>168894.83</v>
          </cell>
          <cell r="F319">
            <v>92772.32</v>
          </cell>
          <cell r="G319">
            <v>58322.71</v>
          </cell>
          <cell r="H319">
            <v>59372.06</v>
          </cell>
          <cell r="I319">
            <v>71941.39</v>
          </cell>
          <cell r="J319">
            <v>62568.28</v>
          </cell>
          <cell r="K319">
            <v>94469.83</v>
          </cell>
          <cell r="L319">
            <v>66561.7</v>
          </cell>
          <cell r="M319">
            <v>60824.44</v>
          </cell>
          <cell r="N319">
            <v>88060.27</v>
          </cell>
          <cell r="O319">
            <v>241349.71</v>
          </cell>
          <cell r="P319">
            <v>1340815.3799999999</v>
          </cell>
          <cell r="R319" t="str">
            <v>F58700E</v>
          </cell>
          <cell r="S319">
            <v>1340815.3799999999</v>
          </cell>
          <cell r="T319">
            <v>3893176.78</v>
          </cell>
        </row>
        <row r="320">
          <cell r="A320" t="str">
            <v>F58710E</v>
          </cell>
          <cell r="B320" t="str">
            <v>CUSTOMER INSTALLATIONS EXPENSES</v>
          </cell>
          <cell r="C320">
            <v>0</v>
          </cell>
          <cell r="F320">
            <v>1154.33</v>
          </cell>
          <cell r="G320">
            <v>1247.73</v>
          </cell>
          <cell r="H320">
            <v>3752.34</v>
          </cell>
          <cell r="I320">
            <v>258.39999999999998</v>
          </cell>
          <cell r="J320">
            <v>1027.6199999999999</v>
          </cell>
          <cell r="K320">
            <v>2413.48</v>
          </cell>
          <cell r="L320">
            <v>180.59</v>
          </cell>
          <cell r="M320">
            <v>1111.72</v>
          </cell>
          <cell r="N320">
            <v>2635.32</v>
          </cell>
          <cell r="O320">
            <v>1341.38</v>
          </cell>
          <cell r="P320">
            <v>15122.91</v>
          </cell>
          <cell r="R320" t="str">
            <v>F58710E</v>
          </cell>
          <cell r="S320">
            <v>15122.91</v>
          </cell>
          <cell r="T320">
            <v>15122.91</v>
          </cell>
        </row>
        <row r="321">
          <cell r="A321" t="str">
            <v>F58720E</v>
          </cell>
          <cell r="B321" t="str">
            <v>CUSTOMER INSTALLATIONS EXPENSES</v>
          </cell>
          <cell r="C321">
            <v>0</v>
          </cell>
          <cell r="F321">
            <v>126975.61</v>
          </cell>
          <cell r="G321">
            <v>104106.83</v>
          </cell>
          <cell r="H321">
            <v>103334.06</v>
          </cell>
          <cell r="I321">
            <v>123218.34</v>
          </cell>
          <cell r="J321">
            <v>121807.41</v>
          </cell>
          <cell r="K321">
            <v>151564.79</v>
          </cell>
          <cell r="L321">
            <v>121234.99</v>
          </cell>
          <cell r="M321">
            <v>112312.27</v>
          </cell>
          <cell r="N321">
            <v>160507.31</v>
          </cell>
          <cell r="O321">
            <v>128027.16</v>
          </cell>
          <cell r="P321">
            <v>1253088.77</v>
          </cell>
          <cell r="R321" t="str">
            <v>F58720E</v>
          </cell>
          <cell r="S321">
            <v>1253088.77</v>
          </cell>
          <cell r="T321">
            <v>1253088.77</v>
          </cell>
        </row>
        <row r="322">
          <cell r="A322" t="str">
            <v>F58740E</v>
          </cell>
          <cell r="B322" t="str">
            <v>CUSTOMER INSTALLATIONS EXPENSES</v>
          </cell>
          <cell r="C322">
            <v>0</v>
          </cell>
          <cell r="F322">
            <v>12038.21</v>
          </cell>
          <cell r="G322">
            <v>24595.71</v>
          </cell>
          <cell r="H322">
            <v>19592.97</v>
          </cell>
          <cell r="I322">
            <v>13722.18</v>
          </cell>
          <cell r="J322">
            <v>17824.7</v>
          </cell>
          <cell r="K322">
            <v>24866.57</v>
          </cell>
          <cell r="L322">
            <v>17246.93</v>
          </cell>
          <cell r="M322">
            <v>16318.29</v>
          </cell>
          <cell r="N322">
            <v>13845.5</v>
          </cell>
          <cell r="O322">
            <v>36967.300000000003</v>
          </cell>
          <cell r="P322">
            <v>197018.36</v>
          </cell>
          <cell r="R322" t="str">
            <v>F58740E</v>
          </cell>
          <cell r="S322">
            <v>197018.36</v>
          </cell>
          <cell r="T322">
            <v>197018.36</v>
          </cell>
        </row>
        <row r="323">
          <cell r="A323" t="str">
            <v>F58800E</v>
          </cell>
          <cell r="B323" t="str">
            <v>MISCELLANEOUS EXPENSES</v>
          </cell>
          <cell r="C323">
            <v>2860068.22</v>
          </cell>
          <cell r="D323">
            <v>121308.76</v>
          </cell>
          <cell r="E323">
            <v>177390.67</v>
          </cell>
          <cell r="F323">
            <v>143599.29</v>
          </cell>
          <cell r="G323">
            <v>102587.65</v>
          </cell>
          <cell r="H323">
            <v>110124.25</v>
          </cell>
          <cell r="I323">
            <v>122381.2</v>
          </cell>
          <cell r="J323">
            <v>260155.86</v>
          </cell>
          <cell r="K323">
            <v>166677.63</v>
          </cell>
          <cell r="L323">
            <v>329464.76</v>
          </cell>
          <cell r="M323">
            <v>151368.12</v>
          </cell>
          <cell r="N323">
            <v>46278.83</v>
          </cell>
          <cell r="O323">
            <v>775958.79</v>
          </cell>
          <cell r="P323">
            <v>2507295.81</v>
          </cell>
          <cell r="R323" t="str">
            <v>F58800E</v>
          </cell>
          <cell r="S323">
            <v>2507295.81</v>
          </cell>
          <cell r="T323">
            <v>5367364.03</v>
          </cell>
        </row>
        <row r="324">
          <cell r="A324" t="str">
            <v>F58810E</v>
          </cell>
          <cell r="B324" t="str">
            <v>MISCELLANEOUS EXPENSES</v>
          </cell>
          <cell r="C324">
            <v>0</v>
          </cell>
          <cell r="F324">
            <v>19866.13</v>
          </cell>
          <cell r="G324">
            <v>6679.17</v>
          </cell>
          <cell r="H324">
            <v>8218.69</v>
          </cell>
          <cell r="I324">
            <v>9546.2000000000007</v>
          </cell>
          <cell r="J324">
            <v>8703.84</v>
          </cell>
          <cell r="K324">
            <v>82940.23</v>
          </cell>
          <cell r="L324">
            <v>75533.78</v>
          </cell>
          <cell r="M324">
            <v>75140.77</v>
          </cell>
          <cell r="N324">
            <v>94411.16</v>
          </cell>
          <cell r="O324">
            <v>75393.929999999993</v>
          </cell>
          <cell r="P324">
            <v>456433.89999999997</v>
          </cell>
          <cell r="R324" t="str">
            <v>F58810E</v>
          </cell>
          <cell r="S324">
            <v>456433.9</v>
          </cell>
          <cell r="T324">
            <v>456433.89999999997</v>
          </cell>
        </row>
        <row r="325">
          <cell r="A325" t="str">
            <v>F58840E</v>
          </cell>
          <cell r="B325" t="str">
            <v>MISCELLANEOUS EXPENSES</v>
          </cell>
          <cell r="C325">
            <v>0</v>
          </cell>
          <cell r="F325">
            <v>16621.189999999999</v>
          </cell>
          <cell r="G325">
            <v>10626.4</v>
          </cell>
          <cell r="H325">
            <v>14378.12</v>
          </cell>
          <cell r="I325">
            <v>5612.69</v>
          </cell>
          <cell r="J325">
            <v>9017.32</v>
          </cell>
          <cell r="K325">
            <v>8454.82</v>
          </cell>
          <cell r="L325">
            <v>7970.16</v>
          </cell>
          <cell r="M325">
            <v>6643.01</v>
          </cell>
          <cell r="N325">
            <v>2303.81</v>
          </cell>
          <cell r="O325">
            <v>-371207.27</v>
          </cell>
          <cell r="P325">
            <v>-289579.75</v>
          </cell>
          <cell r="R325" t="str">
            <v>F58840E</v>
          </cell>
          <cell r="S325">
            <v>-289579.75</v>
          </cell>
          <cell r="T325">
            <v>-289579.75</v>
          </cell>
        </row>
        <row r="326">
          <cell r="A326" t="str">
            <v>F58900E</v>
          </cell>
          <cell r="B326" t="str">
            <v>RENTS</v>
          </cell>
          <cell r="C326">
            <v>330913.27</v>
          </cell>
          <cell r="D326">
            <v>3875</v>
          </cell>
          <cell r="E326">
            <v>418</v>
          </cell>
          <cell r="F326">
            <v>0</v>
          </cell>
          <cell r="G326">
            <v>109</v>
          </cell>
          <cell r="H326">
            <v>100</v>
          </cell>
          <cell r="I326">
            <v>3589.58</v>
          </cell>
          <cell r="J326">
            <v>318</v>
          </cell>
          <cell r="K326">
            <v>200</v>
          </cell>
          <cell r="L326">
            <v>0</v>
          </cell>
          <cell r="M326">
            <v>1376</v>
          </cell>
          <cell r="N326">
            <v>12376.5</v>
          </cell>
          <cell r="O326">
            <v>24683.5</v>
          </cell>
          <cell r="P326">
            <v>47045.58</v>
          </cell>
          <cell r="R326" t="str">
            <v>F58900E</v>
          </cell>
          <cell r="S326">
            <v>47045.58</v>
          </cell>
          <cell r="T326">
            <v>377958.85000000003</v>
          </cell>
        </row>
        <row r="327">
          <cell r="A327" t="str">
            <v>F59000E</v>
          </cell>
          <cell r="B327" t="str">
            <v>MAINTENANCE SUPERVISION AND ENGINEERING</v>
          </cell>
          <cell r="C327">
            <v>522337.16</v>
          </cell>
          <cell r="D327">
            <v>25566.75</v>
          </cell>
          <cell r="E327">
            <v>20897.240000000002</v>
          </cell>
          <cell r="F327">
            <v>30087.41</v>
          </cell>
          <cell r="G327">
            <v>31376.22</v>
          </cell>
          <cell r="H327">
            <v>37048.93</v>
          </cell>
          <cell r="I327">
            <v>55201.7</v>
          </cell>
          <cell r="J327">
            <v>125586.44</v>
          </cell>
          <cell r="K327">
            <v>190815.81</v>
          </cell>
          <cell r="L327">
            <v>51597.46</v>
          </cell>
          <cell r="M327">
            <v>13201.73</v>
          </cell>
          <cell r="N327">
            <v>-21012.35</v>
          </cell>
          <cell r="O327">
            <v>40166.879999999997</v>
          </cell>
          <cell r="P327">
            <v>600534.22</v>
          </cell>
          <cell r="R327" t="str">
            <v>F59000E</v>
          </cell>
          <cell r="S327">
            <v>600534.22</v>
          </cell>
          <cell r="T327">
            <v>1122871.3799999999</v>
          </cell>
        </row>
        <row r="328">
          <cell r="A328" t="str">
            <v>F59010E</v>
          </cell>
          <cell r="B328" t="str">
            <v>MAINTENANCE SUPERVISION AND ENGINEERING</v>
          </cell>
          <cell r="C328">
            <v>0</v>
          </cell>
          <cell r="F328">
            <v>14832.31</v>
          </cell>
          <cell r="G328">
            <v>8907.2800000000007</v>
          </cell>
          <cell r="H328">
            <v>13426.7</v>
          </cell>
          <cell r="I328">
            <v>13172.02</v>
          </cell>
          <cell r="J328">
            <v>12472.27</v>
          </cell>
          <cell r="K328">
            <v>15524.6</v>
          </cell>
          <cell r="L328">
            <v>12481.41</v>
          </cell>
          <cell r="M328">
            <v>9724.9500000000007</v>
          </cell>
          <cell r="N328">
            <v>125797.37</v>
          </cell>
          <cell r="O328">
            <v>10775.75</v>
          </cell>
          <cell r="P328">
            <v>237114.66</v>
          </cell>
          <cell r="R328" t="str">
            <v>F59010E</v>
          </cell>
          <cell r="S328">
            <v>237114.66</v>
          </cell>
          <cell r="T328">
            <v>237114.66</v>
          </cell>
        </row>
        <row r="329">
          <cell r="A329" t="str">
            <v>F59020E</v>
          </cell>
          <cell r="B329" t="str">
            <v>MAINTENANCE SUPERVISION AND ENGINEERING</v>
          </cell>
          <cell r="C329">
            <v>0</v>
          </cell>
          <cell r="F329">
            <v>10092.790000000001</v>
          </cell>
          <cell r="G329">
            <v>3716.04</v>
          </cell>
          <cell r="H329">
            <v>5783.36</v>
          </cell>
          <cell r="I329">
            <v>8112.05</v>
          </cell>
          <cell r="J329">
            <v>5147.6400000000003</v>
          </cell>
          <cell r="K329">
            <v>3972.68</v>
          </cell>
          <cell r="L329">
            <v>1902.85</v>
          </cell>
          <cell r="M329">
            <v>1854.97</v>
          </cell>
          <cell r="N329">
            <v>7702.06</v>
          </cell>
          <cell r="O329">
            <v>1827.2</v>
          </cell>
          <cell r="P329">
            <v>50111.64</v>
          </cell>
          <cell r="R329" t="str">
            <v>F59020E</v>
          </cell>
          <cell r="S329">
            <v>50111.64</v>
          </cell>
          <cell r="T329">
            <v>50111.64</v>
          </cell>
        </row>
        <row r="330">
          <cell r="A330" t="str">
            <v>F59100E</v>
          </cell>
          <cell r="B330" t="str">
            <v>MAINTENANCE OF STRUCTURES</v>
          </cell>
          <cell r="C330">
            <v>100647.89</v>
          </cell>
          <cell r="D330">
            <v>9448.1299999999992</v>
          </cell>
          <cell r="E330">
            <v>2001.16</v>
          </cell>
          <cell r="F330">
            <v>2817.15</v>
          </cell>
          <cell r="G330">
            <v>5138.49</v>
          </cell>
          <cell r="H330">
            <v>4398.09</v>
          </cell>
          <cell r="I330">
            <v>10972.91</v>
          </cell>
          <cell r="J330">
            <v>1646.42</v>
          </cell>
          <cell r="K330">
            <v>10651.96</v>
          </cell>
          <cell r="L330">
            <v>14516.71</v>
          </cell>
          <cell r="M330">
            <v>13649.66</v>
          </cell>
          <cell r="N330">
            <v>5950.79</v>
          </cell>
          <cell r="O330">
            <v>8255.51</v>
          </cell>
          <cell r="P330">
            <v>89446.979999999981</v>
          </cell>
          <cell r="R330" t="str">
            <v>F59100E</v>
          </cell>
          <cell r="S330">
            <v>89446.98</v>
          </cell>
          <cell r="T330">
            <v>190094.87</v>
          </cell>
        </row>
        <row r="331">
          <cell r="A331" t="str">
            <v>F59200E</v>
          </cell>
          <cell r="B331" t="str">
            <v>MAINTENANCE OF STATION EQUIPMENT</v>
          </cell>
          <cell r="C331">
            <v>3055130.5</v>
          </cell>
          <cell r="D331">
            <v>328801.58</v>
          </cell>
          <cell r="E331">
            <v>276832.71000000002</v>
          </cell>
          <cell r="F331">
            <v>41377.58</v>
          </cell>
          <cell r="G331">
            <v>25843.18</v>
          </cell>
          <cell r="H331">
            <v>30720.33</v>
          </cell>
          <cell r="I331">
            <v>96080.66</v>
          </cell>
          <cell r="J331">
            <v>54761.85</v>
          </cell>
          <cell r="K331">
            <v>36386.46</v>
          </cell>
          <cell r="L331">
            <v>31319.23</v>
          </cell>
          <cell r="M331">
            <v>47900.97</v>
          </cell>
          <cell r="N331">
            <v>20589.259999999998</v>
          </cell>
          <cell r="O331">
            <v>1213909.8899999999</v>
          </cell>
          <cell r="P331">
            <v>2204523.6999999997</v>
          </cell>
          <cell r="R331" t="str">
            <v>F59200E</v>
          </cell>
          <cell r="S331">
            <v>2204523.7000000002</v>
          </cell>
          <cell r="T331">
            <v>5259654.1999999993</v>
          </cell>
        </row>
        <row r="332">
          <cell r="A332" t="str">
            <v>F59210E</v>
          </cell>
          <cell r="B332" t="str">
            <v>MAINTENANCE OF STATION EQUIPMENT</v>
          </cell>
          <cell r="C332">
            <v>0</v>
          </cell>
          <cell r="F332">
            <v>137945.26</v>
          </cell>
          <cell r="G332">
            <v>80333.37</v>
          </cell>
          <cell r="H332">
            <v>40861.75</v>
          </cell>
          <cell r="I332">
            <v>96336.07</v>
          </cell>
          <cell r="J332">
            <v>175615</v>
          </cell>
          <cell r="K332">
            <v>166426.44</v>
          </cell>
          <cell r="L332">
            <v>195244.18</v>
          </cell>
          <cell r="M332">
            <v>154928.14000000001</v>
          </cell>
          <cell r="N332">
            <v>147811.43</v>
          </cell>
          <cell r="O332">
            <v>139264.66</v>
          </cell>
          <cell r="P332">
            <v>1334766.2999999998</v>
          </cell>
          <cell r="R332" t="str">
            <v>F59210E</v>
          </cell>
          <cell r="S332">
            <v>1334766.3</v>
          </cell>
          <cell r="T332">
            <v>1334766.2999999998</v>
          </cell>
        </row>
        <row r="333">
          <cell r="A333" t="str">
            <v>F59220E</v>
          </cell>
          <cell r="B333" t="str">
            <v>MAINTENANCE OF STATION EQUIPMENT</v>
          </cell>
          <cell r="C333">
            <v>0</v>
          </cell>
          <cell r="F333">
            <v>4969.26</v>
          </cell>
          <cell r="G333">
            <v>3061.71</v>
          </cell>
          <cell r="H333">
            <v>7338.39</v>
          </cell>
          <cell r="I333">
            <v>5391.17</v>
          </cell>
          <cell r="J333">
            <v>6114.1</v>
          </cell>
          <cell r="K333">
            <v>6307.12</v>
          </cell>
          <cell r="L333">
            <v>4737.8500000000004</v>
          </cell>
          <cell r="M333">
            <v>3000.6</v>
          </cell>
          <cell r="N333">
            <v>6549.61</v>
          </cell>
          <cell r="O333">
            <v>8495.75</v>
          </cell>
          <cell r="P333">
            <v>55965.56</v>
          </cell>
          <cell r="R333" t="str">
            <v>F59220E</v>
          </cell>
          <cell r="S333">
            <v>55965.56</v>
          </cell>
          <cell r="T333">
            <v>55965.56</v>
          </cell>
        </row>
        <row r="334">
          <cell r="A334" t="str">
            <v>F59290E</v>
          </cell>
          <cell r="B334" t="str">
            <v>MAINTENANCE OF STATION EQUIPMENT</v>
          </cell>
          <cell r="C334">
            <v>0</v>
          </cell>
          <cell r="P334">
            <v>0</v>
          </cell>
          <cell r="T334">
            <v>0</v>
          </cell>
        </row>
        <row r="335">
          <cell r="A335" t="str">
            <v>F59300E</v>
          </cell>
          <cell r="B335" t="str">
            <v>MAINTENANCE OF OVERHEAD LINES</v>
          </cell>
          <cell r="C335">
            <v>35687292.280000001</v>
          </cell>
          <cell r="D335">
            <v>1066721.1499999999</v>
          </cell>
          <cell r="E335">
            <v>2253841.77</v>
          </cell>
          <cell r="F335">
            <v>377783.56</v>
          </cell>
          <cell r="G335">
            <v>361661.11</v>
          </cell>
          <cell r="H335">
            <v>257295.52</v>
          </cell>
          <cell r="I335">
            <v>306017.42</v>
          </cell>
          <cell r="J335">
            <v>282071.56</v>
          </cell>
          <cell r="K335">
            <v>321368.37</v>
          </cell>
          <cell r="L335">
            <v>79288.28</v>
          </cell>
          <cell r="M335">
            <v>-427002.26</v>
          </cell>
          <cell r="N335">
            <v>-11416.59</v>
          </cell>
          <cell r="O335">
            <v>94641.61</v>
          </cell>
          <cell r="P335">
            <v>4962271.5</v>
          </cell>
          <cell r="R335" t="str">
            <v>F59300E</v>
          </cell>
          <cell r="S335">
            <v>4962271.5</v>
          </cell>
          <cell r="T335">
            <v>40649563.780000001</v>
          </cell>
        </row>
        <row r="336">
          <cell r="A336" t="str">
            <v>F59310E</v>
          </cell>
          <cell r="B336" t="str">
            <v>MAINTENANCE OF OVERHEAD LINES</v>
          </cell>
          <cell r="C336">
            <v>0</v>
          </cell>
          <cell r="F336">
            <v>89941.9</v>
          </cell>
          <cell r="G336">
            <v>88112.42</v>
          </cell>
          <cell r="H336">
            <v>82706.2</v>
          </cell>
          <cell r="I336">
            <v>99066.22</v>
          </cell>
          <cell r="J336">
            <v>108770.43</v>
          </cell>
          <cell r="K336">
            <v>107037.85</v>
          </cell>
          <cell r="L336">
            <v>99777.18</v>
          </cell>
          <cell r="M336">
            <v>70240.17</v>
          </cell>
          <cell r="N336">
            <v>90864.38</v>
          </cell>
          <cell r="O336">
            <v>80845.03</v>
          </cell>
          <cell r="P336">
            <v>917361.78</v>
          </cell>
          <cell r="R336" t="str">
            <v>F59310E</v>
          </cell>
          <cell r="S336">
            <v>917361.78</v>
          </cell>
          <cell r="T336">
            <v>917361.78</v>
          </cell>
        </row>
        <row r="337">
          <cell r="A337" t="str">
            <v>F59320E</v>
          </cell>
          <cell r="B337" t="str">
            <v>MAINTENANCE OF OVERHEAD LINES</v>
          </cell>
          <cell r="C337">
            <v>0</v>
          </cell>
          <cell r="F337">
            <v>1800615.45</v>
          </cell>
          <cell r="G337">
            <v>1659154.1</v>
          </cell>
          <cell r="H337">
            <v>1342275.11</v>
          </cell>
          <cell r="I337">
            <v>1674479.19</v>
          </cell>
          <cell r="J337">
            <v>1437015.38</v>
          </cell>
          <cell r="K337">
            <v>2043021.77</v>
          </cell>
          <cell r="L337">
            <v>1919514.41</v>
          </cell>
          <cell r="M337">
            <v>1984316.71</v>
          </cell>
          <cell r="N337">
            <v>2168508.85</v>
          </cell>
          <cell r="O337">
            <v>5907506.7800000003</v>
          </cell>
          <cell r="P337">
            <v>21936407.75</v>
          </cell>
          <cell r="R337" t="str">
            <v>F59320E</v>
          </cell>
          <cell r="S337">
            <v>21936407.75</v>
          </cell>
          <cell r="T337">
            <v>21936407.75</v>
          </cell>
        </row>
        <row r="338">
          <cell r="A338" t="str">
            <v>F59340E</v>
          </cell>
          <cell r="B338" t="str">
            <v>MAINTENANCE OF OVERHEAD LINES</v>
          </cell>
          <cell r="C338">
            <v>0</v>
          </cell>
          <cell r="J338">
            <v>61.76</v>
          </cell>
          <cell r="K338">
            <v>308.19</v>
          </cell>
          <cell r="N338">
            <v>0</v>
          </cell>
          <cell r="O338">
            <v>6997.16</v>
          </cell>
          <cell r="P338">
            <v>7367.11</v>
          </cell>
          <cell r="R338" t="str">
            <v>F59340E</v>
          </cell>
          <cell r="S338">
            <v>7367.11</v>
          </cell>
          <cell r="T338">
            <v>7367.11</v>
          </cell>
        </row>
        <row r="339">
          <cell r="A339" t="str">
            <v>F59350E</v>
          </cell>
          <cell r="B339" t="str">
            <v>MAINTENANCE OF OVERHEAD LINES</v>
          </cell>
          <cell r="C339">
            <v>0</v>
          </cell>
          <cell r="F339">
            <v>19751.990000000002</v>
          </cell>
          <cell r="G339">
            <v>19938.14</v>
          </cell>
          <cell r="H339">
            <v>2046.14</v>
          </cell>
          <cell r="I339">
            <v>9914.14</v>
          </cell>
          <cell r="J339">
            <v>4408.72</v>
          </cell>
          <cell r="K339">
            <v>3142.12</v>
          </cell>
          <cell r="L339">
            <v>2605.84</v>
          </cell>
          <cell r="M339">
            <v>3089.22</v>
          </cell>
          <cell r="N339">
            <v>5285.9</v>
          </cell>
          <cell r="O339">
            <v>23176.84</v>
          </cell>
          <cell r="P339">
            <v>93359.05</v>
          </cell>
          <cell r="R339" t="str">
            <v>F59350E</v>
          </cell>
          <cell r="S339">
            <v>93359.05</v>
          </cell>
          <cell r="T339">
            <v>93359.05</v>
          </cell>
        </row>
        <row r="340">
          <cell r="A340" t="str">
            <v>F59370E</v>
          </cell>
          <cell r="B340" t="str">
            <v>MAINTENANCE OF OVERHEAD LINES</v>
          </cell>
          <cell r="C340">
            <v>0</v>
          </cell>
          <cell r="F340">
            <v>-1955.68</v>
          </cell>
          <cell r="G340">
            <v>0</v>
          </cell>
          <cell r="J340">
            <v>0</v>
          </cell>
          <cell r="K340">
            <v>-530.76</v>
          </cell>
          <cell r="L340">
            <v>-40023.71</v>
          </cell>
          <cell r="M340">
            <v>-12804.29</v>
          </cell>
          <cell r="N340">
            <v>0</v>
          </cell>
          <cell r="O340">
            <v>-346.83</v>
          </cell>
          <cell r="P340">
            <v>-55661.270000000004</v>
          </cell>
          <cell r="R340" t="str">
            <v>F59370E</v>
          </cell>
          <cell r="S340">
            <v>-55661.27</v>
          </cell>
          <cell r="T340">
            <v>-55661.270000000004</v>
          </cell>
        </row>
        <row r="341">
          <cell r="A341" t="str">
            <v>F59390E</v>
          </cell>
          <cell r="B341" t="str">
            <v>MAINTENANCE OF OVERHEAD LINES</v>
          </cell>
          <cell r="C341">
            <v>0</v>
          </cell>
          <cell r="F341">
            <v>236241.62</v>
          </cell>
          <cell r="G341">
            <v>132842.37</v>
          </cell>
          <cell r="H341">
            <v>160516.64000000001</v>
          </cell>
          <cell r="I341">
            <v>194459.05</v>
          </cell>
          <cell r="J341">
            <v>157081.99</v>
          </cell>
          <cell r="K341">
            <v>201716.53</v>
          </cell>
          <cell r="L341">
            <v>114965.07</v>
          </cell>
          <cell r="M341">
            <v>135685.38</v>
          </cell>
          <cell r="N341">
            <v>203476.68</v>
          </cell>
          <cell r="O341">
            <v>147539.46</v>
          </cell>
          <cell r="P341">
            <v>1684524.7899999998</v>
          </cell>
          <cell r="R341" t="str">
            <v>F59390E</v>
          </cell>
          <cell r="S341">
            <v>1684524.79</v>
          </cell>
          <cell r="T341">
            <v>1684524.7899999998</v>
          </cell>
        </row>
        <row r="342">
          <cell r="A342" t="str">
            <v>F59400E</v>
          </cell>
          <cell r="B342" t="str">
            <v>MAINTENANCE OF UNDERGROUND LINES</v>
          </cell>
          <cell r="C342">
            <v>4727943.87</v>
          </cell>
          <cell r="D342">
            <v>321175.90000000002</v>
          </cell>
          <cell r="E342">
            <v>382870.37</v>
          </cell>
          <cell r="F342">
            <v>122950.16</v>
          </cell>
          <cell r="G342">
            <v>120437.38</v>
          </cell>
          <cell r="H342">
            <v>85625.36</v>
          </cell>
          <cell r="I342">
            <v>89648.5</v>
          </cell>
          <cell r="J342">
            <v>74501.03</v>
          </cell>
          <cell r="K342">
            <v>25262.11</v>
          </cell>
          <cell r="L342">
            <v>158436.57</v>
          </cell>
          <cell r="M342">
            <v>119978.29</v>
          </cell>
          <cell r="N342">
            <v>154053.54999999999</v>
          </cell>
          <cell r="O342">
            <v>259501.57</v>
          </cell>
          <cell r="P342">
            <v>1914440.7900000003</v>
          </cell>
          <cell r="R342" t="str">
            <v>F59400E</v>
          </cell>
          <cell r="S342">
            <v>1914440.79</v>
          </cell>
          <cell r="T342">
            <v>6642384.6600000001</v>
          </cell>
        </row>
        <row r="343">
          <cell r="A343" t="str">
            <v>F59410E</v>
          </cell>
          <cell r="B343" t="str">
            <v>MAINTENANCE OF UNDERGROUND LINES</v>
          </cell>
          <cell r="C343">
            <v>0</v>
          </cell>
          <cell r="F343">
            <v>44055.85</v>
          </cell>
          <cell r="G343">
            <v>67354.83</v>
          </cell>
          <cell r="H343">
            <v>42367.86</v>
          </cell>
          <cell r="I343">
            <v>51459.16</v>
          </cell>
          <cell r="J343">
            <v>45419.31</v>
          </cell>
          <cell r="K343">
            <v>93670.12</v>
          </cell>
          <cell r="L343">
            <v>54859.43</v>
          </cell>
          <cell r="M343">
            <v>56113.11</v>
          </cell>
          <cell r="N343">
            <v>34609.519999999997</v>
          </cell>
          <cell r="O343">
            <v>385064.43</v>
          </cell>
          <cell r="P343">
            <v>874973.62</v>
          </cell>
          <cell r="R343" t="str">
            <v>F59410E</v>
          </cell>
          <cell r="S343">
            <v>874973.62</v>
          </cell>
          <cell r="T343">
            <v>874973.62</v>
          </cell>
        </row>
        <row r="344">
          <cell r="A344" t="str">
            <v>F59420E</v>
          </cell>
          <cell r="B344" t="str">
            <v>MAINTENANCE OF UNDERGROUND LINES</v>
          </cell>
          <cell r="C344">
            <v>0</v>
          </cell>
          <cell r="F344">
            <v>1590.74</v>
          </cell>
          <cell r="G344">
            <v>168.95</v>
          </cell>
          <cell r="J344">
            <v>183.8</v>
          </cell>
          <cell r="K344">
            <v>0</v>
          </cell>
          <cell r="L344">
            <v>0</v>
          </cell>
          <cell r="M344">
            <v>1454.35</v>
          </cell>
          <cell r="N344">
            <v>1748.23</v>
          </cell>
          <cell r="O344">
            <v>90.68</v>
          </cell>
          <cell r="P344">
            <v>5236.75</v>
          </cell>
          <cell r="R344" t="str">
            <v>F59420E</v>
          </cell>
          <cell r="S344">
            <v>5236.75</v>
          </cell>
          <cell r="T344">
            <v>5236.75</v>
          </cell>
        </row>
        <row r="345">
          <cell r="A345" t="str">
            <v>F59430E</v>
          </cell>
          <cell r="B345" t="str">
            <v>MAINTENANCE OF UNDERGROUND LINES</v>
          </cell>
          <cell r="C345">
            <v>0</v>
          </cell>
          <cell r="F345">
            <v>8974.5300000000007</v>
          </cell>
          <cell r="G345">
            <v>0</v>
          </cell>
          <cell r="P345">
            <v>8974.5300000000007</v>
          </cell>
          <cell r="R345" t="str">
            <v>F59430E</v>
          </cell>
          <cell r="S345">
            <v>8974.5300000000007</v>
          </cell>
          <cell r="T345">
            <v>8974.5300000000007</v>
          </cell>
        </row>
        <row r="346">
          <cell r="A346" t="str">
            <v>F59450E</v>
          </cell>
          <cell r="B346" t="str">
            <v>MAINTENANCE OF UNDERGROUND LINES</v>
          </cell>
          <cell r="C346">
            <v>0</v>
          </cell>
          <cell r="F346">
            <v>4559.7</v>
          </cell>
          <cell r="G346">
            <v>-220.46</v>
          </cell>
          <cell r="H346">
            <v>2425.02</v>
          </cell>
          <cell r="I346">
            <v>454.95</v>
          </cell>
          <cell r="J346">
            <v>605.61</v>
          </cell>
          <cell r="K346">
            <v>436.85</v>
          </cell>
          <cell r="L346">
            <v>1615.83</v>
          </cell>
          <cell r="M346">
            <v>2744.25</v>
          </cell>
          <cell r="N346">
            <v>973.99</v>
          </cell>
          <cell r="O346">
            <v>6299.64</v>
          </cell>
          <cell r="P346">
            <v>19895.38</v>
          </cell>
          <cell r="R346" t="str">
            <v>F59450E</v>
          </cell>
          <cell r="S346">
            <v>19895.38</v>
          </cell>
          <cell r="T346">
            <v>19895.38</v>
          </cell>
        </row>
        <row r="347">
          <cell r="A347" t="str">
            <v>F59460E</v>
          </cell>
          <cell r="B347" t="str">
            <v>MAINTENANCE OF UNDERGROUND LINES</v>
          </cell>
          <cell r="C347">
            <v>0</v>
          </cell>
          <cell r="F347">
            <v>146075.39000000001</v>
          </cell>
          <cell r="G347">
            <v>183371.44</v>
          </cell>
          <cell r="H347">
            <v>175581.73</v>
          </cell>
          <cell r="I347">
            <v>233082.26</v>
          </cell>
          <cell r="J347">
            <v>202170.16</v>
          </cell>
          <cell r="K347">
            <v>239234.56</v>
          </cell>
          <cell r="L347">
            <v>205547</v>
          </cell>
          <cell r="M347">
            <v>186641.27</v>
          </cell>
          <cell r="N347">
            <v>346458.66</v>
          </cell>
          <cell r="O347">
            <v>161423.67999999999</v>
          </cell>
          <cell r="P347">
            <v>2079586.15</v>
          </cell>
          <cell r="R347" t="str">
            <v>F59460E</v>
          </cell>
          <cell r="S347">
            <v>2079586.15</v>
          </cell>
          <cell r="T347">
            <v>2079586.15</v>
          </cell>
        </row>
        <row r="348">
          <cell r="A348" t="str">
            <v>F59500E</v>
          </cell>
          <cell r="B348" t="str">
            <v>MAINTENANCE OF LINE TRANSFORMERS</v>
          </cell>
          <cell r="C348">
            <v>452853.73</v>
          </cell>
          <cell r="D348">
            <v>17243.169999999998</v>
          </cell>
          <cell r="E348">
            <v>17829.759999999998</v>
          </cell>
          <cell r="F348">
            <v>3946.99</v>
          </cell>
          <cell r="G348">
            <v>5350.23</v>
          </cell>
          <cell r="H348">
            <v>8583.08</v>
          </cell>
          <cell r="I348">
            <v>27125.81</v>
          </cell>
          <cell r="J348">
            <v>26957.68</v>
          </cell>
          <cell r="K348">
            <v>22599.64</v>
          </cell>
          <cell r="L348">
            <v>18424.89</v>
          </cell>
          <cell r="M348">
            <v>5307.59</v>
          </cell>
          <cell r="N348">
            <v>7554.01</v>
          </cell>
          <cell r="O348">
            <v>4299.04</v>
          </cell>
          <cell r="P348">
            <v>165221.89000000001</v>
          </cell>
          <cell r="R348" t="str">
            <v>F59500E</v>
          </cell>
          <cell r="S348">
            <v>165221.89000000001</v>
          </cell>
          <cell r="T348">
            <v>618075.62</v>
          </cell>
        </row>
        <row r="349">
          <cell r="A349" t="str">
            <v>F59510E</v>
          </cell>
          <cell r="B349" t="str">
            <v>MAINTENANCE OF LINE TRANSFORMERS</v>
          </cell>
          <cell r="C349">
            <v>0</v>
          </cell>
          <cell r="F349">
            <v>11527.02</v>
          </cell>
          <cell r="G349">
            <v>10774.53</v>
          </cell>
          <cell r="H349">
            <v>8903.1200000000008</v>
          </cell>
          <cell r="I349">
            <v>10888.37</v>
          </cell>
          <cell r="J349">
            <v>9720.3799999999992</v>
          </cell>
          <cell r="K349">
            <v>7506.61</v>
          </cell>
          <cell r="L349">
            <v>9854.42</v>
          </cell>
          <cell r="M349">
            <v>5046.3599999999997</v>
          </cell>
          <cell r="N349">
            <v>15786.63</v>
          </cell>
          <cell r="O349">
            <v>12756.53</v>
          </cell>
          <cell r="P349">
            <v>102763.97000000002</v>
          </cell>
          <cell r="R349" t="str">
            <v>F59510E</v>
          </cell>
          <cell r="S349">
            <v>102763.97</v>
          </cell>
          <cell r="T349">
            <v>102763.97000000002</v>
          </cell>
        </row>
        <row r="350">
          <cell r="A350" t="str">
            <v>F59520E</v>
          </cell>
          <cell r="B350" t="str">
            <v>MAINTENANCE OF LINE TRANSFORMERS</v>
          </cell>
          <cell r="C350">
            <v>0</v>
          </cell>
          <cell r="F350">
            <v>5332.42</v>
          </cell>
          <cell r="G350">
            <v>4680.0200000000004</v>
          </cell>
          <cell r="H350">
            <v>3240.2</v>
          </cell>
          <cell r="I350">
            <v>2602.66</v>
          </cell>
          <cell r="J350">
            <v>5534.1</v>
          </cell>
          <cell r="K350">
            <v>6821.61</v>
          </cell>
          <cell r="L350">
            <v>2511.92</v>
          </cell>
          <cell r="M350">
            <v>1487.83</v>
          </cell>
          <cell r="N350">
            <v>1788.37</v>
          </cell>
          <cell r="O350">
            <v>5363.35</v>
          </cell>
          <cell r="P350">
            <v>39362.480000000003</v>
          </cell>
          <cell r="R350" t="str">
            <v>F59520E</v>
          </cell>
          <cell r="S350">
            <v>39362.480000000003</v>
          </cell>
          <cell r="T350">
            <v>39362.480000000003</v>
          </cell>
        </row>
        <row r="351">
          <cell r="A351" t="str">
            <v>F59550E</v>
          </cell>
          <cell r="B351" t="str">
            <v>MAINTENANCE OF LINE TRANSFORMERS</v>
          </cell>
          <cell r="C351">
            <v>0</v>
          </cell>
          <cell r="F351">
            <v>4128.6400000000003</v>
          </cell>
          <cell r="G351">
            <v>4171.22</v>
          </cell>
          <cell r="H351">
            <v>3770.36</v>
          </cell>
          <cell r="I351">
            <v>5754.42</v>
          </cell>
          <cell r="J351">
            <v>8734.67</v>
          </cell>
          <cell r="K351">
            <v>6877.17</v>
          </cell>
          <cell r="L351">
            <v>7387.47</v>
          </cell>
          <cell r="M351">
            <v>5693.98</v>
          </cell>
          <cell r="N351">
            <v>6514.58</v>
          </cell>
          <cell r="O351">
            <v>3242.88</v>
          </cell>
          <cell r="P351">
            <v>56275.389999999992</v>
          </cell>
          <cell r="R351" t="str">
            <v>F59550E</v>
          </cell>
          <cell r="S351">
            <v>56275.39</v>
          </cell>
          <cell r="T351">
            <v>56275.389999999992</v>
          </cell>
        </row>
        <row r="352">
          <cell r="A352" t="str">
            <v>F59570E</v>
          </cell>
          <cell r="B352" t="str">
            <v>MAINTENANCE OF LINE TRANSFORMERS</v>
          </cell>
          <cell r="C352">
            <v>0</v>
          </cell>
          <cell r="J352">
            <v>59.71</v>
          </cell>
          <cell r="K352">
            <v>0</v>
          </cell>
          <cell r="L352">
            <v>1157.19</v>
          </cell>
          <cell r="M352">
            <v>495.55</v>
          </cell>
          <cell r="N352">
            <v>306.89</v>
          </cell>
          <cell r="O352">
            <v>0</v>
          </cell>
          <cell r="P352">
            <v>2019.3400000000001</v>
          </cell>
          <cell r="R352" t="str">
            <v>F59570E</v>
          </cell>
          <cell r="S352">
            <v>2019.34</v>
          </cell>
          <cell r="T352">
            <v>2019.3400000000001</v>
          </cell>
        </row>
        <row r="353">
          <cell r="A353" t="str">
            <v>F59600E</v>
          </cell>
          <cell r="B353" t="str">
            <v>MAINTENANCE OF STREET LIGHTING AND SIGNAL SYSTEMS</v>
          </cell>
          <cell r="C353">
            <v>71514.62</v>
          </cell>
          <cell r="D353">
            <v>6932.99</v>
          </cell>
          <cell r="E353">
            <v>2679.96</v>
          </cell>
          <cell r="F353">
            <v>8024.02</v>
          </cell>
          <cell r="G353">
            <v>4938.1499999999996</v>
          </cell>
          <cell r="H353">
            <v>3624.07</v>
          </cell>
          <cell r="I353">
            <v>5204.26</v>
          </cell>
          <cell r="J353">
            <v>4245</v>
          </cell>
          <cell r="K353">
            <v>5119.38</v>
          </cell>
          <cell r="L353">
            <v>4736.34</v>
          </cell>
          <cell r="M353">
            <v>3664.31</v>
          </cell>
          <cell r="N353">
            <v>4386.43</v>
          </cell>
          <cell r="O353">
            <v>4858.75</v>
          </cell>
          <cell r="P353">
            <v>58413.659999999996</v>
          </cell>
          <cell r="R353" t="str">
            <v>F59600E</v>
          </cell>
          <cell r="S353">
            <v>58413.66</v>
          </cell>
          <cell r="T353">
            <v>129928.28</v>
          </cell>
        </row>
        <row r="354">
          <cell r="A354" t="str">
            <v>F59700E</v>
          </cell>
          <cell r="B354" t="str">
            <v>MAINTENANCE OF METERS</v>
          </cell>
          <cell r="C354">
            <v>398938.4</v>
          </cell>
          <cell r="D354">
            <v>39161.4</v>
          </cell>
          <cell r="E354">
            <v>26759.79</v>
          </cell>
          <cell r="F354">
            <v>46286.46</v>
          </cell>
          <cell r="G354">
            <v>32542.84</v>
          </cell>
          <cell r="H354">
            <v>30437.200000000001</v>
          </cell>
          <cell r="I354">
            <v>36721.54</v>
          </cell>
          <cell r="J354">
            <v>39510.28</v>
          </cell>
          <cell r="K354">
            <v>59912.09</v>
          </cell>
          <cell r="L354">
            <v>50498.41</v>
          </cell>
          <cell r="M354">
            <v>36185.67</v>
          </cell>
          <cell r="N354">
            <v>46922.29</v>
          </cell>
          <cell r="O354">
            <v>55905.04</v>
          </cell>
          <cell r="P354">
            <v>500843.00999999995</v>
          </cell>
          <cell r="R354" t="str">
            <v>F59700E</v>
          </cell>
          <cell r="S354">
            <v>500843.01</v>
          </cell>
          <cell r="T354">
            <v>899781.40999999992</v>
          </cell>
        </row>
        <row r="355">
          <cell r="A355" t="str">
            <v>F59800E</v>
          </cell>
          <cell r="B355" t="str">
            <v>MAINTENANCE OF MISCELLANEOUS DISTRIBUTION PLANT</v>
          </cell>
          <cell r="C355">
            <v>7928.23</v>
          </cell>
          <cell r="D355">
            <v>307.88</v>
          </cell>
          <cell r="E355">
            <v>1099.1400000000001</v>
          </cell>
          <cell r="F355">
            <v>1763.62</v>
          </cell>
          <cell r="G355">
            <v>3707.95</v>
          </cell>
          <cell r="H355">
            <v>-12234.52</v>
          </cell>
          <cell r="I355">
            <v>3088.14</v>
          </cell>
          <cell r="J355">
            <v>12404.4</v>
          </cell>
          <cell r="K355">
            <v>60830.22</v>
          </cell>
          <cell r="L355">
            <v>51208.5</v>
          </cell>
          <cell r="M355">
            <v>44718.53</v>
          </cell>
          <cell r="N355">
            <v>49860.9</v>
          </cell>
          <cell r="O355">
            <v>49438.76</v>
          </cell>
          <cell r="P355">
            <v>266193.51999999996</v>
          </cell>
          <cell r="R355" t="str">
            <v>F59800E</v>
          </cell>
          <cell r="S355">
            <v>266193.52</v>
          </cell>
          <cell r="T355">
            <v>274121.74999999994</v>
          </cell>
        </row>
        <row r="356">
          <cell r="A356" t="str">
            <v>F80300G</v>
          </cell>
          <cell r="B356" t="str">
            <v>NATURAL GAS TRANSMISSION LINE PURCHASES</v>
          </cell>
          <cell r="C356">
            <v>274106577.19999999</v>
          </cell>
          <cell r="D356">
            <v>27582127</v>
          </cell>
          <cell r="E356">
            <v>21858271</v>
          </cell>
          <cell r="F356">
            <v>19805703.239999998</v>
          </cell>
          <cell r="G356">
            <v>10887662.27</v>
          </cell>
          <cell r="H356">
            <v>23699045.199999999</v>
          </cell>
          <cell r="I356">
            <v>11701860.960000001</v>
          </cell>
          <cell r="J356">
            <v>8578383.4000000004</v>
          </cell>
          <cell r="K356">
            <v>13264084</v>
          </cell>
          <cell r="L356">
            <v>8804325.0199999996</v>
          </cell>
          <cell r="M356">
            <v>7450444</v>
          </cell>
          <cell r="N356">
            <v>24954183.920000002</v>
          </cell>
          <cell r="O356">
            <v>16995958.98</v>
          </cell>
          <cell r="P356">
            <v>195582048.98999998</v>
          </cell>
          <cell r="R356" t="str">
            <v>F80300G</v>
          </cell>
          <cell r="S356">
            <v>195582048.99000001</v>
          </cell>
          <cell r="T356">
            <v>469688626.18999994</v>
          </cell>
        </row>
        <row r="357">
          <cell r="A357" t="str">
            <v>F80410G</v>
          </cell>
          <cell r="B357" t="str">
            <v>LNG PURCHASES</v>
          </cell>
          <cell r="C357">
            <v>65495.22</v>
          </cell>
          <cell r="D357">
            <v>11774.28</v>
          </cell>
          <cell r="E357">
            <v>12590.76</v>
          </cell>
          <cell r="F357">
            <v>8388.16</v>
          </cell>
          <cell r="G357">
            <v>8554</v>
          </cell>
          <cell r="H357">
            <v>-1.53</v>
          </cell>
          <cell r="I357">
            <v>4497.12</v>
          </cell>
          <cell r="J357">
            <v>0</v>
          </cell>
          <cell r="K357">
            <v>3766.98</v>
          </cell>
          <cell r="L357">
            <v>3053.3</v>
          </cell>
          <cell r="M357">
            <v>3280.83</v>
          </cell>
          <cell r="N357">
            <v>9041.6200000000008</v>
          </cell>
          <cell r="O357">
            <v>14929.25</v>
          </cell>
          <cell r="P357">
            <v>79874.770000000019</v>
          </cell>
          <cell r="R357" t="str">
            <v>F80410G</v>
          </cell>
          <cell r="S357">
            <v>79874.77</v>
          </cell>
          <cell r="T357">
            <v>145369.99000000002</v>
          </cell>
        </row>
        <row r="358">
          <cell r="A358" t="str">
            <v>F80740G</v>
          </cell>
          <cell r="B358" t="str">
            <v>PURCHASED GAS CALCULATIONS EXPENSE</v>
          </cell>
          <cell r="C358">
            <v>47818.74</v>
          </cell>
          <cell r="D358">
            <v>2449.06</v>
          </cell>
          <cell r="E358">
            <v>1419.99</v>
          </cell>
          <cell r="F358">
            <v>3267.45</v>
          </cell>
          <cell r="G358">
            <v>4059.83</v>
          </cell>
          <cell r="H358">
            <v>4363.24</v>
          </cell>
          <cell r="I358">
            <v>4158.53</v>
          </cell>
          <cell r="J358">
            <v>3755.59</v>
          </cell>
          <cell r="K358">
            <v>4315.29</v>
          </cell>
          <cell r="L358">
            <v>7788.35</v>
          </cell>
          <cell r="M358">
            <v>4157.5600000000004</v>
          </cell>
          <cell r="N358">
            <v>4642.1000000000004</v>
          </cell>
          <cell r="O358">
            <v>3511.3</v>
          </cell>
          <cell r="P358">
            <v>47888.29</v>
          </cell>
          <cell r="R358" t="str">
            <v>F80740G</v>
          </cell>
          <cell r="S358">
            <v>47888.29</v>
          </cell>
          <cell r="T358">
            <v>95707.03</v>
          </cell>
        </row>
        <row r="359">
          <cell r="A359" t="str">
            <v>F80750G</v>
          </cell>
          <cell r="B359" t="str">
            <v>OTHER PURCHASED GAS EXPENSES</v>
          </cell>
          <cell r="C359">
            <v>1874460.51</v>
          </cell>
          <cell r="D359">
            <v>67264.899999999994</v>
          </cell>
          <cell r="E359">
            <v>43940.91</v>
          </cell>
          <cell r="F359">
            <v>291.14999999999998</v>
          </cell>
          <cell r="G359">
            <v>216405.71</v>
          </cell>
          <cell r="H359">
            <v>74439.490000000005</v>
          </cell>
          <cell r="I359">
            <v>92806.05</v>
          </cell>
          <cell r="J359">
            <v>64727.02</v>
          </cell>
          <cell r="K359">
            <v>130955.66</v>
          </cell>
          <cell r="L359">
            <v>77296.960000000006</v>
          </cell>
          <cell r="M359">
            <v>82969.81</v>
          </cell>
          <cell r="N359">
            <v>98863.45</v>
          </cell>
          <cell r="O359">
            <v>119451.77</v>
          </cell>
          <cell r="P359">
            <v>1069412.8799999999</v>
          </cell>
          <cell r="R359" t="str">
            <v>F80750G</v>
          </cell>
          <cell r="S359">
            <v>1069412.8799999999</v>
          </cell>
          <cell r="T359">
            <v>2943873.3899999997</v>
          </cell>
        </row>
        <row r="360">
          <cell r="A360" t="str">
            <v>F80810G</v>
          </cell>
          <cell r="B360" t="str">
            <v>GAS WITHDRAWN FROM STORAGE-DEBIT</v>
          </cell>
          <cell r="C360">
            <v>28120</v>
          </cell>
          <cell r="D360">
            <v>11896</v>
          </cell>
          <cell r="E360">
            <v>12318</v>
          </cell>
          <cell r="F360">
            <v>6171.38</v>
          </cell>
          <cell r="G360">
            <v>6192.16</v>
          </cell>
          <cell r="H360">
            <v>3612.75</v>
          </cell>
          <cell r="I360">
            <v>2578</v>
          </cell>
          <cell r="J360">
            <v>1951</v>
          </cell>
          <cell r="K360">
            <v>1777</v>
          </cell>
          <cell r="L360">
            <v>1810</v>
          </cell>
          <cell r="M360">
            <v>3287</v>
          </cell>
          <cell r="N360">
            <v>7545.78</v>
          </cell>
          <cell r="O360">
            <v>13824.14</v>
          </cell>
          <cell r="P360">
            <v>72963.209999999992</v>
          </cell>
          <cell r="R360" t="str">
            <v>F80810G</v>
          </cell>
          <cell r="S360">
            <v>72963.210000000006</v>
          </cell>
          <cell r="T360">
            <v>101083.20999999999</v>
          </cell>
        </row>
        <row r="361">
          <cell r="A361" t="str">
            <v>F80820G</v>
          </cell>
          <cell r="B361" t="str">
            <v>GAS DELIVERED TO STORAGE-CREDIT</v>
          </cell>
          <cell r="C361">
            <v>-28136</v>
          </cell>
          <cell r="D361">
            <v>-10883</v>
          </cell>
          <cell r="E361">
            <v>-12591</v>
          </cell>
          <cell r="F361">
            <v>-7455.95</v>
          </cell>
          <cell r="G361">
            <v>-7529.84</v>
          </cell>
          <cell r="H361">
            <v>0.02</v>
          </cell>
          <cell r="I361">
            <v>-3916</v>
          </cell>
          <cell r="J361">
            <v>0</v>
          </cell>
          <cell r="K361">
            <v>-2907</v>
          </cell>
          <cell r="L361">
            <v>-3053</v>
          </cell>
          <cell r="M361">
            <v>-3280.83</v>
          </cell>
          <cell r="N361">
            <v>-9039.25</v>
          </cell>
          <cell r="O361">
            <v>-14929.25</v>
          </cell>
          <cell r="P361">
            <v>-75585.100000000006</v>
          </cell>
          <cell r="R361" t="str">
            <v>F80820G</v>
          </cell>
          <cell r="S361">
            <v>-75585.100000000006</v>
          </cell>
          <cell r="T361">
            <v>-103721.1</v>
          </cell>
        </row>
        <row r="362">
          <cell r="A362" t="str">
            <v>F81000G</v>
          </cell>
          <cell r="B362" t="str">
            <v>GAS USED FOR COMPRESSOR STATION FUEL-CREDIT</v>
          </cell>
          <cell r="C362">
            <v>-966780</v>
          </cell>
          <cell r="D362">
            <v>-99805</v>
          </cell>
          <cell r="E362">
            <v>-100548</v>
          </cell>
          <cell r="F362">
            <v>-44676.79</v>
          </cell>
          <cell r="G362">
            <v>-75425.11</v>
          </cell>
          <cell r="H362">
            <v>-0.01</v>
          </cell>
          <cell r="I362">
            <v>-49141.06</v>
          </cell>
          <cell r="J362">
            <v>-150924.01</v>
          </cell>
          <cell r="K362">
            <v>-98870.98</v>
          </cell>
          <cell r="L362">
            <v>-85148</v>
          </cell>
          <cell r="M362">
            <v>-83471</v>
          </cell>
          <cell r="N362">
            <v>-57884</v>
          </cell>
          <cell r="O362">
            <v>-79241</v>
          </cell>
          <cell r="P362">
            <v>-925134.96000000008</v>
          </cell>
          <cell r="R362" t="str">
            <v>F81000G</v>
          </cell>
          <cell r="S362">
            <v>-925134.96</v>
          </cell>
          <cell r="T362">
            <v>-1891914.96</v>
          </cell>
        </row>
        <row r="363">
          <cell r="A363" t="str">
            <v>F81200G</v>
          </cell>
          <cell r="B363" t="str">
            <v>GAS USED FOR OTHER UTILITY OPERATIONS-CREDIT</v>
          </cell>
          <cell r="C363">
            <v>-46915.21</v>
          </cell>
          <cell r="D363">
            <v>-9231.7000000000007</v>
          </cell>
          <cell r="E363">
            <v>0</v>
          </cell>
          <cell r="J363">
            <v>0</v>
          </cell>
          <cell r="K363">
            <v>-36869.519999999997</v>
          </cell>
          <cell r="L363">
            <v>-5098.3900000000003</v>
          </cell>
          <cell r="M363">
            <v>-4118.99</v>
          </cell>
          <cell r="N363">
            <v>-4608.6899999999996</v>
          </cell>
          <cell r="O363">
            <v>-9046.32</v>
          </cell>
          <cell r="P363">
            <v>-68973.61</v>
          </cell>
          <cell r="R363" t="str">
            <v>F81200G</v>
          </cell>
          <cell r="S363">
            <v>-68973.61</v>
          </cell>
          <cell r="T363">
            <v>-115888.82</v>
          </cell>
        </row>
        <row r="364">
          <cell r="A364" t="str">
            <v>F81700G</v>
          </cell>
          <cell r="B364" t="str">
            <v>LINES EXPENSE</v>
          </cell>
          <cell r="C364">
            <v>0</v>
          </cell>
          <cell r="J364">
            <v>0</v>
          </cell>
          <cell r="K364">
            <v>37.69</v>
          </cell>
          <cell r="P364">
            <v>37.69</v>
          </cell>
          <cell r="R364" t="str">
            <v>F81700G</v>
          </cell>
          <cell r="S364">
            <v>37.69</v>
          </cell>
          <cell r="T364">
            <v>37.69</v>
          </cell>
        </row>
        <row r="365">
          <cell r="A365" t="str">
            <v>F82200G</v>
          </cell>
          <cell r="B365" t="str">
            <v>EXPLORATION AND DEVELOPMENT</v>
          </cell>
          <cell r="C365">
            <v>0</v>
          </cell>
          <cell r="F365">
            <v>10.95</v>
          </cell>
          <cell r="G365">
            <v>0</v>
          </cell>
          <cell r="P365">
            <v>10.95</v>
          </cell>
          <cell r="R365" t="str">
            <v>F82200G</v>
          </cell>
          <cell r="S365">
            <v>10.95</v>
          </cell>
          <cell r="T365">
            <v>10.95</v>
          </cell>
        </row>
        <row r="366">
          <cell r="A366" t="str">
            <v>F83500C</v>
          </cell>
          <cell r="B366" t="str">
            <v>MAINTENANCE OF MEASURING AND REGULATING STATION EQ</v>
          </cell>
          <cell r="C366">
            <v>0</v>
          </cell>
          <cell r="N366">
            <v>648</v>
          </cell>
          <cell r="O366">
            <v>0</v>
          </cell>
          <cell r="P366">
            <v>648</v>
          </cell>
          <cell r="R366" t="str">
            <v>F83500C</v>
          </cell>
          <cell r="S366">
            <v>648</v>
          </cell>
          <cell r="T366">
            <v>648</v>
          </cell>
        </row>
        <row r="367">
          <cell r="A367" t="str">
            <v>F83500G</v>
          </cell>
          <cell r="B367" t="str">
            <v>MAINTENANCE OF MEASURING AND REGULATING STATION EQ</v>
          </cell>
          <cell r="C367">
            <v>0</v>
          </cell>
          <cell r="N367">
            <v>0</v>
          </cell>
          <cell r="O367">
            <v>11.04</v>
          </cell>
          <cell r="P367">
            <v>11.04</v>
          </cell>
          <cell r="R367" t="str">
            <v>F83500G</v>
          </cell>
          <cell r="S367">
            <v>11.04</v>
          </cell>
          <cell r="T367">
            <v>11.04</v>
          </cell>
        </row>
        <row r="368">
          <cell r="A368" t="str">
            <v>F83700G</v>
          </cell>
          <cell r="B368" t="str">
            <v>MAINTENANCE OF OTHER EQUIPMENT</v>
          </cell>
          <cell r="C368">
            <v>0</v>
          </cell>
          <cell r="P368">
            <v>0</v>
          </cell>
          <cell r="T368">
            <v>0</v>
          </cell>
        </row>
        <row r="369">
          <cell r="A369" t="str">
            <v>F84000C</v>
          </cell>
          <cell r="B369" t="str">
            <v>OPERATION SUPERVISION AND ENGINEERING</v>
          </cell>
          <cell r="C369">
            <v>0</v>
          </cell>
          <cell r="F369">
            <v>0</v>
          </cell>
          <cell r="G369">
            <v>382.15</v>
          </cell>
          <cell r="H369">
            <v>48539.29</v>
          </cell>
          <cell r="I369">
            <v>3666.21</v>
          </cell>
          <cell r="L369">
            <v>0</v>
          </cell>
          <cell r="M369">
            <v>-47290.02</v>
          </cell>
          <cell r="P369">
            <v>5297.6300000000047</v>
          </cell>
          <cell r="R369" t="str">
            <v>F84000C</v>
          </cell>
          <cell r="S369">
            <v>5297.63</v>
          </cell>
          <cell r="T369">
            <v>5297.6300000000047</v>
          </cell>
        </row>
        <row r="370">
          <cell r="A370" t="str">
            <v>F84100G</v>
          </cell>
          <cell r="B370" t="str">
            <v>OPERATION LABOR AND EXPNESES</v>
          </cell>
          <cell r="C370">
            <v>25862.33</v>
          </cell>
          <cell r="D370">
            <v>4371.25</v>
          </cell>
          <cell r="E370">
            <v>2517.04</v>
          </cell>
          <cell r="F370">
            <v>0</v>
          </cell>
          <cell r="G370">
            <v>317.22000000000003</v>
          </cell>
          <cell r="H370">
            <v>235.61</v>
          </cell>
          <cell r="I370">
            <v>14369.58</v>
          </cell>
          <cell r="J370">
            <v>820.03</v>
          </cell>
          <cell r="K370">
            <v>1715.39</v>
          </cell>
          <cell r="L370">
            <v>1526.23</v>
          </cell>
          <cell r="M370">
            <v>1175.75</v>
          </cell>
          <cell r="N370">
            <v>2554.4299999999998</v>
          </cell>
          <cell r="O370">
            <v>2093.15</v>
          </cell>
          <cell r="P370">
            <v>31695.68</v>
          </cell>
          <cell r="R370" t="str">
            <v>F84100G</v>
          </cell>
          <cell r="S370">
            <v>31695.68</v>
          </cell>
          <cell r="T370">
            <v>57558.01</v>
          </cell>
        </row>
        <row r="371">
          <cell r="A371" t="str">
            <v>F84170G</v>
          </cell>
          <cell r="B371" t="str">
            <v>OPERATION LABOR AND EXPNESES</v>
          </cell>
          <cell r="C371">
            <v>0</v>
          </cell>
          <cell r="F371">
            <v>2830.26</v>
          </cell>
          <cell r="G371">
            <v>1554.33</v>
          </cell>
          <cell r="H371">
            <v>2445.9499999999998</v>
          </cell>
          <cell r="I371">
            <v>-10482.84</v>
          </cell>
          <cell r="J371">
            <v>389</v>
          </cell>
          <cell r="K371">
            <v>0</v>
          </cell>
          <cell r="N371">
            <v>0</v>
          </cell>
          <cell r="O371">
            <v>1009.96</v>
          </cell>
          <cell r="P371">
            <v>-2253.34</v>
          </cell>
          <cell r="R371" t="str">
            <v>F84170G</v>
          </cell>
          <cell r="S371">
            <v>-2253.34</v>
          </cell>
          <cell r="T371">
            <v>-2253.34</v>
          </cell>
        </row>
        <row r="372">
          <cell r="A372" t="str">
            <v>F84310G</v>
          </cell>
          <cell r="B372" t="str">
            <v>MAINTENANCE SUPERVISION AND ENGINEERING</v>
          </cell>
          <cell r="C372">
            <v>2328.2199999999998</v>
          </cell>
          <cell r="D372">
            <v>249.82</v>
          </cell>
          <cell r="E372">
            <v>147.88</v>
          </cell>
          <cell r="F372">
            <v>276.49</v>
          </cell>
          <cell r="G372">
            <v>223.18</v>
          </cell>
          <cell r="H372">
            <v>173.46</v>
          </cell>
          <cell r="I372">
            <v>230.7</v>
          </cell>
          <cell r="J372">
            <v>150.5</v>
          </cell>
          <cell r="K372">
            <v>262.60000000000002</v>
          </cell>
          <cell r="L372">
            <v>189</v>
          </cell>
          <cell r="M372">
            <v>136.6</v>
          </cell>
          <cell r="N372">
            <v>501.2</v>
          </cell>
          <cell r="O372">
            <v>180.44</v>
          </cell>
          <cell r="P372">
            <v>2721.87</v>
          </cell>
          <cell r="R372" t="str">
            <v>F84310G</v>
          </cell>
          <cell r="S372">
            <v>2721.87</v>
          </cell>
          <cell r="T372">
            <v>5050.09</v>
          </cell>
        </row>
        <row r="373">
          <cell r="A373" t="str">
            <v>F84320G</v>
          </cell>
          <cell r="B373" t="str">
            <v>MAINTENANCE OF STRUCTURES AND IMPROVEMENTS</v>
          </cell>
          <cell r="C373">
            <v>84.18</v>
          </cell>
          <cell r="D373">
            <v>0</v>
          </cell>
          <cell r="E373">
            <v>54.84</v>
          </cell>
          <cell r="F373">
            <v>0</v>
          </cell>
          <cell r="G373">
            <v>947.07</v>
          </cell>
          <cell r="H373">
            <v>625.36</v>
          </cell>
          <cell r="I373">
            <v>0</v>
          </cell>
          <cell r="P373">
            <v>1627.27</v>
          </cell>
          <cell r="R373" t="str">
            <v>F84320G</v>
          </cell>
          <cell r="S373">
            <v>1627.27</v>
          </cell>
          <cell r="T373">
            <v>1711.45</v>
          </cell>
        </row>
        <row r="374">
          <cell r="A374" t="str">
            <v>F84330G</v>
          </cell>
          <cell r="B374" t="str">
            <v>MAINTENANCE OF GAS HOLDERS</v>
          </cell>
          <cell r="C374">
            <v>140.04</v>
          </cell>
          <cell r="D374">
            <v>271.49</v>
          </cell>
          <cell r="E374">
            <v>0</v>
          </cell>
          <cell r="P374">
            <v>271.49</v>
          </cell>
          <cell r="R374" t="str">
            <v>F84330G</v>
          </cell>
          <cell r="S374">
            <v>271.49</v>
          </cell>
          <cell r="T374">
            <v>411.53</v>
          </cell>
        </row>
        <row r="375">
          <cell r="A375" t="str">
            <v>F84370G</v>
          </cell>
          <cell r="B375" t="str">
            <v>MAINTENANCE OF COMPRESSOR EQUIPMENT</v>
          </cell>
          <cell r="C375">
            <v>2501.4899999999998</v>
          </cell>
          <cell r="D375">
            <v>289.44</v>
          </cell>
          <cell r="E375">
            <v>130.47999999999999</v>
          </cell>
          <cell r="F375">
            <v>57.58</v>
          </cell>
          <cell r="G375">
            <v>75.45</v>
          </cell>
          <cell r="H375">
            <v>310.68</v>
          </cell>
          <cell r="I375">
            <v>74.3</v>
          </cell>
          <cell r="J375">
            <v>120.08</v>
          </cell>
          <cell r="K375">
            <v>61.96</v>
          </cell>
          <cell r="L375">
            <v>155.68</v>
          </cell>
          <cell r="M375">
            <v>44.94</v>
          </cell>
          <cell r="N375">
            <v>909.05</v>
          </cell>
          <cell r="O375">
            <v>0</v>
          </cell>
          <cell r="P375">
            <v>2229.64</v>
          </cell>
          <cell r="R375" t="str">
            <v>F84370G</v>
          </cell>
          <cell r="S375">
            <v>2229.64</v>
          </cell>
          <cell r="T375">
            <v>4731.1299999999992</v>
          </cell>
        </row>
        <row r="376">
          <cell r="A376" t="str">
            <v>F84380G</v>
          </cell>
          <cell r="B376" t="str">
            <v>MAINTENANCE OF MEASURING AND REGULATING</v>
          </cell>
          <cell r="C376">
            <v>11.1</v>
          </cell>
          <cell r="P376">
            <v>0</v>
          </cell>
          <cell r="T376">
            <v>11.1</v>
          </cell>
        </row>
        <row r="377">
          <cell r="A377" t="str">
            <v>F84390G</v>
          </cell>
          <cell r="B377" t="str">
            <v>MAINTENANCE OF OTHER EQUIPMENT</v>
          </cell>
          <cell r="C377">
            <v>39.83</v>
          </cell>
          <cell r="P377">
            <v>0</v>
          </cell>
          <cell r="T377">
            <v>39.83</v>
          </cell>
        </row>
        <row r="378">
          <cell r="A378" t="str">
            <v>F85000G</v>
          </cell>
          <cell r="B378" t="str">
            <v>OPERATION SUPERVISION AND ENGINEERING</v>
          </cell>
          <cell r="C378">
            <v>835750.79</v>
          </cell>
          <cell r="D378">
            <v>70496.73</v>
          </cell>
          <cell r="E378">
            <v>51249.04</v>
          </cell>
          <cell r="F378">
            <v>13657.03</v>
          </cell>
          <cell r="G378">
            <v>4106.68</v>
          </cell>
          <cell r="H378">
            <v>1144.8699999999999</v>
          </cell>
          <cell r="I378">
            <v>16278.07</v>
          </cell>
          <cell r="J378">
            <v>2184.33</v>
          </cell>
          <cell r="K378">
            <v>11212.79</v>
          </cell>
          <cell r="L378">
            <v>29786.01</v>
          </cell>
          <cell r="M378">
            <v>16608.2</v>
          </cell>
          <cell r="N378">
            <v>12200.51</v>
          </cell>
          <cell r="O378">
            <v>33637.5</v>
          </cell>
          <cell r="P378">
            <v>262561.76</v>
          </cell>
          <cell r="R378" t="str">
            <v>F85000G</v>
          </cell>
          <cell r="S378">
            <v>262561.76</v>
          </cell>
          <cell r="T378">
            <v>1098312.55</v>
          </cell>
        </row>
        <row r="379">
          <cell r="A379" t="str">
            <v>F85010G</v>
          </cell>
          <cell r="B379" t="str">
            <v>OPERATION SUPERVISION AND ENGINEERING</v>
          </cell>
          <cell r="C379">
            <v>0</v>
          </cell>
          <cell r="F379">
            <v>48711.53</v>
          </cell>
          <cell r="G379">
            <v>36681.879999999997</v>
          </cell>
          <cell r="H379">
            <v>58318.11</v>
          </cell>
          <cell r="I379">
            <v>36887.120000000003</v>
          </cell>
          <cell r="J379">
            <v>33280.89</v>
          </cell>
          <cell r="K379">
            <v>58740.27</v>
          </cell>
          <cell r="L379">
            <v>50155.68</v>
          </cell>
          <cell r="M379">
            <v>39582.730000000003</v>
          </cell>
          <cell r="N379">
            <v>40633.71</v>
          </cell>
          <cell r="O379">
            <v>37418.58</v>
          </cell>
          <cell r="P379">
            <v>440410.50000000006</v>
          </cell>
          <cell r="R379" t="str">
            <v>F85010G</v>
          </cell>
          <cell r="S379">
            <v>440410.5</v>
          </cell>
          <cell r="T379">
            <v>440410.50000000006</v>
          </cell>
        </row>
        <row r="380">
          <cell r="A380" t="str">
            <v>F85020G</v>
          </cell>
          <cell r="B380" t="str">
            <v>OPERATION SUPERVISIO</v>
          </cell>
          <cell r="C380">
            <v>0</v>
          </cell>
          <cell r="F380">
            <v>13810.66</v>
          </cell>
          <cell r="G380">
            <v>12193.95</v>
          </cell>
          <cell r="H380">
            <v>15949.39</v>
          </cell>
          <cell r="I380">
            <v>12892.18</v>
          </cell>
          <cell r="J380">
            <v>1903.55</v>
          </cell>
          <cell r="K380">
            <v>13051.89</v>
          </cell>
          <cell r="L380">
            <v>9819.94</v>
          </cell>
          <cell r="M380">
            <v>8643.91</v>
          </cell>
          <cell r="N380">
            <v>10987.49</v>
          </cell>
          <cell r="O380">
            <v>8901.19</v>
          </cell>
          <cell r="P380">
            <v>108154.15000000001</v>
          </cell>
          <cell r="R380" t="str">
            <v>F85020G</v>
          </cell>
          <cell r="S380">
            <v>108154.15</v>
          </cell>
          <cell r="T380">
            <v>108154.15000000001</v>
          </cell>
        </row>
        <row r="381">
          <cell r="A381" t="str">
            <v>F85100G</v>
          </cell>
          <cell r="B381" t="str">
            <v>SYSTEM CONTROL AND LOAD DISPATCHING</v>
          </cell>
          <cell r="C381">
            <v>333759.53999999998</v>
          </cell>
          <cell r="D381">
            <v>-30111.14</v>
          </cell>
          <cell r="E381">
            <v>40531.75</v>
          </cell>
          <cell r="F381">
            <v>61425.02</v>
          </cell>
          <cell r="G381">
            <v>0</v>
          </cell>
          <cell r="H381">
            <v>40507.050000000003</v>
          </cell>
          <cell r="I381">
            <v>31712.76</v>
          </cell>
          <cell r="J381">
            <v>32591.93</v>
          </cell>
          <cell r="K381">
            <v>35716.85</v>
          </cell>
          <cell r="L381">
            <v>17.95</v>
          </cell>
          <cell r="M381">
            <v>88368.79</v>
          </cell>
          <cell r="N381">
            <v>19031.310000000001</v>
          </cell>
          <cell r="O381">
            <v>31894.91</v>
          </cell>
          <cell r="P381">
            <v>351687.18</v>
          </cell>
          <cell r="R381" t="str">
            <v>F85100G</v>
          </cell>
          <cell r="S381">
            <v>351687.18</v>
          </cell>
          <cell r="T381">
            <v>685446.72</v>
          </cell>
        </row>
        <row r="382">
          <cell r="A382" t="str">
            <v>F85200G</v>
          </cell>
          <cell r="B382" t="str">
            <v>COMMUNICATION SYSTEM EXPENSES</v>
          </cell>
          <cell r="C382">
            <v>0</v>
          </cell>
          <cell r="J382">
            <v>671.21</v>
          </cell>
          <cell r="K382">
            <v>0</v>
          </cell>
          <cell r="P382">
            <v>671.21</v>
          </cell>
          <cell r="R382" t="str">
            <v>F85200G</v>
          </cell>
          <cell r="S382">
            <v>671.21</v>
          </cell>
          <cell r="T382">
            <v>671.21</v>
          </cell>
        </row>
        <row r="383">
          <cell r="A383" t="str">
            <v>F85300G</v>
          </cell>
          <cell r="B383" t="str">
            <v>COMPRESSOR STATION LABOR AND EXPENSES</v>
          </cell>
          <cell r="C383">
            <v>879459.61</v>
          </cell>
          <cell r="D383">
            <v>86099.34</v>
          </cell>
          <cell r="E383">
            <v>63554.05</v>
          </cell>
          <cell r="F383">
            <v>11446.05</v>
          </cell>
          <cell r="G383">
            <v>12899.36</v>
          </cell>
          <cell r="H383">
            <v>13508.01</v>
          </cell>
          <cell r="I383">
            <v>26938.54</v>
          </cell>
          <cell r="J383">
            <v>11425.99</v>
          </cell>
          <cell r="K383">
            <v>50760.12</v>
          </cell>
          <cell r="L383">
            <v>31474.03</v>
          </cell>
          <cell r="M383">
            <v>10920.21</v>
          </cell>
          <cell r="N383">
            <v>24069.01</v>
          </cell>
          <cell r="O383">
            <v>60010.13</v>
          </cell>
          <cell r="P383">
            <v>403104.84</v>
          </cell>
          <cell r="R383" t="str">
            <v>F85300G</v>
          </cell>
          <cell r="S383">
            <v>403104.84</v>
          </cell>
          <cell r="T383">
            <v>1282564.45</v>
          </cell>
        </row>
        <row r="384">
          <cell r="A384" t="str">
            <v>F85310G</v>
          </cell>
          <cell r="B384" t="str">
            <v>COMPRESSOR STATION LABOR AND EXPENSES</v>
          </cell>
          <cell r="C384">
            <v>0</v>
          </cell>
          <cell r="F384">
            <v>49888.89</v>
          </cell>
          <cell r="G384">
            <v>55440.07</v>
          </cell>
          <cell r="H384">
            <v>43473.02</v>
          </cell>
          <cell r="I384">
            <v>50035.9</v>
          </cell>
          <cell r="J384">
            <v>46885.86</v>
          </cell>
          <cell r="K384">
            <v>52921.11</v>
          </cell>
          <cell r="L384">
            <v>44564.78</v>
          </cell>
          <cell r="M384">
            <v>42974.66</v>
          </cell>
          <cell r="N384">
            <v>55817.14</v>
          </cell>
          <cell r="O384">
            <v>36560.9</v>
          </cell>
          <cell r="P384">
            <v>478562.33000000007</v>
          </cell>
          <cell r="R384" t="str">
            <v>F85310G</v>
          </cell>
          <cell r="S384">
            <v>478562.33</v>
          </cell>
          <cell r="T384">
            <v>478562.33000000007</v>
          </cell>
        </row>
        <row r="385">
          <cell r="A385" t="str">
            <v>F85320G</v>
          </cell>
          <cell r="B385" t="str">
            <v>COMPRESSOR STATION LABOR AND EXPENSES</v>
          </cell>
          <cell r="C385">
            <v>0</v>
          </cell>
          <cell r="F385">
            <v>6241.94</v>
          </cell>
          <cell r="G385">
            <v>4511.3999999999996</v>
          </cell>
          <cell r="H385">
            <v>2928.31</v>
          </cell>
          <cell r="I385">
            <v>3263.4</v>
          </cell>
          <cell r="J385">
            <v>6855.05</v>
          </cell>
          <cell r="K385">
            <v>4374.33</v>
          </cell>
          <cell r="L385">
            <v>3365.87</v>
          </cell>
          <cell r="M385">
            <v>7636.71</v>
          </cell>
          <cell r="N385">
            <v>9506.94</v>
          </cell>
          <cell r="O385">
            <v>3403.3</v>
          </cell>
          <cell r="P385">
            <v>52087.250000000007</v>
          </cell>
          <cell r="R385" t="str">
            <v>F85320G</v>
          </cell>
          <cell r="S385">
            <v>52087.25</v>
          </cell>
          <cell r="T385">
            <v>52087.250000000007</v>
          </cell>
        </row>
        <row r="386">
          <cell r="A386" t="str">
            <v>F85400G</v>
          </cell>
          <cell r="B386" t="str">
            <v>GAS FOR COMPRESSOR STATION FUEL</v>
          </cell>
          <cell r="C386">
            <v>966780</v>
          </cell>
          <cell r="D386">
            <v>99805</v>
          </cell>
          <cell r="E386">
            <v>100548</v>
          </cell>
          <cell r="F386">
            <v>44840.76</v>
          </cell>
          <cell r="G386">
            <v>75417.03</v>
          </cell>
          <cell r="H386">
            <v>324.16000000000003</v>
          </cell>
          <cell r="I386">
            <v>49141</v>
          </cell>
          <cell r="J386">
            <v>150923.93</v>
          </cell>
          <cell r="K386">
            <v>98870.99</v>
          </cell>
          <cell r="L386">
            <v>85148</v>
          </cell>
          <cell r="M386">
            <v>83471</v>
          </cell>
          <cell r="N386">
            <v>57884</v>
          </cell>
          <cell r="O386">
            <v>79241</v>
          </cell>
          <cell r="P386">
            <v>925614.87</v>
          </cell>
          <cell r="R386" t="str">
            <v>F85400G</v>
          </cell>
          <cell r="S386">
            <v>925614.87</v>
          </cell>
          <cell r="T386">
            <v>1892394.87</v>
          </cell>
        </row>
        <row r="387">
          <cell r="A387" t="str">
            <v>F85500G</v>
          </cell>
          <cell r="B387" t="str">
            <v>OTHER FUEL AND POWER FOR COMPRESSOR STATIONS</v>
          </cell>
          <cell r="C387">
            <v>115122.41</v>
          </cell>
          <cell r="D387">
            <v>66524.600000000006</v>
          </cell>
          <cell r="E387">
            <v>0</v>
          </cell>
          <cell r="P387">
            <v>66524.600000000006</v>
          </cell>
          <cell r="R387" t="str">
            <v>F85500G</v>
          </cell>
          <cell r="S387">
            <v>66524.600000000006</v>
          </cell>
          <cell r="T387">
            <v>181647.01</v>
          </cell>
        </row>
        <row r="388">
          <cell r="A388" t="str">
            <v>F85510G</v>
          </cell>
          <cell r="B388" t="str">
            <v>OTHER FUEL AND POWER FOR COMPRESSOR STATIONS</v>
          </cell>
          <cell r="C388">
            <v>0</v>
          </cell>
          <cell r="F388">
            <v>14403.03</v>
          </cell>
          <cell r="G388">
            <v>13066.18</v>
          </cell>
          <cell r="H388">
            <v>12905.38</v>
          </cell>
          <cell r="I388">
            <v>10040.75</v>
          </cell>
          <cell r="J388">
            <v>28826.79</v>
          </cell>
          <cell r="K388">
            <v>0</v>
          </cell>
          <cell r="L388">
            <v>15337.03</v>
          </cell>
          <cell r="M388">
            <v>16949.54</v>
          </cell>
          <cell r="N388">
            <v>23771.74</v>
          </cell>
          <cell r="O388">
            <v>0</v>
          </cell>
          <cell r="P388">
            <v>135300.44</v>
          </cell>
          <cell r="R388" t="str">
            <v>F85510G</v>
          </cell>
          <cell r="S388">
            <v>135300.44</v>
          </cell>
          <cell r="T388">
            <v>135300.44</v>
          </cell>
        </row>
        <row r="389">
          <cell r="A389" t="str">
            <v>F85600G</v>
          </cell>
          <cell r="B389" t="str">
            <v>MAINS EXPENSES</v>
          </cell>
          <cell r="C389">
            <v>810781.26</v>
          </cell>
          <cell r="D389">
            <v>50155.99</v>
          </cell>
          <cell r="E389">
            <v>31365.22</v>
          </cell>
          <cell r="F389">
            <v>6564.68</v>
          </cell>
          <cell r="G389">
            <v>9798.59</v>
          </cell>
          <cell r="H389">
            <v>12091.09</v>
          </cell>
          <cell r="I389">
            <v>15634.74</v>
          </cell>
          <cell r="J389">
            <v>11026.48</v>
          </cell>
          <cell r="K389">
            <v>8984.9699999999993</v>
          </cell>
          <cell r="L389">
            <v>2197.21</v>
          </cell>
          <cell r="M389">
            <v>4099.99</v>
          </cell>
          <cell r="N389">
            <v>10247.08</v>
          </cell>
          <cell r="O389">
            <v>18650.48</v>
          </cell>
          <cell r="P389">
            <v>180816.51999999996</v>
          </cell>
          <cell r="R389" t="str">
            <v>F85600G</v>
          </cell>
          <cell r="S389">
            <v>180816.52</v>
          </cell>
          <cell r="T389">
            <v>991597.78</v>
          </cell>
        </row>
        <row r="390">
          <cell r="A390" t="str">
            <v>F85610G</v>
          </cell>
          <cell r="B390" t="str">
            <v>MAINS EXPENSES</v>
          </cell>
          <cell r="C390">
            <v>0</v>
          </cell>
          <cell r="F390">
            <v>11553.5</v>
          </cell>
          <cell r="G390">
            <v>9329.7099999999991</v>
          </cell>
          <cell r="H390">
            <v>14708.34</v>
          </cell>
          <cell r="I390">
            <v>18755.54</v>
          </cell>
          <cell r="J390">
            <v>18870.41</v>
          </cell>
          <cell r="K390">
            <v>28830.05</v>
          </cell>
          <cell r="L390">
            <v>42881.49</v>
          </cell>
          <cell r="M390">
            <v>16298.27</v>
          </cell>
          <cell r="N390">
            <v>18075.3</v>
          </cell>
          <cell r="O390">
            <v>19767.89</v>
          </cell>
          <cell r="P390">
            <v>199070.5</v>
          </cell>
          <cell r="R390" t="str">
            <v>F85610G</v>
          </cell>
          <cell r="S390">
            <v>199070.5</v>
          </cell>
          <cell r="T390">
            <v>199070.5</v>
          </cell>
        </row>
        <row r="391">
          <cell r="A391" t="str">
            <v>F85620G</v>
          </cell>
          <cell r="B391" t="str">
            <v>TRANS PIPE OPER SJOAQ VLY&amp;WHLR RDGE</v>
          </cell>
          <cell r="C391">
            <v>0</v>
          </cell>
          <cell r="F391">
            <v>24302.38</v>
          </cell>
          <cell r="G391">
            <v>27441.06</v>
          </cell>
          <cell r="H391">
            <v>21195.19</v>
          </cell>
          <cell r="I391">
            <v>18180.37</v>
          </cell>
          <cell r="J391">
            <v>37271.57</v>
          </cell>
          <cell r="K391">
            <v>29559.439999999999</v>
          </cell>
          <cell r="L391">
            <v>14822.59</v>
          </cell>
          <cell r="M391">
            <v>23638.16</v>
          </cell>
          <cell r="N391">
            <v>39160.79</v>
          </cell>
          <cell r="O391">
            <v>26623.39</v>
          </cell>
          <cell r="P391">
            <v>262194.94</v>
          </cell>
          <cell r="R391" t="str">
            <v>F85620G</v>
          </cell>
          <cell r="S391">
            <v>262194.94</v>
          </cell>
          <cell r="T391">
            <v>262194.94</v>
          </cell>
        </row>
        <row r="392">
          <cell r="A392" t="str">
            <v>F85660G</v>
          </cell>
          <cell r="B392" t="str">
            <v>TRANS PIPE OPER ADELANTO SYSTEM</v>
          </cell>
          <cell r="C392">
            <v>0</v>
          </cell>
          <cell r="F392">
            <v>9021.1200000000008</v>
          </cell>
          <cell r="G392">
            <v>7247.91</v>
          </cell>
          <cell r="H392">
            <v>7187.54</v>
          </cell>
          <cell r="I392">
            <v>6810.29</v>
          </cell>
          <cell r="J392">
            <v>6624.15</v>
          </cell>
          <cell r="K392">
            <v>11567.76</v>
          </cell>
          <cell r="L392">
            <v>7062.1</v>
          </cell>
          <cell r="M392">
            <v>5397.86</v>
          </cell>
          <cell r="N392">
            <v>6603.41</v>
          </cell>
          <cell r="O392">
            <v>7543.35</v>
          </cell>
          <cell r="P392">
            <v>75065.490000000005</v>
          </cell>
          <cell r="R392" t="str">
            <v>F85660G</v>
          </cell>
          <cell r="S392">
            <v>75065.490000000005</v>
          </cell>
          <cell r="T392">
            <v>75065.490000000005</v>
          </cell>
        </row>
        <row r="393">
          <cell r="A393" t="str">
            <v>F85700G</v>
          </cell>
          <cell r="B393" t="str">
            <v>MEASURING AND REGULATING STATION EXPENSES</v>
          </cell>
          <cell r="C393">
            <v>101176.07</v>
          </cell>
          <cell r="D393">
            <v>9895.99</v>
          </cell>
          <cell r="E393">
            <v>3640.12</v>
          </cell>
          <cell r="F393">
            <v>8802.77</v>
          </cell>
          <cell r="G393">
            <v>5096</v>
          </cell>
          <cell r="H393">
            <v>8777.7000000000007</v>
          </cell>
          <cell r="I393">
            <v>7078.17</v>
          </cell>
          <cell r="J393">
            <v>5680.98</v>
          </cell>
          <cell r="K393">
            <v>9444.51</v>
          </cell>
          <cell r="L393">
            <v>3720.17</v>
          </cell>
          <cell r="M393">
            <v>10702.65</v>
          </cell>
          <cell r="N393">
            <v>7609.94</v>
          </cell>
          <cell r="O393">
            <v>6140.76</v>
          </cell>
          <cell r="P393">
            <v>86589.759999999995</v>
          </cell>
          <cell r="R393" t="str">
            <v>F85700G</v>
          </cell>
          <cell r="S393">
            <v>86589.759999999995</v>
          </cell>
          <cell r="T393">
            <v>187765.83000000002</v>
          </cell>
        </row>
        <row r="394">
          <cell r="A394" t="str">
            <v>F85900G</v>
          </cell>
          <cell r="B394" t="str">
            <v>OTHER EXPENSES</v>
          </cell>
          <cell r="C394">
            <v>1243236.3700000001</v>
          </cell>
          <cell r="D394">
            <v>8789.3799999999992</v>
          </cell>
          <cell r="E394">
            <v>117566.39</v>
          </cell>
          <cell r="F394">
            <v>31017.119999999999</v>
          </cell>
          <cell r="G394">
            <v>133509.87</v>
          </cell>
          <cell r="H394">
            <v>12407.26</v>
          </cell>
          <cell r="I394">
            <v>156773.21</v>
          </cell>
          <cell r="J394">
            <v>478773.87</v>
          </cell>
          <cell r="K394">
            <v>480583.95</v>
          </cell>
          <cell r="L394">
            <v>495676.75</v>
          </cell>
          <cell r="M394">
            <v>1506137.79</v>
          </cell>
          <cell r="N394">
            <v>2307605.5</v>
          </cell>
          <cell r="O394">
            <v>3136964.38</v>
          </cell>
          <cell r="P394">
            <v>8865805.4699999988</v>
          </cell>
          <cell r="R394" t="str">
            <v>F85900G</v>
          </cell>
          <cell r="S394">
            <v>8865805.4699999988</v>
          </cell>
          <cell r="T394">
            <v>10109041.84</v>
          </cell>
        </row>
        <row r="395">
          <cell r="A395" t="str">
            <v>F85920G</v>
          </cell>
          <cell r="B395" t="str">
            <v>OTHER EXPENSES</v>
          </cell>
          <cell r="C395">
            <v>0</v>
          </cell>
          <cell r="F395">
            <v>276.49</v>
          </cell>
          <cell r="G395">
            <v>223.18</v>
          </cell>
          <cell r="H395">
            <v>173.46</v>
          </cell>
          <cell r="I395">
            <v>230.71</v>
          </cell>
          <cell r="J395">
            <v>2457.04</v>
          </cell>
          <cell r="K395">
            <v>262.60000000000002</v>
          </cell>
          <cell r="L395">
            <v>879</v>
          </cell>
          <cell r="M395">
            <v>136.6</v>
          </cell>
          <cell r="N395">
            <v>584.39</v>
          </cell>
          <cell r="O395">
            <v>542.04999999999995</v>
          </cell>
          <cell r="P395">
            <v>5765.52</v>
          </cell>
          <cell r="R395" t="str">
            <v>F85920G</v>
          </cell>
          <cell r="S395">
            <v>5765.52</v>
          </cell>
          <cell r="T395">
            <v>5765.52</v>
          </cell>
        </row>
        <row r="396">
          <cell r="A396" t="str">
            <v>F85930G</v>
          </cell>
          <cell r="B396" t="str">
            <v>OTHER EXPENSES</v>
          </cell>
          <cell r="C396">
            <v>0</v>
          </cell>
          <cell r="F396">
            <v>8513.82</v>
          </cell>
          <cell r="G396">
            <v>3906.55</v>
          </cell>
          <cell r="H396">
            <v>5158.08</v>
          </cell>
          <cell r="I396">
            <v>2593.34</v>
          </cell>
          <cell r="J396">
            <v>9798.8799999999992</v>
          </cell>
          <cell r="K396">
            <v>32578.02</v>
          </cell>
          <cell r="L396">
            <v>8620.52</v>
          </cell>
          <cell r="M396">
            <v>9522.5300000000007</v>
          </cell>
          <cell r="N396">
            <v>21375.35</v>
          </cell>
          <cell r="O396">
            <v>-10795.06</v>
          </cell>
          <cell r="P396">
            <v>91272.03</v>
          </cell>
          <cell r="R396" t="str">
            <v>F85930G</v>
          </cell>
          <cell r="S396">
            <v>91272.03</v>
          </cell>
          <cell r="T396">
            <v>91272.03</v>
          </cell>
        </row>
        <row r="397">
          <cell r="A397" t="str">
            <v>F86000G</v>
          </cell>
          <cell r="B397" t="str">
            <v>RENTS</v>
          </cell>
          <cell r="C397">
            <v>37204.86</v>
          </cell>
          <cell r="D397">
            <v>1267.8</v>
          </cell>
          <cell r="E397">
            <v>0</v>
          </cell>
          <cell r="F397">
            <v>0</v>
          </cell>
          <cell r="G397">
            <v>18.649999999999999</v>
          </cell>
          <cell r="H397">
            <v>0</v>
          </cell>
          <cell r="I397">
            <v>100</v>
          </cell>
          <cell r="J397">
            <v>200</v>
          </cell>
          <cell r="K397">
            <v>0</v>
          </cell>
          <cell r="N397">
            <v>0</v>
          </cell>
          <cell r="O397">
            <v>140</v>
          </cell>
          <cell r="P397">
            <v>1726.45</v>
          </cell>
          <cell r="R397" t="str">
            <v>F86000G</v>
          </cell>
          <cell r="S397">
            <v>1726.45</v>
          </cell>
          <cell r="T397">
            <v>38931.31</v>
          </cell>
        </row>
        <row r="398">
          <cell r="A398" t="str">
            <v>F86100G</v>
          </cell>
          <cell r="B398" t="str">
            <v>MAINTENANCE SUPERVISION AND ENGINEERING</v>
          </cell>
          <cell r="C398">
            <v>206768.06</v>
          </cell>
          <cell r="D398">
            <v>12820.72</v>
          </cell>
          <cell r="E398">
            <v>7857.52</v>
          </cell>
          <cell r="F398">
            <v>1368.18</v>
          </cell>
          <cell r="G398">
            <v>80.97</v>
          </cell>
          <cell r="H398">
            <v>788.08</v>
          </cell>
          <cell r="I398">
            <v>1027.94</v>
          </cell>
          <cell r="J398">
            <v>84.9</v>
          </cell>
          <cell r="K398">
            <v>665.09</v>
          </cell>
          <cell r="L398">
            <v>335.18</v>
          </cell>
          <cell r="M398">
            <v>192.88</v>
          </cell>
          <cell r="N398">
            <v>299.57</v>
          </cell>
          <cell r="O398">
            <v>325.08999999999997</v>
          </cell>
          <cell r="P398">
            <v>25846.120000000003</v>
          </cell>
          <cell r="R398" t="str">
            <v>F86100G</v>
          </cell>
          <cell r="S398">
            <v>25846.12</v>
          </cell>
          <cell r="T398">
            <v>232614.18</v>
          </cell>
        </row>
        <row r="399">
          <cell r="A399" t="str">
            <v>F86110G</v>
          </cell>
          <cell r="B399" t="str">
            <v>MAINTENANCE SUPERVISION AND ENGINEERING</v>
          </cell>
          <cell r="C399">
            <v>0</v>
          </cell>
          <cell r="F399">
            <v>10105.129999999999</v>
          </cell>
          <cell r="G399">
            <v>9822.58</v>
          </cell>
          <cell r="H399">
            <v>9540.0400000000009</v>
          </cell>
          <cell r="I399">
            <v>7966.34</v>
          </cell>
          <cell r="J399">
            <v>6268.93</v>
          </cell>
          <cell r="K399">
            <v>9071.19</v>
          </cell>
          <cell r="L399">
            <v>6472.03</v>
          </cell>
          <cell r="M399">
            <v>6485.41</v>
          </cell>
          <cell r="N399">
            <v>7222.51</v>
          </cell>
          <cell r="O399">
            <v>6943.09</v>
          </cell>
          <cell r="P399">
            <v>79897.249999999985</v>
          </cell>
          <cell r="R399" t="str">
            <v>F86110G</v>
          </cell>
          <cell r="S399">
            <v>79897.25</v>
          </cell>
          <cell r="T399">
            <v>79897.249999999985</v>
          </cell>
        </row>
        <row r="400">
          <cell r="A400" t="str">
            <v>F86120G</v>
          </cell>
          <cell r="B400" t="str">
            <v>MAINTENANCE SUPERVISION AND ENGINEERING</v>
          </cell>
          <cell r="C400">
            <v>0</v>
          </cell>
          <cell r="F400">
            <v>92.01</v>
          </cell>
          <cell r="G400">
            <v>74.38</v>
          </cell>
          <cell r="H400">
            <v>57.78</v>
          </cell>
          <cell r="I400">
            <v>77</v>
          </cell>
          <cell r="J400">
            <v>50.13</v>
          </cell>
          <cell r="K400">
            <v>87.6</v>
          </cell>
          <cell r="L400">
            <v>63.1</v>
          </cell>
          <cell r="M400">
            <v>45.5</v>
          </cell>
          <cell r="N400">
            <v>78.7</v>
          </cell>
          <cell r="O400">
            <v>60.18</v>
          </cell>
          <cell r="P400">
            <v>686.38</v>
          </cell>
          <cell r="R400" t="str">
            <v>F86120G</v>
          </cell>
          <cell r="S400">
            <v>686.38</v>
          </cell>
          <cell r="T400">
            <v>686.38</v>
          </cell>
        </row>
        <row r="401">
          <cell r="A401" t="str">
            <v>F86200G</v>
          </cell>
          <cell r="B401" t="str">
            <v>MAINTENANCE OF STRUCTURES AND IMPROVEMENTS</v>
          </cell>
          <cell r="C401">
            <v>420.25</v>
          </cell>
          <cell r="H401">
            <v>221.1</v>
          </cell>
          <cell r="I401">
            <v>713.54</v>
          </cell>
          <cell r="L401">
            <v>496</v>
          </cell>
          <cell r="M401">
            <v>0</v>
          </cell>
          <cell r="P401">
            <v>1430.6399999999999</v>
          </cell>
          <cell r="R401" t="str">
            <v>F86200G</v>
          </cell>
          <cell r="S401">
            <v>1430.64</v>
          </cell>
          <cell r="T401">
            <v>1850.8899999999999</v>
          </cell>
        </row>
        <row r="402">
          <cell r="A402" t="str">
            <v>F86300G</v>
          </cell>
          <cell r="B402" t="str">
            <v>MAINTENANCE OF MAINS</v>
          </cell>
          <cell r="C402">
            <v>11903.57</v>
          </cell>
          <cell r="J402">
            <v>426.61</v>
          </cell>
          <cell r="K402">
            <v>733.96</v>
          </cell>
          <cell r="L402">
            <v>148.82</v>
          </cell>
          <cell r="M402">
            <v>267.52999999999997</v>
          </cell>
          <cell r="N402">
            <v>356.7</v>
          </cell>
          <cell r="O402">
            <v>55.42</v>
          </cell>
          <cell r="P402">
            <v>1989.0400000000002</v>
          </cell>
          <cell r="R402" t="str">
            <v>F86300G</v>
          </cell>
          <cell r="S402">
            <v>1989.04</v>
          </cell>
          <cell r="T402">
            <v>13892.61</v>
          </cell>
        </row>
        <row r="403">
          <cell r="A403" t="str">
            <v>F86400G</v>
          </cell>
          <cell r="B403" t="str">
            <v>MAINTENANCE OF COMPRESSOR STATION EQUIPMENT</v>
          </cell>
          <cell r="C403">
            <v>510732.02</v>
          </cell>
          <cell r="D403">
            <v>41797.449999999997</v>
          </cell>
          <cell r="E403">
            <v>33876.29</v>
          </cell>
          <cell r="F403">
            <v>20466.34</v>
          </cell>
          <cell r="G403">
            <v>44192.35</v>
          </cell>
          <cell r="H403">
            <v>25556.080000000002</v>
          </cell>
          <cell r="I403">
            <v>70203.199999999997</v>
          </cell>
          <cell r="J403">
            <v>34743.339999999997</v>
          </cell>
          <cell r="K403">
            <v>28862.58</v>
          </cell>
          <cell r="L403">
            <v>60962.54</v>
          </cell>
          <cell r="M403">
            <v>30952.240000000002</v>
          </cell>
          <cell r="N403">
            <v>19016.509999999998</v>
          </cell>
          <cell r="O403">
            <v>49803.4</v>
          </cell>
          <cell r="P403">
            <v>460432.32000000007</v>
          </cell>
          <cell r="R403" t="str">
            <v>F86400G</v>
          </cell>
          <cell r="S403">
            <v>460432.32</v>
          </cell>
          <cell r="T403">
            <v>971164.34000000008</v>
          </cell>
        </row>
        <row r="404">
          <cell r="A404" t="str">
            <v>F86410G</v>
          </cell>
          <cell r="B404" t="str">
            <v>MAINTENANCE OF COMPRESSOR STATION EQUIPMENT</v>
          </cell>
          <cell r="C404">
            <v>0</v>
          </cell>
          <cell r="F404">
            <v>8573.59</v>
          </cell>
          <cell r="G404">
            <v>8374.51</v>
          </cell>
          <cell r="H404">
            <v>6391.61</v>
          </cell>
          <cell r="I404">
            <v>6198.23</v>
          </cell>
          <cell r="J404">
            <v>6643.3</v>
          </cell>
          <cell r="K404">
            <v>6259.87</v>
          </cell>
          <cell r="L404">
            <v>5427.22</v>
          </cell>
          <cell r="M404">
            <v>4181.07</v>
          </cell>
          <cell r="N404">
            <v>6416.86</v>
          </cell>
          <cell r="O404">
            <v>3881.81</v>
          </cell>
          <cell r="P404">
            <v>62348.07</v>
          </cell>
          <cell r="R404" t="str">
            <v>F86410G</v>
          </cell>
          <cell r="S404">
            <v>62348.07</v>
          </cell>
          <cell r="T404">
            <v>62348.07</v>
          </cell>
        </row>
        <row r="405">
          <cell r="A405" t="str">
            <v>F86420G</v>
          </cell>
          <cell r="B405" t="str">
            <v>MAINTENANCE OF COMPRESSOR STATION EQUIPMENT</v>
          </cell>
          <cell r="C405">
            <v>0</v>
          </cell>
          <cell r="F405">
            <v>1833.61</v>
          </cell>
          <cell r="G405">
            <v>850.2</v>
          </cell>
          <cell r="H405">
            <v>1456.48</v>
          </cell>
          <cell r="I405">
            <v>1606.75</v>
          </cell>
          <cell r="J405">
            <v>2637.58</v>
          </cell>
          <cell r="K405">
            <v>1471.38</v>
          </cell>
          <cell r="L405">
            <v>1252.81</v>
          </cell>
          <cell r="M405">
            <v>2746.36</v>
          </cell>
          <cell r="N405">
            <v>1783.61</v>
          </cell>
          <cell r="O405">
            <v>749.05</v>
          </cell>
          <cell r="P405">
            <v>16387.830000000002</v>
          </cell>
          <cell r="R405" t="str">
            <v>F86420G</v>
          </cell>
          <cell r="S405">
            <v>16387.830000000002</v>
          </cell>
          <cell r="T405">
            <v>16387.830000000002</v>
          </cell>
        </row>
        <row r="406">
          <cell r="A406" t="str">
            <v>F86500G</v>
          </cell>
          <cell r="B406" t="str">
            <v>MAINTENANCE OF MEASURING AND REG. STATION EQUIPMEN</v>
          </cell>
          <cell r="C406">
            <v>49052.61</v>
          </cell>
          <cell r="D406">
            <v>3697.8</v>
          </cell>
          <cell r="E406">
            <v>2468.16</v>
          </cell>
          <cell r="F406">
            <v>4991.05</v>
          </cell>
          <cell r="G406">
            <v>2945.57</v>
          </cell>
          <cell r="H406">
            <v>3086.14</v>
          </cell>
          <cell r="I406">
            <v>2316.27</v>
          </cell>
          <cell r="J406">
            <v>3976.78</v>
          </cell>
          <cell r="K406">
            <v>5111.71</v>
          </cell>
          <cell r="L406">
            <v>4368.3100000000004</v>
          </cell>
          <cell r="M406">
            <v>4082.15</v>
          </cell>
          <cell r="N406">
            <v>3529.17</v>
          </cell>
          <cell r="O406">
            <v>2652.99</v>
          </cell>
          <cell r="P406">
            <v>43226.1</v>
          </cell>
          <cell r="R406" t="str">
            <v>F86500G</v>
          </cell>
          <cell r="S406">
            <v>43226.1</v>
          </cell>
          <cell r="T406">
            <v>92278.709999999992</v>
          </cell>
        </row>
        <row r="407">
          <cell r="A407" t="str">
            <v>F86700G</v>
          </cell>
          <cell r="B407" t="str">
            <v>MAINTENANCE OF OTHER EQUIPMENT</v>
          </cell>
          <cell r="C407">
            <v>0</v>
          </cell>
          <cell r="H407">
            <v>0</v>
          </cell>
          <cell r="I407">
            <v>27.06</v>
          </cell>
          <cell r="J407">
            <v>0</v>
          </cell>
          <cell r="K407">
            <v>25.09</v>
          </cell>
          <cell r="L407">
            <v>0</v>
          </cell>
          <cell r="M407">
            <v>16.989999999999998</v>
          </cell>
          <cell r="P407">
            <v>69.14</v>
          </cell>
          <cell r="R407" t="str">
            <v>F86700G</v>
          </cell>
          <cell r="S407">
            <v>69.14</v>
          </cell>
          <cell r="T407">
            <v>69.14</v>
          </cell>
        </row>
        <row r="408">
          <cell r="A408" t="str">
            <v>F87000G</v>
          </cell>
          <cell r="B408" t="str">
            <v>OPERATION SUPERVISION AND ENGINEERING</v>
          </cell>
          <cell r="C408">
            <v>3379731.62</v>
          </cell>
          <cell r="D408">
            <v>125925.45</v>
          </cell>
          <cell r="E408">
            <v>167348.47</v>
          </cell>
          <cell r="F408">
            <v>64097.96</v>
          </cell>
          <cell r="G408">
            <v>10086.450000000001</v>
          </cell>
          <cell r="H408">
            <v>16078.56</v>
          </cell>
          <cell r="I408">
            <v>10650.73</v>
          </cell>
          <cell r="J408">
            <v>6392.8</v>
          </cell>
          <cell r="K408">
            <v>39220.22</v>
          </cell>
          <cell r="L408">
            <v>29401.98</v>
          </cell>
          <cell r="M408">
            <v>3680.17</v>
          </cell>
          <cell r="N408">
            <v>19718.490000000002</v>
          </cell>
          <cell r="O408">
            <v>807030.66</v>
          </cell>
          <cell r="P408">
            <v>1299631.94</v>
          </cell>
          <cell r="R408" t="str">
            <v>F87000G</v>
          </cell>
          <cell r="S408">
            <v>1299631.94</v>
          </cell>
          <cell r="T408">
            <v>4679363.5600000005</v>
          </cell>
        </row>
        <row r="409">
          <cell r="A409" t="str">
            <v>F87010G</v>
          </cell>
          <cell r="B409" t="str">
            <v>OPERATION SUPERVISIO</v>
          </cell>
          <cell r="C409">
            <v>0</v>
          </cell>
          <cell r="F409">
            <v>157430.21</v>
          </cell>
          <cell r="G409">
            <v>82905.87</v>
          </cell>
          <cell r="H409">
            <v>92917.71</v>
          </cell>
          <cell r="I409">
            <v>110720.41</v>
          </cell>
          <cell r="J409">
            <v>83846.990000000005</v>
          </cell>
          <cell r="K409">
            <v>129808.76</v>
          </cell>
          <cell r="L409">
            <v>98506.32</v>
          </cell>
          <cell r="M409">
            <v>92459.68</v>
          </cell>
          <cell r="N409">
            <v>109448.63</v>
          </cell>
          <cell r="O409">
            <v>94415.1</v>
          </cell>
          <cell r="P409">
            <v>1052459.68</v>
          </cell>
          <cell r="R409" t="str">
            <v>F87010G</v>
          </cell>
          <cell r="S409">
            <v>1052459.68</v>
          </cell>
          <cell r="T409">
            <v>1052459.68</v>
          </cell>
        </row>
        <row r="410">
          <cell r="A410" t="str">
            <v>F87020G</v>
          </cell>
          <cell r="B410" t="str">
            <v>OPERATION SUPERVISIO</v>
          </cell>
          <cell r="C410">
            <v>0</v>
          </cell>
          <cell r="F410">
            <v>88806.94</v>
          </cell>
          <cell r="G410">
            <v>60634.65</v>
          </cell>
          <cell r="H410">
            <v>95544.14</v>
          </cell>
          <cell r="I410">
            <v>93908.6</v>
          </cell>
          <cell r="J410">
            <v>49671.83</v>
          </cell>
          <cell r="K410">
            <v>96849.83</v>
          </cell>
          <cell r="L410">
            <v>76666.06</v>
          </cell>
          <cell r="M410">
            <v>80631.03</v>
          </cell>
          <cell r="N410">
            <v>90633.33</v>
          </cell>
          <cell r="O410">
            <v>66572.14</v>
          </cell>
          <cell r="P410">
            <v>799918.55</v>
          </cell>
          <cell r="R410" t="str">
            <v>F87020G</v>
          </cell>
          <cell r="S410">
            <v>799918.55</v>
          </cell>
          <cell r="T410">
            <v>799918.55</v>
          </cell>
        </row>
        <row r="411">
          <cell r="A411" t="str">
            <v>F87100G</v>
          </cell>
          <cell r="B411" t="str">
            <v>DISTRIBUTION LOAD DISPATCHING</v>
          </cell>
          <cell r="C411">
            <v>137870.31</v>
          </cell>
          <cell r="J411">
            <v>0</v>
          </cell>
          <cell r="K411">
            <v>163.52000000000001</v>
          </cell>
          <cell r="N411">
            <v>1985.42</v>
          </cell>
          <cell r="O411">
            <v>2066.8200000000002</v>
          </cell>
          <cell r="P411">
            <v>4215.76</v>
          </cell>
          <cell r="R411" t="str">
            <v>F87100G</v>
          </cell>
          <cell r="S411">
            <v>4215.76</v>
          </cell>
          <cell r="T411">
            <v>142086.07</v>
          </cell>
        </row>
        <row r="412">
          <cell r="A412" t="str">
            <v>F87200C</v>
          </cell>
          <cell r="B412" t="str">
            <v>COMPRESSOR STATION LABOR AND EXPENSES</v>
          </cell>
          <cell r="C412">
            <v>0</v>
          </cell>
          <cell r="L412">
            <v>2583.52</v>
          </cell>
          <cell r="M412">
            <v>0</v>
          </cell>
          <cell r="N412">
            <v>0</v>
          </cell>
          <cell r="O412">
            <v>187.63</v>
          </cell>
          <cell r="P412">
            <v>2771.15</v>
          </cell>
          <cell r="R412" t="str">
            <v>F87200C</v>
          </cell>
          <cell r="S412">
            <v>2771.15</v>
          </cell>
          <cell r="T412">
            <v>2771.15</v>
          </cell>
        </row>
        <row r="413">
          <cell r="A413" t="str">
            <v>F87200G</v>
          </cell>
          <cell r="B413" t="str">
            <v>COMPRESSOR STATION LABOR AND EXPENSES</v>
          </cell>
          <cell r="C413">
            <v>0</v>
          </cell>
          <cell r="F413">
            <v>1818.54</v>
          </cell>
          <cell r="G413">
            <v>0</v>
          </cell>
          <cell r="H413">
            <v>679.19</v>
          </cell>
          <cell r="I413">
            <v>91.77</v>
          </cell>
          <cell r="P413">
            <v>2589.5</v>
          </cell>
          <cell r="R413" t="str">
            <v>F87200G</v>
          </cell>
          <cell r="S413">
            <v>2589.5</v>
          </cell>
          <cell r="T413">
            <v>2589.5</v>
          </cell>
        </row>
        <row r="414">
          <cell r="A414" t="str">
            <v>F87300G</v>
          </cell>
          <cell r="B414" t="str">
            <v>COMPRESSOR STATION FUEL AND POWER</v>
          </cell>
          <cell r="C414">
            <v>0</v>
          </cell>
          <cell r="L414">
            <v>0</v>
          </cell>
          <cell r="M414">
            <v>512.47</v>
          </cell>
          <cell r="P414">
            <v>512.47</v>
          </cell>
          <cell r="R414" t="str">
            <v>F87300G</v>
          </cell>
          <cell r="S414">
            <v>512.47</v>
          </cell>
          <cell r="T414">
            <v>512.47</v>
          </cell>
        </row>
        <row r="415">
          <cell r="A415" t="str">
            <v>F87400G</v>
          </cell>
          <cell r="B415" t="str">
            <v>MAINS AND SERVICES EXPENSES</v>
          </cell>
          <cell r="C415">
            <v>2429811.21</v>
          </cell>
          <cell r="D415">
            <v>225934.53</v>
          </cell>
          <cell r="E415">
            <v>138667.79999999999</v>
          </cell>
          <cell r="F415">
            <v>51366.91</v>
          </cell>
          <cell r="G415">
            <v>32830.089999999997</v>
          </cell>
          <cell r="H415">
            <v>39069.47</v>
          </cell>
          <cell r="I415">
            <v>69365.509999999995</v>
          </cell>
          <cell r="J415">
            <v>53577.79</v>
          </cell>
          <cell r="K415">
            <v>49288.37</v>
          </cell>
          <cell r="L415">
            <v>43222.05</v>
          </cell>
          <cell r="M415">
            <v>69846.86</v>
          </cell>
          <cell r="N415">
            <v>10443.86</v>
          </cell>
          <cell r="O415">
            <v>25161.78</v>
          </cell>
          <cell r="P415">
            <v>808775.02</v>
          </cell>
          <cell r="R415" t="str">
            <v>F87400G</v>
          </cell>
          <cell r="S415">
            <v>808775.02</v>
          </cell>
          <cell r="T415">
            <v>3238586.23</v>
          </cell>
        </row>
        <row r="416">
          <cell r="A416" t="str">
            <v>F87410G</v>
          </cell>
          <cell r="B416" t="str">
            <v>MAINS AND SERVICES E</v>
          </cell>
          <cell r="C416">
            <v>0</v>
          </cell>
          <cell r="F416">
            <v>41948.97</v>
          </cell>
          <cell r="G416">
            <v>36952.61</v>
          </cell>
          <cell r="H416">
            <v>43996.43</v>
          </cell>
          <cell r="I416">
            <v>43643.94</v>
          </cell>
          <cell r="J416">
            <v>46259.040000000001</v>
          </cell>
          <cell r="K416">
            <v>60021.01</v>
          </cell>
          <cell r="L416">
            <v>26323.759999999998</v>
          </cell>
          <cell r="M416">
            <v>42525.35</v>
          </cell>
          <cell r="N416">
            <v>61372.91</v>
          </cell>
          <cell r="O416">
            <v>41719.050000000003</v>
          </cell>
          <cell r="P416">
            <v>444763.07</v>
          </cell>
          <cell r="R416" t="str">
            <v>F87410G</v>
          </cell>
          <cell r="S416">
            <v>444763.07</v>
          </cell>
          <cell r="T416">
            <v>444763.07</v>
          </cell>
        </row>
        <row r="417">
          <cell r="A417" t="str">
            <v>F87430G</v>
          </cell>
          <cell r="B417" t="str">
            <v>MAINS AND SERVICES E</v>
          </cell>
          <cell r="C417">
            <v>0</v>
          </cell>
          <cell r="F417">
            <v>76730.39</v>
          </cell>
          <cell r="G417">
            <v>56615.67</v>
          </cell>
          <cell r="H417">
            <v>87588.9</v>
          </cell>
          <cell r="I417">
            <v>101671.06</v>
          </cell>
          <cell r="J417">
            <v>97195.04</v>
          </cell>
          <cell r="K417">
            <v>113934.69</v>
          </cell>
          <cell r="L417">
            <v>112579.72</v>
          </cell>
          <cell r="M417">
            <v>86917.51</v>
          </cell>
          <cell r="N417">
            <v>211408.15</v>
          </cell>
          <cell r="O417">
            <v>114574.83</v>
          </cell>
          <cell r="P417">
            <v>1059215.96</v>
          </cell>
          <cell r="R417" t="str">
            <v>F87430G</v>
          </cell>
          <cell r="S417">
            <v>1059215.96</v>
          </cell>
          <cell r="T417">
            <v>1059215.96</v>
          </cell>
        </row>
        <row r="418">
          <cell r="A418" t="str">
            <v>F87440G</v>
          </cell>
          <cell r="B418" t="str">
            <v>MAINS AND SERVICES E</v>
          </cell>
          <cell r="C418">
            <v>0</v>
          </cell>
          <cell r="F418">
            <v>34083.75</v>
          </cell>
          <cell r="G418">
            <v>39298.720000000001</v>
          </cell>
          <cell r="H418">
            <v>35264</v>
          </cell>
          <cell r="I418">
            <v>44751.4</v>
          </cell>
          <cell r="J418">
            <v>54019.88</v>
          </cell>
          <cell r="K418">
            <v>62024.55</v>
          </cell>
          <cell r="L418">
            <v>57581.71</v>
          </cell>
          <cell r="M418">
            <v>48845.7</v>
          </cell>
          <cell r="N418">
            <v>54394.17</v>
          </cell>
          <cell r="O418">
            <v>47298.15</v>
          </cell>
          <cell r="P418">
            <v>477562.03</v>
          </cell>
          <cell r="R418" t="str">
            <v>F87440G</v>
          </cell>
          <cell r="S418">
            <v>477562.03</v>
          </cell>
          <cell r="T418">
            <v>477562.03</v>
          </cell>
        </row>
        <row r="419">
          <cell r="A419" t="str">
            <v>F87450G</v>
          </cell>
          <cell r="B419" t="str">
            <v>MAINS AND SERVICES E</v>
          </cell>
          <cell r="C419">
            <v>0</v>
          </cell>
          <cell r="F419">
            <v>1332</v>
          </cell>
          <cell r="G419">
            <v>769.14</v>
          </cell>
          <cell r="H419">
            <v>1799.85</v>
          </cell>
          <cell r="I419">
            <v>1410.85</v>
          </cell>
          <cell r="J419">
            <v>996.16</v>
          </cell>
          <cell r="K419">
            <v>1445.69</v>
          </cell>
          <cell r="L419">
            <v>1100.6199999999999</v>
          </cell>
          <cell r="M419">
            <v>1101.68</v>
          </cell>
          <cell r="N419">
            <v>1121.58</v>
          </cell>
          <cell r="O419">
            <v>3637.88</v>
          </cell>
          <cell r="P419">
            <v>14715.45</v>
          </cell>
          <cell r="R419" t="str">
            <v>F87450G</v>
          </cell>
          <cell r="S419">
            <v>14715.45</v>
          </cell>
          <cell r="T419">
            <v>14715.45</v>
          </cell>
        </row>
        <row r="420">
          <cell r="A420" t="str">
            <v>F87500G</v>
          </cell>
          <cell r="B420" t="str">
            <v>MEASURING AND REGULATING STATION EXPENSES-GENERAL</v>
          </cell>
          <cell r="C420">
            <v>448307.42</v>
          </cell>
          <cell r="D420">
            <v>22927.54</v>
          </cell>
          <cell r="E420">
            <v>37795.11</v>
          </cell>
          <cell r="F420">
            <v>35238.53</v>
          </cell>
          <cell r="G420">
            <v>46143.3</v>
          </cell>
          <cell r="H420">
            <v>38079.440000000002</v>
          </cell>
          <cell r="I420">
            <v>25600.78</v>
          </cell>
          <cell r="J420">
            <v>78636.100000000006</v>
          </cell>
          <cell r="K420">
            <v>58095.17</v>
          </cell>
          <cell r="L420">
            <v>48512.160000000003</v>
          </cell>
          <cell r="M420">
            <v>31354.52</v>
          </cell>
          <cell r="N420">
            <v>26214.85</v>
          </cell>
          <cell r="O420">
            <v>42636.88</v>
          </cell>
          <cell r="P420">
            <v>491234.38</v>
          </cell>
          <cell r="R420" t="str">
            <v>F87500G</v>
          </cell>
          <cell r="S420">
            <v>491234.38</v>
          </cell>
          <cell r="T420">
            <v>939541.8</v>
          </cell>
        </row>
        <row r="421">
          <cell r="A421" t="str">
            <v>F87800G</v>
          </cell>
          <cell r="B421" t="str">
            <v>METER AND HOUSE REGULATOR EXPENSES</v>
          </cell>
          <cell r="C421">
            <v>2554519.8199999998</v>
          </cell>
          <cell r="D421">
            <v>231732.77</v>
          </cell>
          <cell r="E421">
            <v>140974.51999999999</v>
          </cell>
          <cell r="F421">
            <v>33444.699999999997</v>
          </cell>
          <cell r="G421">
            <v>27184.71</v>
          </cell>
          <cell r="H421">
            <v>29674.44</v>
          </cell>
          <cell r="I421">
            <v>30468.73</v>
          </cell>
          <cell r="J421">
            <v>9220.7800000000007</v>
          </cell>
          <cell r="K421">
            <v>19018.560000000001</v>
          </cell>
          <cell r="L421">
            <v>196963.53</v>
          </cell>
          <cell r="M421">
            <v>84115.16</v>
          </cell>
          <cell r="N421">
            <v>30435.41</v>
          </cell>
          <cell r="O421">
            <v>209330.8</v>
          </cell>
          <cell r="P421">
            <v>1042564.1100000001</v>
          </cell>
          <cell r="R421" t="str">
            <v>F87800G</v>
          </cell>
          <cell r="S421">
            <v>1042564.11</v>
          </cell>
          <cell r="T421">
            <v>3597083.9299999997</v>
          </cell>
        </row>
        <row r="422">
          <cell r="A422" t="str">
            <v>F87810G</v>
          </cell>
          <cell r="B422" t="str">
            <v>METER AND HOUSE REGU</v>
          </cell>
          <cell r="C422">
            <v>0</v>
          </cell>
          <cell r="F422">
            <v>15347.26</v>
          </cell>
          <cell r="G422">
            <v>12953.77</v>
          </cell>
          <cell r="H422">
            <v>19204.919999999998</v>
          </cell>
          <cell r="I422">
            <v>19729.8</v>
          </cell>
          <cell r="J422">
            <v>15749.43</v>
          </cell>
          <cell r="K422">
            <v>17528.45</v>
          </cell>
          <cell r="L422">
            <v>9146.08</v>
          </cell>
          <cell r="M422">
            <v>14219.18</v>
          </cell>
          <cell r="N422">
            <v>13083.25</v>
          </cell>
          <cell r="O422">
            <v>11872.65</v>
          </cell>
          <cell r="P422">
            <v>148834.78999999998</v>
          </cell>
          <cell r="R422" t="str">
            <v>F87810G</v>
          </cell>
          <cell r="S422">
            <v>148834.79</v>
          </cell>
          <cell r="T422">
            <v>148834.78999999998</v>
          </cell>
        </row>
        <row r="423">
          <cell r="A423" t="str">
            <v>F87820G</v>
          </cell>
          <cell r="B423" t="str">
            <v>METER AND HOUSE REGU</v>
          </cell>
          <cell r="C423">
            <v>0</v>
          </cell>
          <cell r="F423">
            <v>192004.89</v>
          </cell>
          <cell r="G423">
            <v>151594</v>
          </cell>
          <cell r="H423">
            <v>152751.84</v>
          </cell>
          <cell r="I423">
            <v>174849.9</v>
          </cell>
          <cell r="J423">
            <v>165451.47</v>
          </cell>
          <cell r="K423">
            <v>197023.52</v>
          </cell>
          <cell r="L423">
            <v>145099.63</v>
          </cell>
          <cell r="M423">
            <v>134245.78</v>
          </cell>
          <cell r="N423">
            <v>140891.84</v>
          </cell>
          <cell r="O423">
            <v>109741.75999999999</v>
          </cell>
          <cell r="P423">
            <v>1563654.6300000001</v>
          </cell>
          <cell r="R423" t="str">
            <v>F87820G</v>
          </cell>
          <cell r="S423">
            <v>1563654.63</v>
          </cell>
          <cell r="T423">
            <v>1563654.6300000001</v>
          </cell>
        </row>
        <row r="424">
          <cell r="A424" t="str">
            <v>F87830G</v>
          </cell>
          <cell r="B424" t="str">
            <v>METER AND HOUSE REGU</v>
          </cell>
          <cell r="C424">
            <v>0</v>
          </cell>
          <cell r="F424">
            <v>3169.81</v>
          </cell>
          <cell r="G424">
            <v>2231.21</v>
          </cell>
          <cell r="H424">
            <v>2044.82</v>
          </cell>
          <cell r="I424">
            <v>1986.67</v>
          </cell>
          <cell r="J424">
            <v>2095.21</v>
          </cell>
          <cell r="K424">
            <v>4145.72</v>
          </cell>
          <cell r="L424">
            <v>2324.46</v>
          </cell>
          <cell r="M424">
            <v>2189.06</v>
          </cell>
          <cell r="N424">
            <v>4439.29</v>
          </cell>
          <cell r="O424">
            <v>2388.11</v>
          </cell>
          <cell r="P424">
            <v>27014.360000000004</v>
          </cell>
          <cell r="R424" t="str">
            <v>F87830G</v>
          </cell>
          <cell r="S424">
            <v>27014.36</v>
          </cell>
          <cell r="T424">
            <v>27014.360000000004</v>
          </cell>
        </row>
        <row r="425">
          <cell r="A425" t="str">
            <v>F87840G</v>
          </cell>
          <cell r="B425" t="str">
            <v>METER AND HOUSE REGU</v>
          </cell>
          <cell r="C425">
            <v>0</v>
          </cell>
          <cell r="F425">
            <v>2883.54</v>
          </cell>
          <cell r="G425">
            <v>2324.16</v>
          </cell>
          <cell r="H425">
            <v>6455.02</v>
          </cell>
          <cell r="I425">
            <v>11845.31</v>
          </cell>
          <cell r="J425">
            <v>4930.41</v>
          </cell>
          <cell r="K425">
            <v>19546.91</v>
          </cell>
          <cell r="L425">
            <v>1195.53</v>
          </cell>
          <cell r="M425">
            <v>496.1</v>
          </cell>
          <cell r="N425">
            <v>8913.7099999999991</v>
          </cell>
          <cell r="O425">
            <v>774.17</v>
          </cell>
          <cell r="P425">
            <v>59364.859999999993</v>
          </cell>
          <cell r="R425" t="str">
            <v>F87840G</v>
          </cell>
          <cell r="S425">
            <v>59364.86</v>
          </cell>
          <cell r="T425">
            <v>59364.859999999993</v>
          </cell>
        </row>
        <row r="426">
          <cell r="A426" t="str">
            <v>F87850G</v>
          </cell>
          <cell r="B426" t="str">
            <v>METER AND HOUSE REGU</v>
          </cell>
          <cell r="C426">
            <v>0</v>
          </cell>
          <cell r="F426">
            <v>3146.97</v>
          </cell>
          <cell r="G426">
            <v>2467.14</v>
          </cell>
          <cell r="H426">
            <v>2647.15</v>
          </cell>
          <cell r="I426">
            <v>2808.32</v>
          </cell>
          <cell r="J426">
            <v>3092.59</v>
          </cell>
          <cell r="K426">
            <v>3558.08</v>
          </cell>
          <cell r="L426">
            <v>2562.7800000000002</v>
          </cell>
          <cell r="M426">
            <v>2970.95</v>
          </cell>
          <cell r="N426">
            <v>3155.35</v>
          </cell>
          <cell r="O426">
            <v>4654.3900000000003</v>
          </cell>
          <cell r="P426">
            <v>31063.719999999998</v>
          </cell>
          <cell r="R426" t="str">
            <v>F87850G</v>
          </cell>
          <cell r="S426">
            <v>31063.72</v>
          </cell>
          <cell r="T426">
            <v>31063.719999999998</v>
          </cell>
        </row>
        <row r="427">
          <cell r="A427" t="str">
            <v>F87860G</v>
          </cell>
          <cell r="B427" t="str">
            <v>METER AND HOUSE REGU</v>
          </cell>
          <cell r="C427">
            <v>0</v>
          </cell>
          <cell r="F427">
            <v>9170.65</v>
          </cell>
          <cell r="G427">
            <v>7312.22</v>
          </cell>
          <cell r="H427">
            <v>3753.22</v>
          </cell>
          <cell r="I427">
            <v>5054.41</v>
          </cell>
          <cell r="J427">
            <v>1859.74</v>
          </cell>
          <cell r="K427">
            <v>4281.92</v>
          </cell>
          <cell r="L427">
            <v>2020.86</v>
          </cell>
          <cell r="M427">
            <v>600.16</v>
          </cell>
          <cell r="N427">
            <v>5307.03</v>
          </cell>
          <cell r="O427">
            <v>4956.6499999999996</v>
          </cell>
          <cell r="P427">
            <v>44316.860000000008</v>
          </cell>
          <cell r="R427" t="str">
            <v>F87860G</v>
          </cell>
          <cell r="S427">
            <v>44316.86</v>
          </cell>
          <cell r="T427">
            <v>44316.860000000008</v>
          </cell>
        </row>
        <row r="428">
          <cell r="A428" t="str">
            <v>F87900G</v>
          </cell>
          <cell r="B428" t="str">
            <v>CUSTOMER INSTALLATIONS EXPENSES</v>
          </cell>
          <cell r="C428">
            <v>8344794.6299999999</v>
          </cell>
          <cell r="D428">
            <v>817260.17</v>
          </cell>
          <cell r="E428">
            <v>469996.12</v>
          </cell>
          <cell r="F428">
            <v>302136.39</v>
          </cell>
          <cell r="G428">
            <v>232755.87</v>
          </cell>
          <cell r="H428">
            <v>237956.05</v>
          </cell>
          <cell r="I428">
            <v>257713.55</v>
          </cell>
          <cell r="J428">
            <v>162651.03</v>
          </cell>
          <cell r="K428">
            <v>172326.75</v>
          </cell>
          <cell r="L428">
            <v>128499.23</v>
          </cell>
          <cell r="M428">
            <v>104490.6</v>
          </cell>
          <cell r="N428">
            <v>90458.22</v>
          </cell>
          <cell r="O428">
            <v>1048138.39</v>
          </cell>
          <cell r="P428">
            <v>4024382.3700000006</v>
          </cell>
          <cell r="R428" t="str">
            <v>F87900G</v>
          </cell>
          <cell r="S428">
            <v>4024382.37</v>
          </cell>
          <cell r="T428">
            <v>12369177</v>
          </cell>
        </row>
        <row r="429">
          <cell r="A429" t="str">
            <v>F87910G</v>
          </cell>
          <cell r="B429" t="str">
            <v>CUSTOMER INSTALLATIO</v>
          </cell>
          <cell r="C429">
            <v>0</v>
          </cell>
          <cell r="F429">
            <v>342957.78</v>
          </cell>
          <cell r="G429">
            <v>279787.32</v>
          </cell>
          <cell r="H429">
            <v>235605.7</v>
          </cell>
          <cell r="I429">
            <v>245985.78</v>
          </cell>
          <cell r="J429">
            <v>220724.02</v>
          </cell>
          <cell r="K429">
            <v>286035.69</v>
          </cell>
          <cell r="L429">
            <v>305586.96000000002</v>
          </cell>
          <cell r="M429">
            <v>324648.48</v>
          </cell>
          <cell r="N429">
            <v>559459.86</v>
          </cell>
          <cell r="O429">
            <v>586102.67000000004</v>
          </cell>
          <cell r="P429">
            <v>3386894.26</v>
          </cell>
          <cell r="R429" t="str">
            <v>F87910G</v>
          </cell>
          <cell r="S429">
            <v>3386894.26</v>
          </cell>
          <cell r="T429">
            <v>3386894.26</v>
          </cell>
        </row>
        <row r="430">
          <cell r="A430" t="str">
            <v>F87920G</v>
          </cell>
          <cell r="B430" t="str">
            <v>CUSTOMER INSTALLATIO</v>
          </cell>
          <cell r="C430">
            <v>0</v>
          </cell>
          <cell r="F430">
            <v>10532.11</v>
          </cell>
          <cell r="G430">
            <v>6700.51</v>
          </cell>
          <cell r="H430">
            <v>13713.77</v>
          </cell>
          <cell r="I430">
            <v>14733.6</v>
          </cell>
          <cell r="J430">
            <v>15825.33</v>
          </cell>
          <cell r="K430">
            <v>21017.78</v>
          </cell>
          <cell r="L430">
            <v>5946.6</v>
          </cell>
          <cell r="M430">
            <v>8384.31</v>
          </cell>
          <cell r="N430">
            <v>7064.23</v>
          </cell>
          <cell r="O430">
            <v>11351.28</v>
          </cell>
          <cell r="P430">
            <v>115269.52</v>
          </cell>
          <cell r="R430" t="str">
            <v>F87920G</v>
          </cell>
          <cell r="S430">
            <v>115269.52</v>
          </cell>
          <cell r="T430">
            <v>115269.52</v>
          </cell>
        </row>
        <row r="431">
          <cell r="A431" t="str">
            <v>F87940G</v>
          </cell>
          <cell r="B431" t="str">
            <v>CUSTOMER INSTALLATIONS EXPENSES</v>
          </cell>
          <cell r="C431">
            <v>0</v>
          </cell>
          <cell r="F431">
            <v>0</v>
          </cell>
          <cell r="G431">
            <v>524.23</v>
          </cell>
          <cell r="H431">
            <v>0</v>
          </cell>
          <cell r="I431">
            <v>101.54</v>
          </cell>
          <cell r="N431">
            <v>0</v>
          </cell>
          <cell r="O431">
            <v>507.8</v>
          </cell>
          <cell r="P431">
            <v>1133.57</v>
          </cell>
          <cell r="R431" t="str">
            <v>F87940G</v>
          </cell>
          <cell r="S431">
            <v>1133.57</v>
          </cell>
          <cell r="T431">
            <v>1133.57</v>
          </cell>
        </row>
        <row r="432">
          <cell r="A432" t="str">
            <v>F87950G</v>
          </cell>
          <cell r="B432" t="str">
            <v>CUSTOMER INSTALLATIO</v>
          </cell>
          <cell r="C432">
            <v>0</v>
          </cell>
          <cell r="F432">
            <v>19305.93</v>
          </cell>
          <cell r="G432">
            <v>10950.19</v>
          </cell>
          <cell r="H432">
            <v>5417.03</v>
          </cell>
          <cell r="I432">
            <v>1190.29</v>
          </cell>
          <cell r="J432">
            <v>2713.18</v>
          </cell>
          <cell r="K432">
            <v>7365.55</v>
          </cell>
          <cell r="L432">
            <v>60665.56</v>
          </cell>
          <cell r="M432">
            <v>106757.72</v>
          </cell>
          <cell r="N432">
            <v>236551.74</v>
          </cell>
          <cell r="O432">
            <v>190704.67</v>
          </cell>
          <cell r="P432">
            <v>641621.86</v>
          </cell>
          <cell r="R432" t="str">
            <v>F87950G</v>
          </cell>
          <cell r="S432">
            <v>641621.86</v>
          </cell>
          <cell r="T432">
            <v>641621.86</v>
          </cell>
        </row>
        <row r="433">
          <cell r="A433" t="str">
            <v>F88000G</v>
          </cell>
          <cell r="B433" t="str">
            <v>OTHER EXPENSES</v>
          </cell>
          <cell r="C433">
            <v>1796859.74</v>
          </cell>
          <cell r="D433">
            <v>129061.69</v>
          </cell>
          <cell r="E433">
            <v>88568.49</v>
          </cell>
          <cell r="F433">
            <v>149526.95000000001</v>
          </cell>
          <cell r="G433">
            <v>149747.46</v>
          </cell>
          <cell r="H433">
            <v>149865.66</v>
          </cell>
          <cell r="I433">
            <v>203148.66</v>
          </cell>
          <cell r="J433">
            <v>185582.7</v>
          </cell>
          <cell r="K433">
            <v>200520.57</v>
          </cell>
          <cell r="L433">
            <v>192287.05</v>
          </cell>
          <cell r="M433">
            <v>135102.87</v>
          </cell>
          <cell r="N433">
            <v>92183.16</v>
          </cell>
          <cell r="O433">
            <v>101056.42</v>
          </cell>
          <cell r="P433">
            <v>1776651.68</v>
          </cell>
          <cell r="R433" t="str">
            <v>F88000G</v>
          </cell>
          <cell r="S433">
            <v>1776651.68</v>
          </cell>
          <cell r="T433">
            <v>3573511.42</v>
          </cell>
        </row>
        <row r="434">
          <cell r="A434" t="str">
            <v>F88010G</v>
          </cell>
          <cell r="B434" t="str">
            <v>MTGS/TRAINING/ETC</v>
          </cell>
          <cell r="C434">
            <v>0</v>
          </cell>
          <cell r="F434">
            <v>36129.980000000003</v>
          </cell>
          <cell r="G434">
            <v>25936.91</v>
          </cell>
          <cell r="H434">
            <v>30802.77</v>
          </cell>
          <cell r="I434">
            <v>37829.99</v>
          </cell>
          <cell r="J434">
            <v>35317.199999999997</v>
          </cell>
          <cell r="K434">
            <v>46873.5</v>
          </cell>
          <cell r="L434">
            <v>37726.74</v>
          </cell>
          <cell r="M434">
            <v>34568.78</v>
          </cell>
          <cell r="N434">
            <v>40214.89</v>
          </cell>
          <cell r="O434">
            <v>35116.22</v>
          </cell>
          <cell r="P434">
            <v>360516.98</v>
          </cell>
          <cell r="R434" t="str">
            <v>F88010G</v>
          </cell>
          <cell r="S434">
            <v>360516.98</v>
          </cell>
          <cell r="T434">
            <v>360516.98</v>
          </cell>
        </row>
        <row r="435">
          <cell r="A435" t="str">
            <v>F88030G</v>
          </cell>
          <cell r="B435" t="str">
            <v>DISPATH OFFICE</v>
          </cell>
          <cell r="C435">
            <v>0</v>
          </cell>
          <cell r="F435">
            <v>116578.5</v>
          </cell>
          <cell r="G435">
            <v>52213.04</v>
          </cell>
          <cell r="H435">
            <v>49955.27</v>
          </cell>
          <cell r="I435">
            <v>35106.839999999997</v>
          </cell>
          <cell r="J435">
            <v>23699.34</v>
          </cell>
          <cell r="K435">
            <v>41257.61</v>
          </cell>
          <cell r="L435">
            <v>55518.52</v>
          </cell>
          <cell r="M435">
            <v>40839.160000000003</v>
          </cell>
          <cell r="N435">
            <v>73902.100000000006</v>
          </cell>
          <cell r="O435">
            <v>86745.33</v>
          </cell>
          <cell r="P435">
            <v>575815.71</v>
          </cell>
          <cell r="R435" t="str">
            <v>F88030G</v>
          </cell>
          <cell r="S435">
            <v>575815.71</v>
          </cell>
          <cell r="T435">
            <v>575815.71</v>
          </cell>
        </row>
        <row r="436">
          <cell r="A436" t="str">
            <v>F88040G</v>
          </cell>
          <cell r="B436" t="str">
            <v>TECH OFFICE/DOCS /MISC. OPER. EXP.</v>
          </cell>
          <cell r="C436">
            <v>0</v>
          </cell>
          <cell r="F436">
            <v>49.59</v>
          </cell>
          <cell r="G436">
            <v>1141.32</v>
          </cell>
          <cell r="H436">
            <v>927.43</v>
          </cell>
          <cell r="I436">
            <v>6611.94</v>
          </cell>
          <cell r="J436">
            <v>94.89</v>
          </cell>
          <cell r="K436">
            <v>1161.78</v>
          </cell>
          <cell r="L436">
            <v>262.26</v>
          </cell>
          <cell r="M436">
            <v>110.19</v>
          </cell>
          <cell r="N436">
            <v>1174.8800000000001</v>
          </cell>
          <cell r="O436">
            <v>71.61</v>
          </cell>
          <cell r="P436">
            <v>11605.89</v>
          </cell>
          <cell r="R436" t="str">
            <v>F88040G</v>
          </cell>
          <cell r="S436">
            <v>11605.89</v>
          </cell>
          <cell r="T436">
            <v>11605.89</v>
          </cell>
        </row>
        <row r="437">
          <cell r="A437" t="str">
            <v>F88100G</v>
          </cell>
          <cell r="B437" t="str">
            <v>RENTS</v>
          </cell>
          <cell r="C437">
            <v>144120.44</v>
          </cell>
          <cell r="D437">
            <v>1913.7</v>
          </cell>
          <cell r="E437">
            <v>0</v>
          </cell>
          <cell r="H437">
            <v>0</v>
          </cell>
          <cell r="I437">
            <v>-675</v>
          </cell>
          <cell r="J437">
            <v>2586.59</v>
          </cell>
          <cell r="K437">
            <v>0</v>
          </cell>
          <cell r="L437">
            <v>1299.07</v>
          </cell>
          <cell r="M437">
            <v>600</v>
          </cell>
          <cell r="N437">
            <v>0</v>
          </cell>
          <cell r="O437">
            <v>9974</v>
          </cell>
          <cell r="P437">
            <v>15698.36</v>
          </cell>
          <cell r="R437" t="str">
            <v>F88100G</v>
          </cell>
          <cell r="S437">
            <v>15698.36</v>
          </cell>
          <cell r="T437">
            <v>159818.79999999999</v>
          </cell>
        </row>
        <row r="438">
          <cell r="A438" t="str">
            <v>F88500G</v>
          </cell>
          <cell r="B438" t="str">
            <v>MAINTENANCE SUPERVISION AND ENGINEERING</v>
          </cell>
          <cell r="C438">
            <v>96845.53</v>
          </cell>
          <cell r="D438">
            <v>7692.94</v>
          </cell>
          <cell r="E438">
            <v>4820.42</v>
          </cell>
          <cell r="F438">
            <v>3172.65</v>
          </cell>
          <cell r="G438">
            <v>1758.5</v>
          </cell>
          <cell r="H438">
            <v>10690.24</v>
          </cell>
          <cell r="I438">
            <v>8567.43</v>
          </cell>
          <cell r="J438">
            <v>41988.19</v>
          </cell>
          <cell r="K438">
            <v>32230.58</v>
          </cell>
          <cell r="N438">
            <v>-36441.4</v>
          </cell>
          <cell r="O438">
            <v>-6738.99</v>
          </cell>
          <cell r="P438">
            <v>67740.559999999983</v>
          </cell>
          <cell r="R438" t="str">
            <v>F88500G</v>
          </cell>
          <cell r="S438">
            <v>67740.56</v>
          </cell>
          <cell r="T438">
            <v>164586.08999999997</v>
          </cell>
        </row>
        <row r="439">
          <cell r="A439" t="str">
            <v>F88510G</v>
          </cell>
          <cell r="B439" t="str">
            <v>MAINT SUPERVISION AN</v>
          </cell>
          <cell r="C439">
            <v>0</v>
          </cell>
          <cell r="F439">
            <v>1539.04</v>
          </cell>
          <cell r="G439">
            <v>3072.44</v>
          </cell>
          <cell r="H439">
            <v>2807.07</v>
          </cell>
          <cell r="I439">
            <v>3688.11</v>
          </cell>
          <cell r="J439">
            <v>2350.0300000000002</v>
          </cell>
          <cell r="K439">
            <v>3622.38</v>
          </cell>
          <cell r="L439">
            <v>2610.06</v>
          </cell>
          <cell r="M439">
            <v>2678.6</v>
          </cell>
          <cell r="N439">
            <v>2871.16</v>
          </cell>
          <cell r="O439">
            <v>2347.58</v>
          </cell>
          <cell r="P439">
            <v>27586.47</v>
          </cell>
          <cell r="R439" t="str">
            <v>F88510G</v>
          </cell>
          <cell r="S439">
            <v>27586.47</v>
          </cell>
          <cell r="T439">
            <v>27586.47</v>
          </cell>
        </row>
        <row r="440">
          <cell r="A440" t="str">
            <v>F88520G</v>
          </cell>
          <cell r="B440" t="str">
            <v>MAINT SUPERVISION AN</v>
          </cell>
          <cell r="C440">
            <v>0</v>
          </cell>
          <cell r="F440">
            <v>3228.27</v>
          </cell>
          <cell r="G440">
            <v>2656.3</v>
          </cell>
          <cell r="H440">
            <v>3367.07</v>
          </cell>
          <cell r="I440">
            <v>4836.67</v>
          </cell>
          <cell r="J440">
            <v>4021.92</v>
          </cell>
          <cell r="K440">
            <v>5267.9</v>
          </cell>
          <cell r="L440">
            <v>4495.83</v>
          </cell>
          <cell r="M440">
            <v>4134.8100000000004</v>
          </cell>
          <cell r="N440">
            <v>3991.06</v>
          </cell>
          <cell r="O440">
            <v>2291.21</v>
          </cell>
          <cell r="P440">
            <v>38291.040000000001</v>
          </cell>
          <cell r="R440" t="str">
            <v>F88520G</v>
          </cell>
          <cell r="S440">
            <v>38291.040000000001</v>
          </cell>
          <cell r="T440">
            <v>38291.040000000001</v>
          </cell>
        </row>
        <row r="441">
          <cell r="A441" t="str">
            <v>F88600G</v>
          </cell>
          <cell r="B441" t="str">
            <v>MAINTENANCE OF STRUCTURES AND IMPROVEMENTS</v>
          </cell>
          <cell r="C441">
            <v>474.16</v>
          </cell>
          <cell r="J441">
            <v>0</v>
          </cell>
          <cell r="K441">
            <v>202.51</v>
          </cell>
          <cell r="L441">
            <v>109.96</v>
          </cell>
          <cell r="M441">
            <v>-685.76</v>
          </cell>
          <cell r="P441">
            <v>-373.29</v>
          </cell>
          <cell r="R441" t="str">
            <v>F88600G</v>
          </cell>
          <cell r="S441">
            <v>-373.29</v>
          </cell>
          <cell r="T441">
            <v>100.87</v>
          </cell>
        </row>
        <row r="442">
          <cell r="A442" t="str">
            <v>F88700G</v>
          </cell>
          <cell r="B442" t="str">
            <v>MAINTENANCE OF MAINS</v>
          </cell>
          <cell r="C442">
            <v>1789965.81</v>
          </cell>
          <cell r="D442">
            <v>164639.88</v>
          </cell>
          <cell r="E442">
            <v>113349.64</v>
          </cell>
          <cell r="F442">
            <v>131626.68</v>
          </cell>
          <cell r="G442">
            <v>11506.82</v>
          </cell>
          <cell r="H442">
            <v>32881.879999999997</v>
          </cell>
          <cell r="I442">
            <v>85253.42</v>
          </cell>
          <cell r="J442">
            <v>15603.18</v>
          </cell>
          <cell r="K442">
            <v>29275.31</v>
          </cell>
          <cell r="L442">
            <v>31702.13</v>
          </cell>
          <cell r="M442">
            <v>14059.07</v>
          </cell>
          <cell r="N442">
            <v>92756.62</v>
          </cell>
          <cell r="O442">
            <v>9742.1200000000008</v>
          </cell>
          <cell r="P442">
            <v>732396.75000000012</v>
          </cell>
          <cell r="R442" t="str">
            <v>F88700G</v>
          </cell>
          <cell r="S442">
            <v>732396.75</v>
          </cell>
          <cell r="T442">
            <v>2522362.56</v>
          </cell>
        </row>
        <row r="443">
          <cell r="A443" t="str">
            <v>F88710G</v>
          </cell>
          <cell r="B443" t="str">
            <v>CPM IMPRESSED CURRENT</v>
          </cell>
          <cell r="C443">
            <v>0</v>
          </cell>
          <cell r="F443">
            <v>8726.5</v>
          </cell>
          <cell r="G443">
            <v>19741.009999999998</v>
          </cell>
          <cell r="H443">
            <v>9190.1200000000008</v>
          </cell>
          <cell r="I443">
            <v>28488.400000000001</v>
          </cell>
          <cell r="J443">
            <v>4687.79</v>
          </cell>
          <cell r="K443">
            <v>36657.480000000003</v>
          </cell>
          <cell r="L443">
            <v>14737.94</v>
          </cell>
          <cell r="M443">
            <v>7220.9</v>
          </cell>
          <cell r="N443">
            <v>15861.34</v>
          </cell>
          <cell r="O443">
            <v>27486.38</v>
          </cell>
          <cell r="P443">
            <v>172797.86</v>
          </cell>
          <cell r="R443" t="str">
            <v>F88710G</v>
          </cell>
          <cell r="S443">
            <v>172797.86</v>
          </cell>
          <cell r="T443">
            <v>172797.86</v>
          </cell>
        </row>
        <row r="444">
          <cell r="A444" t="str">
            <v>F88720G</v>
          </cell>
          <cell r="B444" t="str">
            <v>CPM MAGNESUIM</v>
          </cell>
          <cell r="C444">
            <v>0</v>
          </cell>
          <cell r="F444">
            <v>14779.83</v>
          </cell>
          <cell r="G444">
            <v>19328.080000000002</v>
          </cell>
          <cell r="H444">
            <v>40891.49</v>
          </cell>
          <cell r="I444">
            <v>25483.66</v>
          </cell>
          <cell r="J444">
            <v>26110.31</v>
          </cell>
          <cell r="K444">
            <v>44730.37</v>
          </cell>
          <cell r="L444">
            <v>42145.42</v>
          </cell>
          <cell r="M444">
            <v>47102.17</v>
          </cell>
          <cell r="N444">
            <v>48660.19</v>
          </cell>
          <cell r="O444">
            <v>33586.019999999997</v>
          </cell>
          <cell r="P444">
            <v>342817.54</v>
          </cell>
          <cell r="R444" t="str">
            <v>F88720G</v>
          </cell>
          <cell r="S444">
            <v>342817.54</v>
          </cell>
          <cell r="T444">
            <v>342817.54</v>
          </cell>
        </row>
        <row r="445">
          <cell r="A445" t="str">
            <v>F88730G</v>
          </cell>
          <cell r="B445" t="str">
            <v>CPM 10% CP INSPECTION</v>
          </cell>
          <cell r="C445">
            <v>0</v>
          </cell>
          <cell r="F445">
            <v>59707.26</v>
          </cell>
          <cell r="G445">
            <v>43914.34</v>
          </cell>
          <cell r="H445">
            <v>49741.11</v>
          </cell>
          <cell r="I445">
            <v>47133.06</v>
          </cell>
          <cell r="J445">
            <v>46543.62</v>
          </cell>
          <cell r="K445">
            <v>61981.75</v>
          </cell>
          <cell r="L445">
            <v>46205.68</v>
          </cell>
          <cell r="M445">
            <v>48564.98</v>
          </cell>
          <cell r="N445">
            <v>52227.77</v>
          </cell>
          <cell r="O445">
            <v>36816.730000000003</v>
          </cell>
          <cell r="P445">
            <v>492836.3</v>
          </cell>
          <cell r="R445" t="str">
            <v>F88730G</v>
          </cell>
          <cell r="S445">
            <v>492836.3</v>
          </cell>
          <cell r="T445">
            <v>492836.3</v>
          </cell>
        </row>
        <row r="446">
          <cell r="A446" t="str">
            <v>F88740G</v>
          </cell>
          <cell r="B446" t="str">
            <v>MAINT OF MAINS</v>
          </cell>
          <cell r="C446">
            <v>0</v>
          </cell>
          <cell r="F446">
            <v>4075.13</v>
          </cell>
          <cell r="G446">
            <v>1723.45</v>
          </cell>
          <cell r="H446">
            <v>966.41</v>
          </cell>
          <cell r="I446">
            <v>9097.83</v>
          </cell>
          <cell r="J446">
            <v>2715.06</v>
          </cell>
          <cell r="K446">
            <v>2438.94</v>
          </cell>
          <cell r="L446">
            <v>2563.83</v>
          </cell>
          <cell r="M446">
            <v>1751.21</v>
          </cell>
          <cell r="N446">
            <v>4336.67</v>
          </cell>
          <cell r="O446">
            <v>18987.509999999998</v>
          </cell>
          <cell r="P446">
            <v>48656.039999999994</v>
          </cell>
          <cell r="R446" t="str">
            <v>F88740G</v>
          </cell>
          <cell r="S446">
            <v>48656.04</v>
          </cell>
          <cell r="T446">
            <v>48656.039999999994</v>
          </cell>
        </row>
        <row r="447">
          <cell r="A447" t="str">
            <v>F88760G</v>
          </cell>
          <cell r="B447" t="str">
            <v>MAINT OF MAINS</v>
          </cell>
          <cell r="C447">
            <v>0</v>
          </cell>
          <cell r="F447">
            <v>-576.35</v>
          </cell>
          <cell r="G447">
            <v>0</v>
          </cell>
          <cell r="P447">
            <v>-576.35</v>
          </cell>
          <cell r="R447" t="str">
            <v>F88760G</v>
          </cell>
          <cell r="S447">
            <v>-576.35</v>
          </cell>
          <cell r="T447">
            <v>-576.35</v>
          </cell>
        </row>
        <row r="448">
          <cell r="A448" t="str">
            <v>F88900G</v>
          </cell>
          <cell r="B448" t="str">
            <v>MAINTENANCE OF MEAS. AND REG. STA. EQUIP.-GENERAL</v>
          </cell>
          <cell r="C448">
            <v>77406.94</v>
          </cell>
          <cell r="D448">
            <v>6645.81</v>
          </cell>
          <cell r="E448">
            <v>2768.48</v>
          </cell>
          <cell r="F448">
            <v>2273.7800000000002</v>
          </cell>
          <cell r="G448">
            <v>1509.15</v>
          </cell>
          <cell r="H448">
            <v>2476.4499999999998</v>
          </cell>
          <cell r="I448">
            <v>1043.51</v>
          </cell>
          <cell r="J448">
            <v>1170.0999999999999</v>
          </cell>
          <cell r="K448">
            <v>6303.33</v>
          </cell>
          <cell r="L448">
            <v>5177.8</v>
          </cell>
          <cell r="M448">
            <v>7434.85</v>
          </cell>
          <cell r="N448">
            <v>3912.52</v>
          </cell>
          <cell r="O448">
            <v>1687.07</v>
          </cell>
          <cell r="P448">
            <v>42402.85</v>
          </cell>
          <cell r="R448" t="str">
            <v>F88900G</v>
          </cell>
          <cell r="S448">
            <v>42402.85</v>
          </cell>
          <cell r="T448">
            <v>119809.79000000001</v>
          </cell>
        </row>
        <row r="449">
          <cell r="A449" t="str">
            <v>F89200G</v>
          </cell>
          <cell r="B449" t="str">
            <v>MAINTENANCE OF SERVICES</v>
          </cell>
          <cell r="C449">
            <v>519640.08</v>
          </cell>
          <cell r="D449">
            <v>69838.11</v>
          </cell>
          <cell r="E449">
            <v>28263.19</v>
          </cell>
          <cell r="F449">
            <v>24969.66</v>
          </cell>
          <cell r="G449">
            <v>18055.849999999999</v>
          </cell>
          <cell r="H449">
            <v>17826.599999999999</v>
          </cell>
          <cell r="I449">
            <v>25724.98</v>
          </cell>
          <cell r="J449">
            <v>15983.44</v>
          </cell>
          <cell r="K449">
            <v>17860.439999999999</v>
          </cell>
          <cell r="L449">
            <v>15183.12</v>
          </cell>
          <cell r="M449">
            <v>13818.14</v>
          </cell>
          <cell r="N449">
            <v>40117.65</v>
          </cell>
          <cell r="O449">
            <v>26186.89</v>
          </cell>
          <cell r="P449">
            <v>313828.07000000007</v>
          </cell>
          <cell r="R449" t="str">
            <v>F89200G</v>
          </cell>
          <cell r="S449">
            <v>313828.07</v>
          </cell>
          <cell r="T449">
            <v>833468.15000000014</v>
          </cell>
        </row>
        <row r="450">
          <cell r="A450" t="str">
            <v>F89210G</v>
          </cell>
          <cell r="B450" t="str">
            <v>MAINT OF SERVICES</v>
          </cell>
          <cell r="C450">
            <v>0</v>
          </cell>
          <cell r="F450">
            <v>4412.8999999999996</v>
          </cell>
          <cell r="G450">
            <v>8284.59</v>
          </cell>
          <cell r="H450">
            <v>7446.79</v>
          </cell>
          <cell r="I450">
            <v>6885.93</v>
          </cell>
          <cell r="J450">
            <v>6714.93</v>
          </cell>
          <cell r="K450">
            <v>11357.98</v>
          </cell>
          <cell r="L450">
            <v>4545.42</v>
          </cell>
          <cell r="M450">
            <v>3796.2</v>
          </cell>
          <cell r="N450">
            <v>8285.94</v>
          </cell>
          <cell r="O450">
            <v>5049.8599999999997</v>
          </cell>
          <cell r="P450">
            <v>66780.539999999994</v>
          </cell>
          <cell r="R450" t="str">
            <v>F89210G</v>
          </cell>
          <cell r="S450">
            <v>66780.539999999994</v>
          </cell>
          <cell r="T450">
            <v>66780.539999999994</v>
          </cell>
        </row>
        <row r="451">
          <cell r="A451" t="str">
            <v>F89220G</v>
          </cell>
          <cell r="B451" t="str">
            <v>MAINT OF SERVICES</v>
          </cell>
          <cell r="C451">
            <v>0</v>
          </cell>
          <cell r="F451">
            <v>1041.8800000000001</v>
          </cell>
          <cell r="G451">
            <v>181.14</v>
          </cell>
          <cell r="J451">
            <v>145.30000000000001</v>
          </cell>
          <cell r="K451">
            <v>2630.71</v>
          </cell>
          <cell r="L451">
            <v>88.92</v>
          </cell>
          <cell r="M451">
            <v>0</v>
          </cell>
          <cell r="N451">
            <v>417.95</v>
          </cell>
          <cell r="O451">
            <v>174.85</v>
          </cell>
          <cell r="P451">
            <v>4680.75</v>
          </cell>
          <cell r="R451" t="str">
            <v>F89220G</v>
          </cell>
          <cell r="S451">
            <v>4680.75</v>
          </cell>
          <cell r="T451">
            <v>4680.75</v>
          </cell>
        </row>
        <row r="452">
          <cell r="A452" t="str">
            <v>F89230G</v>
          </cell>
          <cell r="B452" t="str">
            <v>MAINT OF SERVICES</v>
          </cell>
          <cell r="C452">
            <v>0</v>
          </cell>
          <cell r="F452">
            <v>13994.59</v>
          </cell>
          <cell r="G452">
            <v>7430.71</v>
          </cell>
          <cell r="H452">
            <v>5665.77</v>
          </cell>
          <cell r="I452">
            <v>3659.43</v>
          </cell>
          <cell r="J452">
            <v>6021.95</v>
          </cell>
          <cell r="K452">
            <v>6353.57</v>
          </cell>
          <cell r="L452">
            <v>3329.58</v>
          </cell>
          <cell r="M452">
            <v>941.32</v>
          </cell>
          <cell r="N452">
            <v>6962.58</v>
          </cell>
          <cell r="O452">
            <v>4177.2</v>
          </cell>
          <cell r="P452">
            <v>58536.7</v>
          </cell>
          <cell r="R452" t="str">
            <v>F89230G</v>
          </cell>
          <cell r="S452">
            <v>58536.7</v>
          </cell>
          <cell r="T452">
            <v>58536.7</v>
          </cell>
        </row>
        <row r="453">
          <cell r="A453" t="str">
            <v>F89300G</v>
          </cell>
          <cell r="B453" t="str">
            <v>MAINTENANCE OF METERS AND HOUSE REGULATORS</v>
          </cell>
          <cell r="C453">
            <v>508728.53</v>
          </cell>
          <cell r="D453">
            <v>55617.89</v>
          </cell>
          <cell r="E453">
            <v>35105.29</v>
          </cell>
          <cell r="F453">
            <v>5946.29</v>
          </cell>
          <cell r="G453">
            <v>6811.42</v>
          </cell>
          <cell r="H453">
            <v>152573.49</v>
          </cell>
          <cell r="I453">
            <v>15577.17</v>
          </cell>
          <cell r="J453">
            <v>7121.14</v>
          </cell>
          <cell r="K453">
            <v>45156.97</v>
          </cell>
          <cell r="L453">
            <v>29162.38</v>
          </cell>
          <cell r="M453">
            <v>27045.58</v>
          </cell>
          <cell r="N453">
            <v>23048.28</v>
          </cell>
          <cell r="O453">
            <v>17228.68</v>
          </cell>
          <cell r="P453">
            <v>420394.58</v>
          </cell>
          <cell r="R453" t="str">
            <v>F89300G</v>
          </cell>
          <cell r="S453">
            <v>420394.58</v>
          </cell>
          <cell r="T453">
            <v>929123.1100000001</v>
          </cell>
        </row>
        <row r="454">
          <cell r="A454" t="str">
            <v>F89310G</v>
          </cell>
          <cell r="B454" t="str">
            <v>MAINT OF METERS AND</v>
          </cell>
          <cell r="C454">
            <v>0</v>
          </cell>
          <cell r="F454">
            <v>12865.42</v>
          </cell>
          <cell r="G454">
            <v>11585.08</v>
          </cell>
          <cell r="H454">
            <v>12756.26</v>
          </cell>
          <cell r="I454">
            <v>17410.34</v>
          </cell>
          <cell r="J454">
            <v>12916.98</v>
          </cell>
          <cell r="K454">
            <v>16697.05</v>
          </cell>
          <cell r="L454">
            <v>10683.33</v>
          </cell>
          <cell r="M454">
            <v>11967.83</v>
          </cell>
          <cell r="N454">
            <v>15776.81</v>
          </cell>
          <cell r="O454">
            <v>3607.34</v>
          </cell>
          <cell r="P454">
            <v>126266.44</v>
          </cell>
          <cell r="R454" t="str">
            <v>F89310G</v>
          </cell>
          <cell r="S454">
            <v>126266.44</v>
          </cell>
          <cell r="T454">
            <v>126266.44</v>
          </cell>
        </row>
        <row r="455">
          <cell r="A455" t="str">
            <v>F89320G</v>
          </cell>
          <cell r="B455" t="str">
            <v>MAINT OF METERS AND</v>
          </cell>
          <cell r="C455">
            <v>0</v>
          </cell>
          <cell r="F455">
            <v>26933.97</v>
          </cell>
          <cell r="G455">
            <v>17732.259999999998</v>
          </cell>
          <cell r="H455">
            <v>20225.16</v>
          </cell>
          <cell r="I455">
            <v>19969.97</v>
          </cell>
          <cell r="J455">
            <v>14439.43</v>
          </cell>
          <cell r="K455">
            <v>21317.3</v>
          </cell>
          <cell r="L455">
            <v>10803.7</v>
          </cell>
          <cell r="M455">
            <v>12598.06</v>
          </cell>
          <cell r="N455">
            <v>12535.11</v>
          </cell>
          <cell r="O455">
            <v>16496.41</v>
          </cell>
          <cell r="P455">
            <v>173051.37000000002</v>
          </cell>
          <cell r="R455" t="str">
            <v>F89320G</v>
          </cell>
          <cell r="S455">
            <v>173051.37</v>
          </cell>
          <cell r="T455">
            <v>173051.37000000002</v>
          </cell>
        </row>
        <row r="456">
          <cell r="A456" t="str">
            <v>F89400G</v>
          </cell>
          <cell r="B456" t="str">
            <v>MAINTENANCE OF OTHER EQUIPMENT</v>
          </cell>
          <cell r="C456">
            <v>537494.73</v>
          </cell>
          <cell r="D456">
            <v>48688.480000000003</v>
          </cell>
          <cell r="E456">
            <v>24967.91</v>
          </cell>
          <cell r="F456">
            <v>38681.82</v>
          </cell>
          <cell r="G456">
            <v>28951.31</v>
          </cell>
          <cell r="H456">
            <v>30928.29</v>
          </cell>
          <cell r="I456">
            <v>26148.32</v>
          </cell>
          <cell r="J456">
            <v>63496.78</v>
          </cell>
          <cell r="K456">
            <v>58689.52</v>
          </cell>
          <cell r="L456">
            <v>44008.21</v>
          </cell>
          <cell r="M456">
            <v>61267.24</v>
          </cell>
          <cell r="N456">
            <v>54222.09</v>
          </cell>
          <cell r="O456">
            <v>77851.710000000006</v>
          </cell>
          <cell r="P456">
            <v>557901.67999999993</v>
          </cell>
          <cell r="R456" t="str">
            <v>F89400G</v>
          </cell>
          <cell r="S456">
            <v>557901.68000000005</v>
          </cell>
          <cell r="T456">
            <v>1095396.4099999999</v>
          </cell>
        </row>
        <row r="457">
          <cell r="A457" t="str">
            <v>F90100E</v>
          </cell>
          <cell r="B457" t="str">
            <v>SUPERVISION</v>
          </cell>
          <cell r="C457">
            <v>36.119999999999997</v>
          </cell>
          <cell r="F457">
            <v>-11544.34</v>
          </cell>
          <cell r="G457">
            <v>1227.94</v>
          </cell>
          <cell r="H457">
            <v>0</v>
          </cell>
          <cell r="I457">
            <v>30.61</v>
          </cell>
          <cell r="N457">
            <v>0</v>
          </cell>
          <cell r="O457">
            <v>377.46</v>
          </cell>
          <cell r="P457">
            <v>-9908.33</v>
          </cell>
          <cell r="R457" t="str">
            <v>F90100E</v>
          </cell>
          <cell r="S457">
            <v>-9908.33</v>
          </cell>
          <cell r="T457">
            <v>-9872.2099999999991</v>
          </cell>
        </row>
        <row r="458">
          <cell r="A458" t="str">
            <v>F90100G</v>
          </cell>
          <cell r="B458" t="str">
            <v>SUPERVISION</v>
          </cell>
          <cell r="C458">
            <v>19.43</v>
          </cell>
          <cell r="F458">
            <v>-6172.53</v>
          </cell>
          <cell r="G458">
            <v>656.51</v>
          </cell>
          <cell r="H458">
            <v>0</v>
          </cell>
          <cell r="I458">
            <v>16.38</v>
          </cell>
          <cell r="N458">
            <v>0</v>
          </cell>
          <cell r="O458">
            <v>201.82</v>
          </cell>
          <cell r="P458">
            <v>-5297.82</v>
          </cell>
          <cell r="R458" t="str">
            <v>F90100G</v>
          </cell>
          <cell r="S458">
            <v>-5297.82</v>
          </cell>
          <cell r="T458">
            <v>-5278.3899999999994</v>
          </cell>
        </row>
        <row r="459">
          <cell r="A459" t="str">
            <v>F90200E</v>
          </cell>
          <cell r="B459" t="str">
            <v>METER READING EXPENSES</v>
          </cell>
          <cell r="C459">
            <v>6275577.8499999996</v>
          </cell>
          <cell r="D459">
            <v>563347.01</v>
          </cell>
          <cell r="E459">
            <v>344506.02</v>
          </cell>
          <cell r="F459">
            <v>570942.01</v>
          </cell>
          <cell r="G459">
            <v>441519.98</v>
          </cell>
          <cell r="H459">
            <v>409323.15</v>
          </cell>
          <cell r="I459">
            <v>649514.42000000004</v>
          </cell>
          <cell r="J459">
            <v>411333.82</v>
          </cell>
          <cell r="K459">
            <v>622992.04</v>
          </cell>
          <cell r="L459">
            <v>441417.01</v>
          </cell>
          <cell r="M459">
            <v>507434.97</v>
          </cell>
          <cell r="N459">
            <v>510402.23</v>
          </cell>
          <cell r="O459">
            <v>787097.67</v>
          </cell>
          <cell r="P459">
            <v>6259830.3300000001</v>
          </cell>
          <cell r="R459" t="str">
            <v>F90200E</v>
          </cell>
          <cell r="S459">
            <v>6259830.3300000001</v>
          </cell>
          <cell r="T459">
            <v>12535408.18</v>
          </cell>
        </row>
        <row r="460">
          <cell r="A460" t="str">
            <v>F90200G</v>
          </cell>
          <cell r="B460" t="str">
            <v>METER READING EXPENSES</v>
          </cell>
          <cell r="C460">
            <v>3401037.53</v>
          </cell>
          <cell r="D460">
            <v>301254.67</v>
          </cell>
          <cell r="E460">
            <v>184249.99</v>
          </cell>
          <cell r="F460">
            <v>305317.26</v>
          </cell>
          <cell r="G460">
            <v>236108.12</v>
          </cell>
          <cell r="H460">
            <v>218822.2</v>
          </cell>
          <cell r="I460">
            <v>308110</v>
          </cell>
          <cell r="J460">
            <v>219305.39</v>
          </cell>
          <cell r="K460">
            <v>333358.83</v>
          </cell>
          <cell r="L460">
            <v>236018.31</v>
          </cell>
          <cell r="M460">
            <v>271354.77</v>
          </cell>
          <cell r="N460">
            <v>273116.86</v>
          </cell>
          <cell r="O460">
            <v>420918.51</v>
          </cell>
          <cell r="P460">
            <v>3307934.91</v>
          </cell>
          <cell r="R460" t="str">
            <v>F90200G</v>
          </cell>
          <cell r="S460">
            <v>3307934.91</v>
          </cell>
          <cell r="T460">
            <v>6708972.4399999995</v>
          </cell>
        </row>
        <row r="461">
          <cell r="A461" t="str">
            <v>F90210E</v>
          </cell>
          <cell r="B461" t="str">
            <v>METER READING EXPENSES</v>
          </cell>
          <cell r="C461">
            <v>0</v>
          </cell>
          <cell r="F461">
            <v>0</v>
          </cell>
          <cell r="G461">
            <v>55.1</v>
          </cell>
          <cell r="N461">
            <v>0</v>
          </cell>
          <cell r="O461">
            <v>1036.18</v>
          </cell>
          <cell r="P461">
            <v>1091.28</v>
          </cell>
          <cell r="R461" t="str">
            <v>F90210E</v>
          </cell>
          <cell r="S461">
            <v>1091.28</v>
          </cell>
          <cell r="T461">
            <v>1091.28</v>
          </cell>
        </row>
        <row r="462">
          <cell r="A462" t="str">
            <v>F90210G</v>
          </cell>
          <cell r="B462" t="str">
            <v>METER READING EXPENSES</v>
          </cell>
          <cell r="C462">
            <v>0</v>
          </cell>
          <cell r="F462">
            <v>0</v>
          </cell>
          <cell r="G462">
            <v>29.5</v>
          </cell>
          <cell r="N462">
            <v>0</v>
          </cell>
          <cell r="O462">
            <v>553.92999999999995</v>
          </cell>
          <cell r="P462">
            <v>583.42999999999995</v>
          </cell>
          <cell r="R462" t="str">
            <v>F90210G</v>
          </cell>
          <cell r="S462">
            <v>583.42999999999995</v>
          </cell>
          <cell r="T462">
            <v>583.42999999999995</v>
          </cell>
        </row>
        <row r="463">
          <cell r="A463" t="str">
            <v>F90300E</v>
          </cell>
          <cell r="B463" t="str">
            <v>CUSTOMER RECORDS AND COLLECTION EXPENSES</v>
          </cell>
          <cell r="C463">
            <v>35090497.049999997</v>
          </cell>
          <cell r="D463">
            <v>1883572.42</v>
          </cell>
          <cell r="E463">
            <v>2220263.56</v>
          </cell>
          <cell r="F463">
            <v>797067.93</v>
          </cell>
          <cell r="G463">
            <v>726698.4</v>
          </cell>
          <cell r="H463">
            <v>777293.14</v>
          </cell>
          <cell r="I463">
            <v>1026948.2</v>
          </cell>
          <cell r="J463">
            <v>846199.03</v>
          </cell>
          <cell r="K463">
            <v>1120550.8700000001</v>
          </cell>
          <cell r="L463">
            <v>917790.7</v>
          </cell>
          <cell r="M463">
            <v>1391049.69</v>
          </cell>
          <cell r="N463">
            <v>701735.16</v>
          </cell>
          <cell r="O463">
            <v>2775593.57</v>
          </cell>
          <cell r="P463">
            <v>15184762.67</v>
          </cell>
          <cell r="R463" t="str">
            <v>F90300E</v>
          </cell>
          <cell r="S463">
            <v>15184762.67</v>
          </cell>
          <cell r="T463">
            <v>50275259.719999999</v>
          </cell>
        </row>
        <row r="464">
          <cell r="A464" t="str">
            <v>F90300G</v>
          </cell>
          <cell r="B464" t="str">
            <v>CUSTOMER RECORDS AND COLLECTION EXPENSES</v>
          </cell>
          <cell r="C464">
            <v>17333070.02</v>
          </cell>
          <cell r="D464">
            <v>898711.67</v>
          </cell>
          <cell r="E464">
            <v>1114542.1000000001</v>
          </cell>
          <cell r="F464">
            <v>334830.71000000002</v>
          </cell>
          <cell r="G464">
            <v>243960.85</v>
          </cell>
          <cell r="H464">
            <v>279693.98</v>
          </cell>
          <cell r="I464">
            <v>393215.93</v>
          </cell>
          <cell r="J464">
            <v>259972.38</v>
          </cell>
          <cell r="K464">
            <v>471111.8</v>
          </cell>
          <cell r="L464">
            <v>412666.05</v>
          </cell>
          <cell r="M464">
            <v>690825.4</v>
          </cell>
          <cell r="N464">
            <v>315648.03000000003</v>
          </cell>
          <cell r="O464">
            <v>1431489.52</v>
          </cell>
          <cell r="P464">
            <v>6846668.4199999999</v>
          </cell>
          <cell r="R464" t="str">
            <v>F90300G</v>
          </cell>
          <cell r="S464">
            <v>6846668.4199999999</v>
          </cell>
          <cell r="T464">
            <v>24179738.439999998</v>
          </cell>
        </row>
        <row r="465">
          <cell r="A465" t="str">
            <v>F90310E</v>
          </cell>
          <cell r="B465" t="str">
            <v>CUSTOMER RECORDS AND</v>
          </cell>
          <cell r="C465">
            <v>0</v>
          </cell>
          <cell r="F465">
            <v>-36816.339999999997</v>
          </cell>
          <cell r="G465">
            <v>639429.62</v>
          </cell>
          <cell r="H465">
            <v>708902.48</v>
          </cell>
          <cell r="I465">
            <v>905342</v>
          </cell>
          <cell r="J465">
            <v>683872.93</v>
          </cell>
          <cell r="K465">
            <v>757964.88</v>
          </cell>
          <cell r="L465">
            <v>696930.32</v>
          </cell>
          <cell r="M465">
            <v>722148.79</v>
          </cell>
          <cell r="N465">
            <v>992514.2</v>
          </cell>
          <cell r="O465">
            <v>978641.99</v>
          </cell>
          <cell r="P465">
            <v>7048930.8700000001</v>
          </cell>
          <cell r="R465" t="str">
            <v>F90310E</v>
          </cell>
          <cell r="S465">
            <v>7048930.8700000001</v>
          </cell>
          <cell r="T465">
            <v>7048930.8700000001</v>
          </cell>
        </row>
        <row r="466">
          <cell r="A466" t="str">
            <v>F90310G</v>
          </cell>
          <cell r="B466" t="str">
            <v>CUSTOMER RECORDS AND</v>
          </cell>
          <cell r="C466">
            <v>0</v>
          </cell>
          <cell r="F466">
            <v>-46777.53</v>
          </cell>
          <cell r="G466">
            <v>332869.65000000002</v>
          </cell>
          <cell r="H466">
            <v>372178.06</v>
          </cell>
          <cell r="I466">
            <v>476460.75</v>
          </cell>
          <cell r="J466">
            <v>357844.54</v>
          </cell>
          <cell r="K466">
            <v>400400.42</v>
          </cell>
          <cell r="L466">
            <v>368065.77</v>
          </cell>
          <cell r="M466">
            <v>378875.61</v>
          </cell>
          <cell r="N466">
            <v>521450.56</v>
          </cell>
          <cell r="O466">
            <v>506522.6</v>
          </cell>
          <cell r="P466">
            <v>3667890.43</v>
          </cell>
          <cell r="R466" t="str">
            <v>F90310G</v>
          </cell>
          <cell r="S466">
            <v>3667890.43</v>
          </cell>
          <cell r="T466">
            <v>3667890.43</v>
          </cell>
        </row>
        <row r="467">
          <cell r="A467" t="str">
            <v>F90320E</v>
          </cell>
          <cell r="B467" t="str">
            <v>CUSTOMER RECORDS AND</v>
          </cell>
          <cell r="C467">
            <v>0</v>
          </cell>
          <cell r="F467">
            <v>54579.09</v>
          </cell>
          <cell r="G467">
            <v>8417.6200000000008</v>
          </cell>
          <cell r="H467">
            <v>6088.05</v>
          </cell>
          <cell r="I467">
            <v>8084.04</v>
          </cell>
          <cell r="J467">
            <v>7827.79</v>
          </cell>
          <cell r="K467">
            <v>9795.1200000000008</v>
          </cell>
          <cell r="L467">
            <v>7346.41</v>
          </cell>
          <cell r="M467">
            <v>6254.65</v>
          </cell>
          <cell r="N467">
            <v>9767.06</v>
          </cell>
          <cell r="O467">
            <v>7610.71</v>
          </cell>
          <cell r="P467">
            <v>125770.53999999998</v>
          </cell>
          <cell r="R467" t="str">
            <v>F90320E</v>
          </cell>
          <cell r="S467">
            <v>125770.54</v>
          </cell>
          <cell r="T467">
            <v>125770.53999999998</v>
          </cell>
        </row>
        <row r="468">
          <cell r="A468" t="str">
            <v>F90320G</v>
          </cell>
          <cell r="B468" t="str">
            <v>CUSTOMER RECORDS AND</v>
          </cell>
          <cell r="C468">
            <v>0</v>
          </cell>
          <cell r="F468">
            <v>29184.97</v>
          </cell>
          <cell r="G468">
            <v>4500.57</v>
          </cell>
          <cell r="H468">
            <v>3273.72</v>
          </cell>
          <cell r="I468">
            <v>4283.54</v>
          </cell>
          <cell r="J468">
            <v>4176.95</v>
          </cell>
          <cell r="K468">
            <v>5270.43</v>
          </cell>
          <cell r="L468">
            <v>3936.01</v>
          </cell>
          <cell r="M468">
            <v>3348.63</v>
          </cell>
          <cell r="N468">
            <v>5221.3900000000003</v>
          </cell>
          <cell r="O468">
            <v>4082.99</v>
          </cell>
          <cell r="P468">
            <v>67279.199999999997</v>
          </cell>
          <cell r="R468" t="str">
            <v>F90320G</v>
          </cell>
          <cell r="S468">
            <v>67279.199999999997</v>
          </cell>
          <cell r="T468">
            <v>67279.199999999997</v>
          </cell>
        </row>
        <row r="469">
          <cell r="A469" t="str">
            <v>F90330E</v>
          </cell>
          <cell r="B469" t="str">
            <v>CUSTOMER RECORDS AND</v>
          </cell>
          <cell r="C469">
            <v>0</v>
          </cell>
          <cell r="F469">
            <v>154533.59</v>
          </cell>
          <cell r="G469">
            <v>102873.58</v>
          </cell>
          <cell r="H469">
            <v>112943.59</v>
          </cell>
          <cell r="I469">
            <v>118981.21</v>
          </cell>
          <cell r="J469">
            <v>91580.53</v>
          </cell>
          <cell r="K469">
            <v>154343.76</v>
          </cell>
          <cell r="L469">
            <v>242926.92</v>
          </cell>
          <cell r="M469">
            <v>-5142.2299999999996</v>
          </cell>
          <cell r="N469">
            <v>132686.99</v>
          </cell>
          <cell r="O469">
            <v>119004.01</v>
          </cell>
          <cell r="P469">
            <v>1224731.95</v>
          </cell>
          <cell r="R469" t="str">
            <v>F90330E</v>
          </cell>
          <cell r="S469">
            <v>1224731.95</v>
          </cell>
          <cell r="T469">
            <v>1224731.95</v>
          </cell>
        </row>
        <row r="470">
          <cell r="A470" t="str">
            <v>F90330G</v>
          </cell>
          <cell r="B470" t="str">
            <v>CUSTOMER RECORDS AND</v>
          </cell>
          <cell r="C470">
            <v>0</v>
          </cell>
          <cell r="F470">
            <v>82638.720000000001</v>
          </cell>
          <cell r="G470">
            <v>55013.02</v>
          </cell>
          <cell r="H470">
            <v>60871.62</v>
          </cell>
          <cell r="I470">
            <v>63659.02</v>
          </cell>
          <cell r="J470">
            <v>48985.120000000003</v>
          </cell>
          <cell r="K470">
            <v>82565.41</v>
          </cell>
          <cell r="L470">
            <v>129935.08</v>
          </cell>
          <cell r="M470">
            <v>-2738.87</v>
          </cell>
          <cell r="N470">
            <v>71054.77</v>
          </cell>
          <cell r="O470">
            <v>63646.5</v>
          </cell>
          <cell r="P470">
            <v>655630.39</v>
          </cell>
          <cell r="R470" t="str">
            <v>F90330G</v>
          </cell>
          <cell r="S470">
            <v>655630.39</v>
          </cell>
          <cell r="T470">
            <v>655630.39</v>
          </cell>
        </row>
        <row r="471">
          <cell r="A471" t="str">
            <v>F90340E</v>
          </cell>
          <cell r="B471" t="str">
            <v>CUSTOMER RECORDS AND COLLECTION EXPENSES</v>
          </cell>
          <cell r="C471">
            <v>0</v>
          </cell>
          <cell r="F471">
            <v>43021.120000000003</v>
          </cell>
          <cell r="G471">
            <v>145484.1</v>
          </cell>
          <cell r="H471">
            <v>39840.07</v>
          </cell>
          <cell r="I471">
            <v>36721.61</v>
          </cell>
          <cell r="J471">
            <v>25219.62</v>
          </cell>
          <cell r="K471">
            <v>35037.46</v>
          </cell>
          <cell r="L471">
            <v>30133.41</v>
          </cell>
          <cell r="M471">
            <v>45995.13</v>
          </cell>
          <cell r="N471">
            <v>86455.48</v>
          </cell>
          <cell r="O471">
            <v>42186.02</v>
          </cell>
          <cell r="P471">
            <v>530094.02</v>
          </cell>
          <cell r="R471" t="str">
            <v>F90340E</v>
          </cell>
          <cell r="S471">
            <v>530094.02</v>
          </cell>
          <cell r="T471">
            <v>530094.02</v>
          </cell>
        </row>
        <row r="472">
          <cell r="A472" t="str">
            <v>F90340G</v>
          </cell>
          <cell r="B472" t="str">
            <v>CUSTOMER RECORDS AND</v>
          </cell>
          <cell r="C472">
            <v>0</v>
          </cell>
          <cell r="F472">
            <v>23006.75</v>
          </cell>
          <cell r="G472">
            <v>77798.97</v>
          </cell>
          <cell r="H472">
            <v>23343.99</v>
          </cell>
          <cell r="I472">
            <v>19717.96</v>
          </cell>
          <cell r="J472">
            <v>13676.63</v>
          </cell>
          <cell r="K472">
            <v>18858.439999999999</v>
          </cell>
          <cell r="L472">
            <v>16108.63</v>
          </cell>
          <cell r="M472">
            <v>24595.38</v>
          </cell>
          <cell r="N472">
            <v>46245.73</v>
          </cell>
          <cell r="O472">
            <v>22600.67</v>
          </cell>
          <cell r="P472">
            <v>285953.15000000002</v>
          </cell>
          <cell r="R472" t="str">
            <v>F90340G</v>
          </cell>
          <cell r="S472">
            <v>285953.15000000002</v>
          </cell>
          <cell r="T472">
            <v>285953.15000000002</v>
          </cell>
        </row>
        <row r="473">
          <cell r="A473" t="str">
            <v>F90350E</v>
          </cell>
          <cell r="B473" t="str">
            <v>CUSTOMER RECORDS AND</v>
          </cell>
          <cell r="C473">
            <v>0</v>
          </cell>
          <cell r="F473">
            <v>115777.48</v>
          </cell>
          <cell r="G473">
            <v>96199.17</v>
          </cell>
          <cell r="H473">
            <v>113166.99</v>
          </cell>
          <cell r="I473">
            <v>126065.03</v>
          </cell>
          <cell r="J473">
            <v>160740.32999999999</v>
          </cell>
          <cell r="K473">
            <v>131630.24</v>
          </cell>
          <cell r="L473">
            <v>103943.58</v>
          </cell>
          <cell r="M473">
            <v>155832.71</v>
          </cell>
          <cell r="N473">
            <v>164893.9</v>
          </cell>
          <cell r="O473">
            <v>-3398.5</v>
          </cell>
          <cell r="P473">
            <v>1164850.93</v>
          </cell>
          <cell r="R473" t="str">
            <v>F90350E</v>
          </cell>
          <cell r="S473">
            <v>1164850.93</v>
          </cell>
          <cell r="T473">
            <v>1164850.93</v>
          </cell>
        </row>
        <row r="474">
          <cell r="A474" t="str">
            <v>F90350G</v>
          </cell>
          <cell r="B474" t="str">
            <v>CUSTOMER RECORDS AND</v>
          </cell>
          <cell r="C474">
            <v>0</v>
          </cell>
          <cell r="F474">
            <v>57438.07</v>
          </cell>
          <cell r="G474">
            <v>47410.62</v>
          </cell>
          <cell r="H474">
            <v>55994.82</v>
          </cell>
          <cell r="I474">
            <v>61842.12</v>
          </cell>
          <cell r="J474">
            <v>81467.360000000001</v>
          </cell>
          <cell r="K474">
            <v>64317.58</v>
          </cell>
          <cell r="L474">
            <v>56154.2</v>
          </cell>
          <cell r="M474">
            <v>78743.350000000006</v>
          </cell>
          <cell r="N474">
            <v>80994.11</v>
          </cell>
          <cell r="O474">
            <v>-6527.54</v>
          </cell>
          <cell r="P474">
            <v>577834.68999999994</v>
          </cell>
          <cell r="R474" t="str">
            <v>F90350G</v>
          </cell>
          <cell r="S474">
            <v>577834.68999999994</v>
          </cell>
          <cell r="T474">
            <v>577834.68999999994</v>
          </cell>
        </row>
        <row r="475">
          <cell r="A475" t="str">
            <v>F90360E</v>
          </cell>
          <cell r="B475" t="str">
            <v>CUSTOMER RECORDS AND COLLECTION EXPENSES</v>
          </cell>
          <cell r="C475">
            <v>0</v>
          </cell>
          <cell r="F475">
            <v>-176127.77</v>
          </cell>
          <cell r="G475">
            <v>0</v>
          </cell>
          <cell r="P475">
            <v>-176127.77</v>
          </cell>
          <cell r="R475" t="str">
            <v>F90360E</v>
          </cell>
          <cell r="S475">
            <v>-176127.77</v>
          </cell>
          <cell r="T475">
            <v>-176127.77</v>
          </cell>
        </row>
        <row r="476">
          <cell r="A476" t="str">
            <v>F90360G</v>
          </cell>
          <cell r="B476" t="str">
            <v>CUSTOMER RECORDS AND</v>
          </cell>
          <cell r="C476">
            <v>0</v>
          </cell>
          <cell r="F476">
            <v>-94228.800000000003</v>
          </cell>
          <cell r="G476">
            <v>0</v>
          </cell>
          <cell r="P476">
            <v>-94228.800000000003</v>
          </cell>
          <cell r="R476" t="str">
            <v>F90360G</v>
          </cell>
          <cell r="S476">
            <v>-94228.800000000003</v>
          </cell>
          <cell r="T476">
            <v>-94228.800000000003</v>
          </cell>
        </row>
        <row r="477">
          <cell r="A477" t="str">
            <v>F90370E</v>
          </cell>
          <cell r="B477" t="str">
            <v>CUSTOMER RECORDS AND COLLECTION EXPENSES</v>
          </cell>
          <cell r="C477">
            <v>0</v>
          </cell>
          <cell r="F477">
            <v>12219.93</v>
          </cell>
          <cell r="G477">
            <v>4027.22</v>
          </cell>
          <cell r="H477">
            <v>50981.39</v>
          </cell>
          <cell r="I477">
            <v>3730.92</v>
          </cell>
          <cell r="J477">
            <v>7067.65</v>
          </cell>
          <cell r="K477">
            <v>0</v>
          </cell>
          <cell r="P477">
            <v>78027.109999999986</v>
          </cell>
          <cell r="R477" t="str">
            <v>F90370E</v>
          </cell>
          <cell r="S477">
            <v>78027.11</v>
          </cell>
          <cell r="T477">
            <v>78027.109999999986</v>
          </cell>
        </row>
        <row r="478">
          <cell r="A478" t="str">
            <v>F90370G</v>
          </cell>
          <cell r="B478" t="str">
            <v>CUSTOMER RECORDS AND COLLECTION EXPENSES</v>
          </cell>
          <cell r="C478">
            <v>0</v>
          </cell>
          <cell r="F478">
            <v>6529.96</v>
          </cell>
          <cell r="G478">
            <v>2153.5100000000002</v>
          </cell>
          <cell r="H478">
            <v>27255.17</v>
          </cell>
          <cell r="I478">
            <v>1995.11</v>
          </cell>
          <cell r="J478">
            <v>3779.5</v>
          </cell>
          <cell r="K478">
            <v>0</v>
          </cell>
          <cell r="P478">
            <v>41713.25</v>
          </cell>
          <cell r="R478" t="str">
            <v>F90370G</v>
          </cell>
          <cell r="S478">
            <v>41713.25</v>
          </cell>
          <cell r="T478">
            <v>41713.25</v>
          </cell>
        </row>
        <row r="479">
          <cell r="A479" t="str">
            <v>F90380E</v>
          </cell>
          <cell r="B479" t="str">
            <v>CUSTOMER RECORDS AND</v>
          </cell>
          <cell r="C479">
            <v>0</v>
          </cell>
          <cell r="F479">
            <v>20115.349999999999</v>
          </cell>
          <cell r="G479">
            <v>17152.580000000002</v>
          </cell>
          <cell r="H479">
            <v>18324.22</v>
          </cell>
          <cell r="I479">
            <v>21314.9</v>
          </cell>
          <cell r="J479">
            <v>16476.54</v>
          </cell>
          <cell r="K479">
            <v>23995.919999999998</v>
          </cell>
          <cell r="L479">
            <v>15355.56</v>
          </cell>
          <cell r="M479">
            <v>16537.89</v>
          </cell>
          <cell r="N479">
            <v>17820.939999999999</v>
          </cell>
          <cell r="O479">
            <v>18405.8</v>
          </cell>
          <cell r="P479">
            <v>185499.7</v>
          </cell>
          <cell r="R479" t="str">
            <v>F90380E</v>
          </cell>
          <cell r="S479">
            <v>185499.7</v>
          </cell>
          <cell r="T479">
            <v>185499.7</v>
          </cell>
        </row>
        <row r="480">
          <cell r="A480" t="str">
            <v>F90380G</v>
          </cell>
          <cell r="B480" t="str">
            <v>CUSTOMER RECORDS AND</v>
          </cell>
          <cell r="C480">
            <v>0</v>
          </cell>
          <cell r="F480">
            <v>10756.7</v>
          </cell>
          <cell r="G480">
            <v>9172.3799999999992</v>
          </cell>
          <cell r="H480">
            <v>9803.81</v>
          </cell>
          <cell r="I480">
            <v>11401.32</v>
          </cell>
          <cell r="J480">
            <v>8815.75</v>
          </cell>
          <cell r="K480">
            <v>12837.38</v>
          </cell>
          <cell r="L480">
            <v>8218.2999999999993</v>
          </cell>
          <cell r="M480">
            <v>8844.31</v>
          </cell>
          <cell r="N480">
            <v>9532.76</v>
          </cell>
          <cell r="O480">
            <v>9845.15</v>
          </cell>
          <cell r="P480">
            <v>99227.859999999986</v>
          </cell>
          <cell r="R480" t="str">
            <v>F90380G</v>
          </cell>
          <cell r="S480">
            <v>99227.86</v>
          </cell>
          <cell r="T480">
            <v>99227.859999999986</v>
          </cell>
        </row>
        <row r="481">
          <cell r="A481" t="str">
            <v>F90390E</v>
          </cell>
          <cell r="B481" t="str">
            <v>CUSTOMER RECORDS AND COLLECTION EXPENSES</v>
          </cell>
          <cell r="C481">
            <v>0</v>
          </cell>
          <cell r="F481">
            <v>6591.09</v>
          </cell>
          <cell r="G481">
            <v>1811.07</v>
          </cell>
          <cell r="H481">
            <v>1260.83</v>
          </cell>
          <cell r="I481">
            <v>0</v>
          </cell>
          <cell r="P481">
            <v>9662.99</v>
          </cell>
          <cell r="R481" t="str">
            <v>F90390E</v>
          </cell>
          <cell r="S481">
            <v>9662.99</v>
          </cell>
          <cell r="T481">
            <v>9662.99</v>
          </cell>
        </row>
        <row r="482">
          <cell r="A482" t="str">
            <v>F90400E</v>
          </cell>
          <cell r="B482" t="str">
            <v>UNCOLLECTIBLE ACCOUNTS</v>
          </cell>
          <cell r="C482">
            <v>5932795.8399999999</v>
          </cell>
          <cell r="D482">
            <v>305480.09000000003</v>
          </cell>
          <cell r="E482">
            <v>324373.45</v>
          </cell>
          <cell r="F482">
            <v>-3513.63</v>
          </cell>
          <cell r="G482">
            <v>444008.86</v>
          </cell>
          <cell r="H482">
            <v>238777.37</v>
          </cell>
          <cell r="I482">
            <v>63768.87</v>
          </cell>
          <cell r="J482">
            <v>340905</v>
          </cell>
          <cell r="K482">
            <v>313335.01</v>
          </cell>
          <cell r="L482">
            <v>358711.44</v>
          </cell>
          <cell r="M482">
            <v>240837</v>
          </cell>
          <cell r="N482">
            <v>185515.2</v>
          </cell>
          <cell r="O482">
            <v>-338719</v>
          </cell>
          <cell r="P482">
            <v>2473479.6600000006</v>
          </cell>
          <cell r="R482" t="str">
            <v>F90400E</v>
          </cell>
          <cell r="S482">
            <v>2473479.66</v>
          </cell>
          <cell r="T482">
            <v>8406275.5</v>
          </cell>
        </row>
        <row r="483">
          <cell r="A483" t="str">
            <v>F90400G</v>
          </cell>
          <cell r="B483" t="str">
            <v>UNCOLLECTIBLE ACCOUNTS</v>
          </cell>
          <cell r="C483">
            <v>1294289.21</v>
          </cell>
          <cell r="D483">
            <v>66369.14</v>
          </cell>
          <cell r="E483">
            <v>74999.92</v>
          </cell>
          <cell r="F483">
            <v>240584</v>
          </cell>
          <cell r="G483">
            <v>-145469</v>
          </cell>
          <cell r="H483">
            <v>47649.09</v>
          </cell>
          <cell r="I483">
            <v>286657.63</v>
          </cell>
          <cell r="J483">
            <v>75508</v>
          </cell>
          <cell r="K483">
            <v>68109.23</v>
          </cell>
          <cell r="L483">
            <v>-194186</v>
          </cell>
          <cell r="M483">
            <v>53361</v>
          </cell>
          <cell r="N483">
            <v>38310.74</v>
          </cell>
          <cell r="O483">
            <v>1</v>
          </cell>
          <cell r="P483">
            <v>611894.75</v>
          </cell>
          <cell r="R483" t="str">
            <v>F90400G</v>
          </cell>
          <cell r="S483">
            <v>611894.75</v>
          </cell>
          <cell r="T483">
            <v>1906183.96</v>
          </cell>
        </row>
        <row r="484">
          <cell r="A484" t="str">
            <v>F90500E</v>
          </cell>
          <cell r="B484" t="str">
            <v>MISCELLANEOUS CUSTOMER ACCOUNTS EXPENSES</v>
          </cell>
          <cell r="C484">
            <v>8594.06</v>
          </cell>
          <cell r="D484">
            <v>17.37</v>
          </cell>
          <cell r="E484">
            <v>0</v>
          </cell>
          <cell r="F484">
            <v>3028.1</v>
          </cell>
          <cell r="G484">
            <v>189.59</v>
          </cell>
          <cell r="H484">
            <v>63020.58</v>
          </cell>
          <cell r="I484">
            <v>2708.77</v>
          </cell>
          <cell r="J484">
            <v>1653.91</v>
          </cell>
          <cell r="K484">
            <v>1624.16</v>
          </cell>
          <cell r="L484">
            <v>-41203.93</v>
          </cell>
          <cell r="M484">
            <v>366.01</v>
          </cell>
          <cell r="N484">
            <v>0</v>
          </cell>
          <cell r="O484">
            <v>16536.77</v>
          </cell>
          <cell r="P484">
            <v>47941.330000000009</v>
          </cell>
          <cell r="R484" t="str">
            <v>F90500E</v>
          </cell>
          <cell r="S484">
            <v>47941.33</v>
          </cell>
          <cell r="T484">
            <v>56535.390000000007</v>
          </cell>
        </row>
        <row r="485">
          <cell r="A485" t="str">
            <v>F90500G</v>
          </cell>
          <cell r="B485" t="str">
            <v>MISCELLANEOUS CUSTOMER ACCOUNTS EXPENSES</v>
          </cell>
          <cell r="C485">
            <v>47.88</v>
          </cell>
          <cell r="F485">
            <v>1619.42</v>
          </cell>
          <cell r="G485">
            <v>101.38</v>
          </cell>
          <cell r="H485">
            <v>33700.720000000001</v>
          </cell>
          <cell r="I485">
            <v>1448.84</v>
          </cell>
          <cell r="J485">
            <v>884.44</v>
          </cell>
          <cell r="K485">
            <v>868.11</v>
          </cell>
          <cell r="L485">
            <v>-22034.29</v>
          </cell>
          <cell r="M485">
            <v>195.68</v>
          </cell>
          <cell r="N485">
            <v>0</v>
          </cell>
          <cell r="O485">
            <v>1641.72</v>
          </cell>
          <cell r="P485">
            <v>18426.020000000004</v>
          </cell>
          <cell r="R485" t="str">
            <v>F90500G</v>
          </cell>
          <cell r="S485">
            <v>18426.02</v>
          </cell>
          <cell r="T485">
            <v>18473.900000000005</v>
          </cell>
        </row>
        <row r="486">
          <cell r="A486" t="str">
            <v>F90700C</v>
          </cell>
          <cell r="B486" t="str">
            <v>SUPERVISION</v>
          </cell>
          <cell r="C486">
            <v>0</v>
          </cell>
          <cell r="F486">
            <v>4944.83</v>
          </cell>
          <cell r="G486">
            <v>-193.99</v>
          </cell>
          <cell r="H486">
            <v>-0.01</v>
          </cell>
          <cell r="I486">
            <v>1380.7</v>
          </cell>
          <cell r="J486">
            <v>390.31</v>
          </cell>
          <cell r="K486">
            <v>119.35</v>
          </cell>
          <cell r="L486">
            <v>151.66</v>
          </cell>
          <cell r="M486">
            <v>-221.32</v>
          </cell>
          <cell r="N486">
            <v>1019.49</v>
          </cell>
          <cell r="O486">
            <v>2626.94</v>
          </cell>
          <cell r="P486">
            <v>10217.960000000001</v>
          </cell>
          <cell r="R486" t="str">
            <v>F90700C</v>
          </cell>
          <cell r="S486">
            <v>10217.959999999999</v>
          </cell>
          <cell r="T486">
            <v>10217.960000000001</v>
          </cell>
        </row>
        <row r="487">
          <cell r="A487" t="str">
            <v>F90700E</v>
          </cell>
          <cell r="B487" t="str">
            <v>SUPERVISION</v>
          </cell>
          <cell r="C487">
            <v>481090.61</v>
          </cell>
          <cell r="D487">
            <v>23850.720000000001</v>
          </cell>
          <cell r="E487">
            <v>19386.099999999999</v>
          </cell>
          <cell r="F487">
            <v>9997</v>
          </cell>
          <cell r="G487">
            <v>-8242.69</v>
          </cell>
          <cell r="H487">
            <v>24661.13</v>
          </cell>
          <cell r="I487">
            <v>32036.93</v>
          </cell>
          <cell r="J487">
            <v>9017.9</v>
          </cell>
          <cell r="K487">
            <v>7662.31</v>
          </cell>
          <cell r="L487">
            <v>18837.11</v>
          </cell>
          <cell r="M487">
            <v>14999.38</v>
          </cell>
          <cell r="N487">
            <v>14011.93</v>
          </cell>
          <cell r="O487">
            <v>42715.74</v>
          </cell>
          <cell r="P487">
            <v>208933.56</v>
          </cell>
          <cell r="R487" t="str">
            <v>F90700E</v>
          </cell>
          <cell r="S487">
            <v>208933.56</v>
          </cell>
          <cell r="T487">
            <v>690024.16999999993</v>
          </cell>
        </row>
        <row r="488">
          <cell r="A488" t="str">
            <v>F90700G</v>
          </cell>
          <cell r="B488" t="str">
            <v>SUPERVISION</v>
          </cell>
          <cell r="C488">
            <v>89397.03</v>
          </cell>
          <cell r="D488">
            <v>4206.0600000000004</v>
          </cell>
          <cell r="E488">
            <v>3200.9</v>
          </cell>
          <cell r="F488">
            <v>3023.34</v>
          </cell>
          <cell r="G488">
            <v>652.11</v>
          </cell>
          <cell r="H488">
            <v>20647.240000000002</v>
          </cell>
          <cell r="I488">
            <v>29578.83</v>
          </cell>
          <cell r="J488">
            <v>9017.76</v>
          </cell>
          <cell r="K488">
            <v>13457.98</v>
          </cell>
          <cell r="L488">
            <v>13929.93</v>
          </cell>
          <cell r="M488">
            <v>15295.73</v>
          </cell>
          <cell r="N488">
            <v>14011.86</v>
          </cell>
          <cell r="O488">
            <v>21409.73</v>
          </cell>
          <cell r="P488">
            <v>148431.47</v>
          </cell>
          <cell r="R488" t="str">
            <v>F90700G</v>
          </cell>
          <cell r="S488">
            <v>148431.47</v>
          </cell>
          <cell r="T488">
            <v>237828.5</v>
          </cell>
        </row>
        <row r="489">
          <cell r="A489" t="str">
            <v>F90710C</v>
          </cell>
          <cell r="B489" t="str">
            <v>SUPERVISION</v>
          </cell>
          <cell r="F489">
            <v>0</v>
          </cell>
          <cell r="G489">
            <v>212.06</v>
          </cell>
          <cell r="H489">
            <v>0</v>
          </cell>
          <cell r="I489">
            <v>56.3</v>
          </cell>
          <cell r="J489">
            <v>394.24</v>
          </cell>
          <cell r="K489">
            <v>98.56</v>
          </cell>
          <cell r="P489">
            <v>761.16000000000008</v>
          </cell>
          <cell r="R489" t="str">
            <v>F90710C</v>
          </cell>
          <cell r="S489">
            <v>761.16</v>
          </cell>
          <cell r="T489">
            <v>761.16000000000008</v>
          </cell>
        </row>
        <row r="490">
          <cell r="A490" t="str">
            <v>F90800C</v>
          </cell>
          <cell r="B490" t="str">
            <v>CUSTOMER ASSISTANCE EXPENSES</v>
          </cell>
          <cell r="F490">
            <v>12724.68</v>
          </cell>
          <cell r="G490">
            <v>105805.71</v>
          </cell>
          <cell r="H490">
            <v>797.88</v>
          </cell>
          <cell r="I490">
            <v>19653.7</v>
          </cell>
          <cell r="J490">
            <v>6457.78</v>
          </cell>
          <cell r="K490">
            <v>-1458.2</v>
          </cell>
          <cell r="L490">
            <v>5445.55</v>
          </cell>
          <cell r="M490">
            <v>-110609.71</v>
          </cell>
          <cell r="N490">
            <v>1690.39</v>
          </cell>
          <cell r="O490">
            <v>-29039.200000000001</v>
          </cell>
          <cell r="P490">
            <v>11468.579999999998</v>
          </cell>
          <cell r="R490" t="str">
            <v>F90800C</v>
          </cell>
          <cell r="S490">
            <v>11468.58</v>
          </cell>
          <cell r="T490">
            <v>11468.579999999998</v>
          </cell>
        </row>
        <row r="491">
          <cell r="A491" t="str">
            <v>F90800E</v>
          </cell>
          <cell r="B491" t="str">
            <v>CUSTOMER ASSISTANCE EXPENSES</v>
          </cell>
          <cell r="C491">
            <v>21466113.23</v>
          </cell>
          <cell r="D491">
            <v>363834.25</v>
          </cell>
          <cell r="E491">
            <v>188751.34</v>
          </cell>
          <cell r="F491">
            <v>51101.13</v>
          </cell>
          <cell r="G491">
            <v>668867.56999999995</v>
          </cell>
          <cell r="H491">
            <v>519131.06</v>
          </cell>
          <cell r="I491">
            <v>-461146.36</v>
          </cell>
          <cell r="J491">
            <v>2242883.21</v>
          </cell>
          <cell r="K491">
            <v>1221700.78</v>
          </cell>
          <cell r="L491">
            <v>1140108.8600000001</v>
          </cell>
          <cell r="M491">
            <v>1163753.97</v>
          </cell>
          <cell r="N491">
            <v>2726713.73</v>
          </cell>
          <cell r="O491">
            <v>10424407.470000001</v>
          </cell>
          <cell r="P491">
            <v>20250107.010000002</v>
          </cell>
          <cell r="R491" t="str">
            <v>F90800E</v>
          </cell>
          <cell r="S491">
            <v>20250107.010000002</v>
          </cell>
          <cell r="T491">
            <v>41716220.240000002</v>
          </cell>
        </row>
        <row r="492">
          <cell r="A492" t="str">
            <v>F90800G</v>
          </cell>
          <cell r="B492" t="str">
            <v>CUSTOMER ASSISTANCE EXPENSES</v>
          </cell>
          <cell r="C492">
            <v>7266986.3799999999</v>
          </cell>
          <cell r="D492">
            <v>109918.56</v>
          </cell>
          <cell r="E492">
            <v>119820.71</v>
          </cell>
          <cell r="F492">
            <v>428176.41</v>
          </cell>
          <cell r="G492">
            <v>373790.83</v>
          </cell>
          <cell r="H492">
            <v>407465.84</v>
          </cell>
          <cell r="I492">
            <v>394274.91</v>
          </cell>
          <cell r="J492">
            <v>351163.41</v>
          </cell>
          <cell r="K492">
            <v>600059.1</v>
          </cell>
          <cell r="L492">
            <v>613744.67000000004</v>
          </cell>
          <cell r="M492">
            <v>621267.26</v>
          </cell>
          <cell r="N492">
            <v>651476.06000000006</v>
          </cell>
          <cell r="O492">
            <v>3563284.63</v>
          </cell>
          <cell r="P492">
            <v>8234442.3899999997</v>
          </cell>
          <cell r="R492" t="str">
            <v>F90800G</v>
          </cell>
          <cell r="S492">
            <v>8234442.3899999997</v>
          </cell>
          <cell r="T492">
            <v>15501428.77</v>
          </cell>
        </row>
        <row r="493">
          <cell r="A493" t="str">
            <v>F90900C</v>
          </cell>
          <cell r="B493" t="str">
            <v>INFORMATIONAL AND INSTRUCTIONAL EXPENSES</v>
          </cell>
          <cell r="F493">
            <v>19.2</v>
          </cell>
          <cell r="G493">
            <v>0</v>
          </cell>
          <cell r="P493">
            <v>19.2</v>
          </cell>
          <cell r="R493" t="str">
            <v>F90900C</v>
          </cell>
          <cell r="S493">
            <v>19.2</v>
          </cell>
          <cell r="T493">
            <v>19.2</v>
          </cell>
        </row>
        <row r="494">
          <cell r="A494" t="str">
            <v>F90900E</v>
          </cell>
          <cell r="B494" t="str">
            <v>INFORMATIONAL AND INSTRUCTIONAL EXPENSE</v>
          </cell>
          <cell r="C494">
            <v>51355.01</v>
          </cell>
          <cell r="P494">
            <v>0</v>
          </cell>
          <cell r="T494">
            <v>51355.01</v>
          </cell>
        </row>
        <row r="495">
          <cell r="A495" t="str">
            <v>F90900G</v>
          </cell>
          <cell r="B495" t="str">
            <v>INFORMATIONAL AND INSTRUCTIONAL EXPENSE</v>
          </cell>
          <cell r="C495">
            <v>12663.35</v>
          </cell>
          <cell r="P495">
            <v>0</v>
          </cell>
          <cell r="T495">
            <v>12663.35</v>
          </cell>
        </row>
        <row r="496">
          <cell r="A496" t="str">
            <v>F91000C</v>
          </cell>
          <cell r="B496" t="str">
            <v>MISCELLANEOUS CUSTOMER SERV AND INFORMATIONAL EXPE</v>
          </cell>
          <cell r="F496">
            <v>26504.22</v>
          </cell>
          <cell r="G496">
            <v>-567.29</v>
          </cell>
          <cell r="H496">
            <v>1126.81</v>
          </cell>
          <cell r="I496">
            <v>402.07</v>
          </cell>
          <cell r="J496">
            <v>381.5</v>
          </cell>
          <cell r="K496">
            <v>-12177.68</v>
          </cell>
          <cell r="L496">
            <v>112.13</v>
          </cell>
          <cell r="M496">
            <v>-439.49</v>
          </cell>
          <cell r="N496">
            <v>147.84</v>
          </cell>
          <cell r="O496">
            <v>881.44</v>
          </cell>
          <cell r="P496">
            <v>16371.550000000001</v>
          </cell>
          <cell r="R496" t="str">
            <v>F91000C</v>
          </cell>
          <cell r="S496">
            <v>16371.55</v>
          </cell>
          <cell r="T496">
            <v>16371.550000000001</v>
          </cell>
        </row>
        <row r="497">
          <cell r="A497" t="str">
            <v>F91000E</v>
          </cell>
          <cell r="B497" t="str">
            <v>MISCELLANEOUS CUSTOMER SERV AND INFORMATIONAL EXPE</v>
          </cell>
          <cell r="C497">
            <v>8774716.3800000008</v>
          </cell>
          <cell r="D497">
            <v>659207.65</v>
          </cell>
          <cell r="E497">
            <v>290040.76</v>
          </cell>
          <cell r="F497">
            <v>205548.79999999999</v>
          </cell>
          <cell r="G497">
            <v>394073.8</v>
          </cell>
          <cell r="H497">
            <v>267918.61</v>
          </cell>
          <cell r="I497">
            <v>383028.94</v>
          </cell>
          <cell r="J497">
            <v>320220.77</v>
          </cell>
          <cell r="K497">
            <v>1369243.49</v>
          </cell>
          <cell r="L497">
            <v>-696241.78</v>
          </cell>
          <cell r="M497">
            <v>253704.5</v>
          </cell>
          <cell r="N497">
            <v>184378.28</v>
          </cell>
          <cell r="O497">
            <v>1222025.07</v>
          </cell>
          <cell r="P497">
            <v>4853148.8899999997</v>
          </cell>
          <cell r="R497" t="str">
            <v>F91000E</v>
          </cell>
          <cell r="S497">
            <v>4853148.8899999997</v>
          </cell>
          <cell r="T497">
            <v>13627865.27</v>
          </cell>
        </row>
        <row r="498">
          <cell r="A498" t="str">
            <v>F91000G</v>
          </cell>
          <cell r="B498" t="str">
            <v>MISCELLANEOUS CUSTOMER SERV AND INFORMATIONAL EXPE</v>
          </cell>
          <cell r="C498">
            <v>782254.7</v>
          </cell>
          <cell r="D498">
            <v>117325.38</v>
          </cell>
          <cell r="E498">
            <v>17444.63</v>
          </cell>
          <cell r="F498">
            <v>45231.99</v>
          </cell>
          <cell r="G498">
            <v>163496.4</v>
          </cell>
          <cell r="H498">
            <v>75840.320000000007</v>
          </cell>
          <cell r="I498">
            <v>44929.22</v>
          </cell>
          <cell r="J498">
            <v>86066.73</v>
          </cell>
          <cell r="K498">
            <v>26489.26</v>
          </cell>
          <cell r="L498">
            <v>21326.15</v>
          </cell>
          <cell r="M498">
            <v>31573.5</v>
          </cell>
          <cell r="N498">
            <v>38490.480000000003</v>
          </cell>
          <cell r="O498">
            <v>230864.83</v>
          </cell>
          <cell r="P498">
            <v>899078.89</v>
          </cell>
          <cell r="R498" t="str">
            <v>F91000G</v>
          </cell>
          <cell r="S498">
            <v>899078.89</v>
          </cell>
          <cell r="T498">
            <v>1681333.5899999999</v>
          </cell>
        </row>
        <row r="499">
          <cell r="A499" t="str">
            <v>F91020C</v>
          </cell>
          <cell r="B499" t="str">
            <v>MISCELLANEOUS CUSTOMER SERV AND INFORMATIONAL EXPE</v>
          </cell>
          <cell r="F499">
            <v>832.58</v>
          </cell>
          <cell r="G499">
            <v>550.19000000000005</v>
          </cell>
          <cell r="H499">
            <v>109.12</v>
          </cell>
          <cell r="I499">
            <v>0</v>
          </cell>
          <cell r="N499">
            <v>363.44</v>
          </cell>
          <cell r="O499">
            <v>476.26</v>
          </cell>
          <cell r="P499">
            <v>2331.59</v>
          </cell>
          <cell r="R499" t="str">
            <v>F91020C</v>
          </cell>
          <cell r="S499">
            <v>2331.59</v>
          </cell>
          <cell r="T499">
            <v>2331.59</v>
          </cell>
        </row>
        <row r="500">
          <cell r="A500" t="str">
            <v>F91020E</v>
          </cell>
          <cell r="B500" t="str">
            <v>MISC CUSTOMER SERVIC</v>
          </cell>
          <cell r="C500">
            <v>0</v>
          </cell>
          <cell r="F500">
            <v>18765.29</v>
          </cell>
          <cell r="G500">
            <v>11083.19</v>
          </cell>
          <cell r="H500">
            <v>-7565.93</v>
          </cell>
          <cell r="I500">
            <v>2367.16</v>
          </cell>
          <cell r="J500">
            <v>-1262.1300000000001</v>
          </cell>
          <cell r="K500">
            <v>3154</v>
          </cell>
          <cell r="L500">
            <v>4169.24</v>
          </cell>
          <cell r="M500">
            <v>3755.77</v>
          </cell>
          <cell r="N500">
            <v>0</v>
          </cell>
          <cell r="O500">
            <v>4166.05</v>
          </cell>
          <cell r="P500">
            <v>38632.639999999999</v>
          </cell>
          <cell r="R500" t="str">
            <v>F91020E</v>
          </cell>
          <cell r="S500">
            <v>38632.639999999999</v>
          </cell>
          <cell r="T500">
            <v>38632.639999999999</v>
          </cell>
        </row>
        <row r="501">
          <cell r="A501" t="str">
            <v>F91020G</v>
          </cell>
          <cell r="B501" t="str">
            <v>MISC CUSTOMER SERVIC</v>
          </cell>
          <cell r="C501">
            <v>0</v>
          </cell>
          <cell r="P501">
            <v>0</v>
          </cell>
          <cell r="T501">
            <v>0</v>
          </cell>
        </row>
        <row r="502">
          <cell r="A502" t="str">
            <v>F91080E</v>
          </cell>
          <cell r="B502" t="str">
            <v>MISCELLANEOUS CUSTOMER SERV AND INFORMATIONAL EXPE</v>
          </cell>
          <cell r="C502">
            <v>0</v>
          </cell>
          <cell r="H502">
            <v>420.27</v>
          </cell>
          <cell r="I502">
            <v>43.5</v>
          </cell>
          <cell r="L502">
            <v>14.03</v>
          </cell>
          <cell r="M502">
            <v>0</v>
          </cell>
          <cell r="N502">
            <v>232.14</v>
          </cell>
          <cell r="O502">
            <v>130.57</v>
          </cell>
          <cell r="P502">
            <v>840.51</v>
          </cell>
          <cell r="R502" t="str">
            <v>F91080E</v>
          </cell>
          <cell r="S502">
            <v>840.51</v>
          </cell>
          <cell r="T502">
            <v>840.51</v>
          </cell>
        </row>
        <row r="503">
          <cell r="A503" t="str">
            <v>F91200C</v>
          </cell>
          <cell r="B503" t="str">
            <v>DEMONSTRATING AND SELLING EXPENSES</v>
          </cell>
          <cell r="N503">
            <v>0</v>
          </cell>
          <cell r="O503">
            <v>91.64</v>
          </cell>
          <cell r="P503">
            <v>91.64</v>
          </cell>
          <cell r="R503" t="str">
            <v>F91200C</v>
          </cell>
          <cell r="S503">
            <v>91.64</v>
          </cell>
          <cell r="T503">
            <v>91.64</v>
          </cell>
        </row>
        <row r="504">
          <cell r="A504" t="str">
            <v>F91200E</v>
          </cell>
          <cell r="B504" t="str">
            <v>DEMONSTRATING AND SELLING EXPENSES</v>
          </cell>
          <cell r="C504">
            <v>20336.189999999999</v>
          </cell>
          <cell r="D504">
            <v>0</v>
          </cell>
          <cell r="E504">
            <v>0</v>
          </cell>
          <cell r="J504">
            <v>8338.4699999999993</v>
          </cell>
          <cell r="K504">
            <v>0</v>
          </cell>
          <cell r="P504">
            <v>8338.4699999999993</v>
          </cell>
          <cell r="R504" t="str">
            <v>F91200E</v>
          </cell>
          <cell r="S504">
            <v>8338.4699999999993</v>
          </cell>
          <cell r="T504">
            <v>28674.659999999996</v>
          </cell>
        </row>
        <row r="505">
          <cell r="A505" t="str">
            <v>F91200G</v>
          </cell>
          <cell r="B505" t="str">
            <v>DEMONSTRATING AND SELLING EXPENSES</v>
          </cell>
          <cell r="C505">
            <v>6842.01</v>
          </cell>
          <cell r="P505">
            <v>0</v>
          </cell>
          <cell r="T505">
            <v>6842.01</v>
          </cell>
        </row>
        <row r="506">
          <cell r="A506" t="str">
            <v>F91300C</v>
          </cell>
          <cell r="B506" t="str">
            <v>ADVERTISING EXPENSES</v>
          </cell>
          <cell r="F506">
            <v>3312.39</v>
          </cell>
          <cell r="G506">
            <v>33359.21</v>
          </cell>
          <cell r="H506">
            <v>445.57</v>
          </cell>
          <cell r="I506">
            <v>0</v>
          </cell>
          <cell r="J506">
            <v>0</v>
          </cell>
          <cell r="K506">
            <v>-3412.57</v>
          </cell>
          <cell r="L506">
            <v>333.9</v>
          </cell>
          <cell r="M506">
            <v>418.67</v>
          </cell>
          <cell r="N506">
            <v>0</v>
          </cell>
          <cell r="O506">
            <v>465.43</v>
          </cell>
          <cell r="P506">
            <v>34922.6</v>
          </cell>
          <cell r="R506" t="str">
            <v>F91300C</v>
          </cell>
          <cell r="S506">
            <v>34922.6</v>
          </cell>
          <cell r="T506">
            <v>34922.6</v>
          </cell>
        </row>
        <row r="507">
          <cell r="A507" t="str">
            <v>F91600E</v>
          </cell>
          <cell r="B507" t="str">
            <v>MISCELLANEOUS SALES EXPENSES</v>
          </cell>
          <cell r="C507">
            <v>12547.48</v>
          </cell>
          <cell r="J507">
            <v>-107000</v>
          </cell>
          <cell r="K507">
            <v>0</v>
          </cell>
          <cell r="P507">
            <v>-107000</v>
          </cell>
          <cell r="R507" t="str">
            <v>F91600E</v>
          </cell>
          <cell r="S507">
            <v>-107000</v>
          </cell>
          <cell r="T507">
            <v>-94452.52</v>
          </cell>
        </row>
        <row r="508">
          <cell r="A508" t="str">
            <v>F91600G</v>
          </cell>
          <cell r="B508" t="str">
            <v>MISCELLANEOUS SALES EXPENSES</v>
          </cell>
          <cell r="C508">
            <v>3094.09</v>
          </cell>
          <cell r="P508">
            <v>0</v>
          </cell>
          <cell r="T508">
            <v>3094.09</v>
          </cell>
        </row>
        <row r="509">
          <cell r="A509" t="str">
            <v>F92000C</v>
          </cell>
          <cell r="B509" t="str">
            <v>ADMINISTRATIVE AND GENERAL SALARIES</v>
          </cell>
          <cell r="C509">
            <v>0</v>
          </cell>
          <cell r="F509">
            <v>375843.72</v>
          </cell>
          <cell r="G509">
            <v>2740702.28</v>
          </cell>
          <cell r="H509">
            <v>-3098844</v>
          </cell>
          <cell r="I509">
            <v>31603.01</v>
          </cell>
          <cell r="J509">
            <v>-1616.4</v>
          </cell>
          <cell r="K509">
            <v>1116</v>
          </cell>
          <cell r="L509">
            <v>-31405.18</v>
          </cell>
          <cell r="M509">
            <v>85935</v>
          </cell>
          <cell r="N509">
            <v>-88359.92</v>
          </cell>
          <cell r="O509">
            <v>317412.19</v>
          </cell>
          <cell r="P509">
            <v>332386.7</v>
          </cell>
          <cell r="R509" t="str">
            <v>F92000C</v>
          </cell>
          <cell r="S509">
            <v>332386.7</v>
          </cell>
          <cell r="T509">
            <v>332386.7</v>
          </cell>
        </row>
        <row r="510">
          <cell r="A510" t="str">
            <v>F92000E</v>
          </cell>
          <cell r="B510" t="str">
            <v>ADMINISTRATIVE AND GENERAL SALARIES</v>
          </cell>
          <cell r="C510">
            <v>25902828.16</v>
          </cell>
          <cell r="D510">
            <v>616230.93000000005</v>
          </cell>
          <cell r="E510">
            <v>544377.25</v>
          </cell>
          <cell r="F510">
            <v>698674.84</v>
          </cell>
          <cell r="G510">
            <v>380449.1</v>
          </cell>
          <cell r="H510">
            <v>1090591.76</v>
          </cell>
          <cell r="I510">
            <v>777040.46</v>
          </cell>
          <cell r="J510">
            <v>638931.67000000004</v>
          </cell>
          <cell r="K510">
            <v>278504.55</v>
          </cell>
          <cell r="L510">
            <v>2144394.98</v>
          </cell>
          <cell r="M510">
            <v>396858.7</v>
          </cell>
          <cell r="N510">
            <v>831782.67</v>
          </cell>
          <cell r="O510">
            <v>1438823.35</v>
          </cell>
          <cell r="P510">
            <v>9836660.2599999998</v>
          </cell>
          <cell r="R510" t="str">
            <v>F92000E</v>
          </cell>
          <cell r="S510">
            <v>9836660.2599999998</v>
          </cell>
          <cell r="T510">
            <v>35739488.420000002</v>
          </cell>
        </row>
        <row r="511">
          <cell r="A511" t="str">
            <v>F92000G</v>
          </cell>
          <cell r="B511" t="str">
            <v>ADMINISTRATIVE AND GENERAL SALARIES</v>
          </cell>
          <cell r="C511">
            <v>9100378.2300000004</v>
          </cell>
          <cell r="D511">
            <v>197348.99</v>
          </cell>
          <cell r="E511">
            <v>173884.02</v>
          </cell>
          <cell r="F511">
            <v>220239.59</v>
          </cell>
          <cell r="G511">
            <v>120412.31</v>
          </cell>
          <cell r="H511">
            <v>188905.68</v>
          </cell>
          <cell r="I511">
            <v>242418.47</v>
          </cell>
          <cell r="J511">
            <v>182549.5</v>
          </cell>
          <cell r="K511">
            <v>244247.86</v>
          </cell>
          <cell r="L511">
            <v>224005.85</v>
          </cell>
          <cell r="M511">
            <v>214058.13</v>
          </cell>
          <cell r="N511">
            <v>267405.11</v>
          </cell>
          <cell r="O511">
            <v>311281.84000000003</v>
          </cell>
          <cell r="P511">
            <v>2586757.3499999996</v>
          </cell>
          <cell r="R511" t="str">
            <v>F92000G</v>
          </cell>
          <cell r="S511">
            <v>2586757.35</v>
          </cell>
          <cell r="T511">
            <v>11687135.58</v>
          </cell>
        </row>
        <row r="512">
          <cell r="A512" t="str">
            <v>F92090E</v>
          </cell>
          <cell r="B512" t="str">
            <v>ADMINISTRATIVE AND GENERAL SALARIES</v>
          </cell>
          <cell r="F512">
            <v>748040.67</v>
          </cell>
          <cell r="G512">
            <v>0</v>
          </cell>
          <cell r="P512">
            <v>748040.67</v>
          </cell>
          <cell r="R512" t="str">
            <v>F92090E</v>
          </cell>
          <cell r="S512">
            <v>748040.67</v>
          </cell>
          <cell r="T512">
            <v>748040.67</v>
          </cell>
        </row>
        <row r="513">
          <cell r="A513" t="str">
            <v>F92090G</v>
          </cell>
          <cell r="B513" t="str">
            <v>ADMINISTRATIVE AND G</v>
          </cell>
          <cell r="F513">
            <v>241153.73</v>
          </cell>
          <cell r="G513">
            <v>0</v>
          </cell>
          <cell r="P513">
            <v>241153.73</v>
          </cell>
          <cell r="R513" t="str">
            <v>F92090G</v>
          </cell>
          <cell r="S513">
            <v>241153.73</v>
          </cell>
          <cell r="T513">
            <v>241153.73</v>
          </cell>
        </row>
        <row r="514">
          <cell r="A514" t="str">
            <v>F92100C</v>
          </cell>
          <cell r="B514" t="str">
            <v>OFFICE SUPPLIES AND EXPENSES</v>
          </cell>
          <cell r="C514">
            <v>0</v>
          </cell>
          <cell r="F514">
            <v>-864333.49</v>
          </cell>
          <cell r="G514">
            <v>2231082.5699999998</v>
          </cell>
          <cell r="H514">
            <v>-1078122.78</v>
          </cell>
          <cell r="I514">
            <v>362256.05</v>
          </cell>
          <cell r="J514">
            <v>-748988.62</v>
          </cell>
          <cell r="K514">
            <v>105716.72</v>
          </cell>
          <cell r="L514">
            <v>120444.1</v>
          </cell>
          <cell r="M514">
            <v>4063.9</v>
          </cell>
          <cell r="N514">
            <v>10202.969999999999</v>
          </cell>
          <cell r="O514">
            <v>3890638.03</v>
          </cell>
          <cell r="P514">
            <v>4032959.4499999997</v>
          </cell>
          <cell r="R514" t="str">
            <v>F92100C</v>
          </cell>
          <cell r="S514">
            <v>4032959.45</v>
          </cell>
          <cell r="T514">
            <v>4032959.4499999997</v>
          </cell>
        </row>
        <row r="515">
          <cell r="A515" t="str">
            <v>F92100E</v>
          </cell>
          <cell r="B515" t="str">
            <v>OFFICE SUPPLIES AND EXPENSES</v>
          </cell>
          <cell r="C515">
            <v>41231468.329999998</v>
          </cell>
          <cell r="D515">
            <v>3212243.85</v>
          </cell>
          <cell r="E515">
            <v>3782252.42</v>
          </cell>
          <cell r="F515">
            <v>5354095.47</v>
          </cell>
          <cell r="G515">
            <v>5170306.3</v>
          </cell>
          <cell r="H515">
            <v>5167270.25</v>
          </cell>
          <cell r="I515">
            <v>6317278.1900000004</v>
          </cell>
          <cell r="J515">
            <v>5635084.5999999996</v>
          </cell>
          <cell r="K515">
            <v>3833513.17</v>
          </cell>
          <cell r="L515">
            <v>4956096.96</v>
          </cell>
          <cell r="M515">
            <v>5456176.1299999999</v>
          </cell>
          <cell r="N515">
            <v>4594454.9400000004</v>
          </cell>
          <cell r="O515">
            <v>2510695.6</v>
          </cell>
          <cell r="P515">
            <v>55989467.880000003</v>
          </cell>
          <cell r="R515" t="str">
            <v>F92100E</v>
          </cell>
          <cell r="S515">
            <v>55989467.879999995</v>
          </cell>
          <cell r="T515">
            <v>97220936.210000008</v>
          </cell>
        </row>
        <row r="516">
          <cell r="A516" t="str">
            <v>F92100G</v>
          </cell>
          <cell r="B516" t="str">
            <v>OFFICE SUPPLIES AND EXPENSES</v>
          </cell>
          <cell r="C516">
            <v>14502012.380000001</v>
          </cell>
          <cell r="D516">
            <v>1034862.53</v>
          </cell>
          <cell r="E516">
            <v>1215119.22</v>
          </cell>
          <cell r="F516">
            <v>1719863.25</v>
          </cell>
          <cell r="G516">
            <v>1661150</v>
          </cell>
          <cell r="H516">
            <v>1674678.45</v>
          </cell>
          <cell r="I516">
            <v>2035769.75</v>
          </cell>
          <cell r="J516">
            <v>1815402.63</v>
          </cell>
          <cell r="K516">
            <v>1236272.99</v>
          </cell>
          <cell r="L516">
            <v>1597040.75</v>
          </cell>
          <cell r="M516">
            <v>1754564.68</v>
          </cell>
          <cell r="N516">
            <v>1444929.44</v>
          </cell>
          <cell r="O516">
            <v>721874.94</v>
          </cell>
          <cell r="P516">
            <v>17911528.629999999</v>
          </cell>
          <cell r="R516" t="str">
            <v>F92100G</v>
          </cell>
          <cell r="S516">
            <v>17911528.630000003</v>
          </cell>
          <cell r="T516">
            <v>32413541.009999998</v>
          </cell>
        </row>
        <row r="517">
          <cell r="A517" t="str">
            <v>F92101C</v>
          </cell>
          <cell r="B517" t="str">
            <v>OFFICE SUPPLIES AND EXPENSES - FLOW ADJ</v>
          </cell>
          <cell r="F517">
            <v>-468251.4</v>
          </cell>
          <cell r="G517">
            <v>-667.39</v>
          </cell>
          <cell r="H517">
            <v>0.6</v>
          </cell>
          <cell r="I517">
            <v>-0.04</v>
          </cell>
          <cell r="J517">
            <v>-6</v>
          </cell>
          <cell r="K517">
            <v>20319.98</v>
          </cell>
          <cell r="L517">
            <v>-20.329999999999998</v>
          </cell>
          <cell r="M517">
            <v>-2247.7800000000002</v>
          </cell>
          <cell r="N517">
            <v>9958.2800000000007</v>
          </cell>
          <cell r="O517">
            <v>-7633.43</v>
          </cell>
          <cell r="P517">
            <v>-448547.51000000007</v>
          </cell>
          <cell r="R517" t="str">
            <v>F92101C</v>
          </cell>
          <cell r="S517">
            <v>-448547.51</v>
          </cell>
          <cell r="T517">
            <v>-448547.51000000007</v>
          </cell>
        </row>
        <row r="518">
          <cell r="A518" t="str">
            <v>F92120E</v>
          </cell>
          <cell r="B518" t="str">
            <v>OFFICE SUPPLIES AND EXPENSES</v>
          </cell>
          <cell r="C518">
            <v>0</v>
          </cell>
          <cell r="F518">
            <v>26315.9</v>
          </cell>
          <cell r="G518">
            <v>55.77</v>
          </cell>
          <cell r="H518">
            <v>0</v>
          </cell>
          <cell r="I518">
            <v>2344.61</v>
          </cell>
          <cell r="J518">
            <v>46.21</v>
          </cell>
          <cell r="K518">
            <v>476.69</v>
          </cell>
          <cell r="L518">
            <v>-64419.42</v>
          </cell>
          <cell r="M518">
            <v>307.02999999999997</v>
          </cell>
          <cell r="N518">
            <v>0</v>
          </cell>
          <cell r="O518">
            <v>207.22</v>
          </cell>
          <cell r="P518">
            <v>-34665.99</v>
          </cell>
          <cell r="R518" t="str">
            <v>F92120E</v>
          </cell>
          <cell r="S518">
            <v>-34665.99</v>
          </cell>
          <cell r="T518">
            <v>-34665.99</v>
          </cell>
        </row>
        <row r="519">
          <cell r="A519" t="str">
            <v>F92120G</v>
          </cell>
          <cell r="B519" t="str">
            <v>OFFICE SUPPLIES AND</v>
          </cell>
          <cell r="C519">
            <v>0</v>
          </cell>
          <cell r="F519">
            <v>8484.4699999999993</v>
          </cell>
          <cell r="G519">
            <v>17.98</v>
          </cell>
          <cell r="H519">
            <v>0</v>
          </cell>
          <cell r="I519">
            <v>765.5</v>
          </cell>
          <cell r="J519">
            <v>14.89</v>
          </cell>
          <cell r="K519">
            <v>153.68</v>
          </cell>
          <cell r="L519">
            <v>-20764.68</v>
          </cell>
          <cell r="M519">
            <v>98.98</v>
          </cell>
          <cell r="N519">
            <v>0</v>
          </cell>
          <cell r="O519">
            <v>66.81</v>
          </cell>
          <cell r="P519">
            <v>-11162.370000000003</v>
          </cell>
          <cell r="R519" t="str">
            <v>F92120G</v>
          </cell>
          <cell r="S519">
            <v>-11162.37</v>
          </cell>
          <cell r="T519">
            <v>-11162.370000000003</v>
          </cell>
        </row>
        <row r="520">
          <cell r="A520" t="str">
            <v>F92140E</v>
          </cell>
          <cell r="B520" t="str">
            <v>OFFICE SUPPLIES AND EXPENSES</v>
          </cell>
          <cell r="C520">
            <v>0</v>
          </cell>
          <cell r="F520">
            <v>-325835.18</v>
          </cell>
          <cell r="G520">
            <v>-795257.27</v>
          </cell>
          <cell r="H520">
            <v>921013.07</v>
          </cell>
          <cell r="I520">
            <v>360597.76000000001</v>
          </cell>
          <cell r="J520">
            <v>24517</v>
          </cell>
          <cell r="K520">
            <v>-314064.49</v>
          </cell>
          <cell r="L520">
            <v>-864919.2</v>
          </cell>
          <cell r="M520">
            <v>-741219.94</v>
          </cell>
          <cell r="N520">
            <v>-412551.19</v>
          </cell>
          <cell r="O520">
            <v>352765.21</v>
          </cell>
          <cell r="P520">
            <v>-1794954.23</v>
          </cell>
          <cell r="R520" t="str">
            <v>F92140E</v>
          </cell>
          <cell r="S520">
            <v>-1794954.23</v>
          </cell>
          <cell r="T520">
            <v>-1794954.23</v>
          </cell>
        </row>
        <row r="521">
          <cell r="A521" t="str">
            <v>F92140G</v>
          </cell>
          <cell r="B521" t="str">
            <v>OFFICE SUPPLIES AND</v>
          </cell>
          <cell r="C521">
            <v>0</v>
          </cell>
          <cell r="F521">
            <v>182211.93</v>
          </cell>
          <cell r="G521">
            <v>592980.81000000006</v>
          </cell>
          <cell r="H521">
            <v>569320.66</v>
          </cell>
          <cell r="I521">
            <v>217447.99</v>
          </cell>
          <cell r="J521">
            <v>259637.35</v>
          </cell>
          <cell r="K521">
            <v>184567.87</v>
          </cell>
          <cell r="L521">
            <v>-1157787.93</v>
          </cell>
          <cell r="M521">
            <v>-2022412.11</v>
          </cell>
          <cell r="N521">
            <v>-283214.5</v>
          </cell>
          <cell r="O521">
            <v>123591.1</v>
          </cell>
          <cell r="P521">
            <v>-1333656.83</v>
          </cell>
          <cell r="R521" t="str">
            <v>F92140G</v>
          </cell>
          <cell r="S521">
            <v>-1333656.83</v>
          </cell>
          <cell r="T521">
            <v>-1333656.83</v>
          </cell>
        </row>
        <row r="522">
          <cell r="A522" t="str">
            <v>F92190E</v>
          </cell>
          <cell r="B522" t="str">
            <v>OFFICE SUPPLIES AND EXPENSES-OFFSET ADJS</v>
          </cell>
          <cell r="F522">
            <v>-1310445.55</v>
          </cell>
          <cell r="G522">
            <v>0</v>
          </cell>
          <cell r="H522">
            <v>0</v>
          </cell>
          <cell r="I522">
            <v>-589390</v>
          </cell>
          <cell r="L522">
            <v>0</v>
          </cell>
          <cell r="M522">
            <v>50816.18</v>
          </cell>
          <cell r="P522">
            <v>-1849019.37</v>
          </cell>
          <cell r="R522" t="str">
            <v>F92190E</v>
          </cell>
          <cell r="S522">
            <v>-1849019.37</v>
          </cell>
          <cell r="T522">
            <v>-1849019.37</v>
          </cell>
        </row>
        <row r="523">
          <cell r="A523" t="str">
            <v>F92190G</v>
          </cell>
          <cell r="B523" t="str">
            <v>OFFICE SUPPLIES AND EXPENSES-OFFSET ADJS</v>
          </cell>
          <cell r="F523">
            <v>-422482.45</v>
          </cell>
          <cell r="G523">
            <v>0</v>
          </cell>
          <cell r="H523">
            <v>0</v>
          </cell>
          <cell r="I523">
            <v>-190010</v>
          </cell>
          <cell r="L523">
            <v>0</v>
          </cell>
          <cell r="M523">
            <v>16359.41</v>
          </cell>
          <cell r="P523">
            <v>-596133.03999999992</v>
          </cell>
          <cell r="R523" t="str">
            <v>F92190G</v>
          </cell>
          <cell r="S523">
            <v>-596133.04</v>
          </cell>
          <cell r="T523">
            <v>-596133.03999999992</v>
          </cell>
        </row>
        <row r="524">
          <cell r="A524" t="str">
            <v>F92200C</v>
          </cell>
          <cell r="B524" t="str">
            <v>ADMINISTRATIVE EXPENSES TRANSFERRED-CREDIT</v>
          </cell>
          <cell r="C524">
            <v>0</v>
          </cell>
          <cell r="F524">
            <v>-620527.24</v>
          </cell>
          <cell r="G524">
            <v>620526.07999999996</v>
          </cell>
          <cell r="P524">
            <v>-1.1600000000325963</v>
          </cell>
          <cell r="R524" t="str">
            <v>F92200C</v>
          </cell>
          <cell r="S524">
            <v>-1.1599999999999999</v>
          </cell>
          <cell r="T524">
            <v>-1.1600000000325963</v>
          </cell>
        </row>
        <row r="525">
          <cell r="A525" t="str">
            <v>F92200E</v>
          </cell>
          <cell r="B525" t="str">
            <v>ADMINISTRATIVE EXPENSES TRANSFERRED-CREDIT</v>
          </cell>
          <cell r="C525">
            <v>-13090367.91</v>
          </cell>
          <cell r="D525">
            <v>-1983158.8</v>
          </cell>
          <cell r="E525">
            <v>-709348.12</v>
          </cell>
          <cell r="F525">
            <v>-2853.84</v>
          </cell>
          <cell r="G525">
            <v>-469247.73</v>
          </cell>
          <cell r="H525">
            <v>-563281.15</v>
          </cell>
          <cell r="I525">
            <v>0</v>
          </cell>
          <cell r="L525">
            <v>0</v>
          </cell>
          <cell r="M525">
            <v>3488.29</v>
          </cell>
          <cell r="P525">
            <v>-3724401.3499999996</v>
          </cell>
          <cell r="R525" t="str">
            <v>F92200E</v>
          </cell>
          <cell r="S525">
            <v>-3724401.35</v>
          </cell>
          <cell r="T525">
            <v>-16814769.259999998</v>
          </cell>
        </row>
        <row r="526">
          <cell r="A526" t="str">
            <v>F92200G</v>
          </cell>
          <cell r="B526" t="str">
            <v>ADMINISTRATIVE EXPENSES TRANSFERRED-CREDIT</v>
          </cell>
          <cell r="C526">
            <v>-4919904.0599999996</v>
          </cell>
          <cell r="D526">
            <v>-662372.17000000004</v>
          </cell>
          <cell r="E526">
            <v>-226550.06</v>
          </cell>
          <cell r="F526">
            <v>0</v>
          </cell>
          <cell r="G526">
            <v>-151279.26999999999</v>
          </cell>
          <cell r="H526">
            <v>-181590.37</v>
          </cell>
          <cell r="I526">
            <v>0</v>
          </cell>
          <cell r="L526">
            <v>0</v>
          </cell>
          <cell r="M526">
            <v>1124.54</v>
          </cell>
          <cell r="P526">
            <v>-1220667.33</v>
          </cell>
          <cell r="R526" t="str">
            <v>F92200G</v>
          </cell>
          <cell r="S526">
            <v>-1220667.33</v>
          </cell>
          <cell r="T526">
            <v>-6140571.3899999997</v>
          </cell>
        </row>
        <row r="527">
          <cell r="A527" t="str">
            <v>F92300C</v>
          </cell>
          <cell r="B527" t="str">
            <v>OUTSIDE SERVICES EMPLOYED</v>
          </cell>
          <cell r="C527">
            <v>0</v>
          </cell>
          <cell r="P527">
            <v>0</v>
          </cell>
          <cell r="T527">
            <v>0</v>
          </cell>
        </row>
        <row r="528">
          <cell r="A528" t="str">
            <v>F92300E</v>
          </cell>
          <cell r="B528" t="str">
            <v>OUTSIDE SERVICES EMPLOYED</v>
          </cell>
          <cell r="C528">
            <v>19519350.920000002</v>
          </cell>
          <cell r="D528">
            <v>-86212.5</v>
          </cell>
          <cell r="E528">
            <v>114173.67</v>
          </cell>
          <cell r="F528">
            <v>42450.95</v>
          </cell>
          <cell r="G528">
            <v>281662.21999999997</v>
          </cell>
          <cell r="H528">
            <v>80664.14</v>
          </cell>
          <cell r="I528">
            <v>177962.81</v>
          </cell>
          <cell r="J528">
            <v>401856.33</v>
          </cell>
          <cell r="K528">
            <v>176884.89</v>
          </cell>
          <cell r="L528">
            <v>62534.76</v>
          </cell>
          <cell r="M528">
            <v>75534.62</v>
          </cell>
          <cell r="N528">
            <v>39327.07</v>
          </cell>
          <cell r="O528">
            <v>120343.73</v>
          </cell>
          <cell r="P528">
            <v>1487182.6900000002</v>
          </cell>
          <cell r="R528" t="str">
            <v>F92300E</v>
          </cell>
          <cell r="S528">
            <v>1487182.69</v>
          </cell>
          <cell r="T528">
            <v>21006533.610000003</v>
          </cell>
        </row>
        <row r="529">
          <cell r="A529" t="str">
            <v>F92300G</v>
          </cell>
          <cell r="B529" t="str">
            <v>OUTSIDE SERVICES EMPLOYED</v>
          </cell>
          <cell r="C529">
            <v>6794315.3099999996</v>
          </cell>
          <cell r="D529">
            <v>-27498.53</v>
          </cell>
          <cell r="E529">
            <v>42160.94</v>
          </cell>
          <cell r="F529">
            <v>35271.78</v>
          </cell>
          <cell r="G529">
            <v>93312.71</v>
          </cell>
          <cell r="H529">
            <v>101275.32</v>
          </cell>
          <cell r="I529">
            <v>163982.92000000001</v>
          </cell>
          <cell r="J529">
            <v>168771.49</v>
          </cell>
          <cell r="K529">
            <v>-149.85</v>
          </cell>
          <cell r="L529">
            <v>23271.32</v>
          </cell>
          <cell r="M529">
            <v>27028.06</v>
          </cell>
          <cell r="N529">
            <v>20899.509999999998</v>
          </cell>
          <cell r="O529">
            <v>11284.72</v>
          </cell>
          <cell r="P529">
            <v>659610.39</v>
          </cell>
          <cell r="R529" t="str">
            <v>F92300G</v>
          </cell>
          <cell r="S529">
            <v>659610.39</v>
          </cell>
          <cell r="T529">
            <v>7453925.6999999993</v>
          </cell>
        </row>
        <row r="530">
          <cell r="A530" t="str">
            <v>F92400C</v>
          </cell>
          <cell r="B530" t="str">
            <v>PROPERTY INSURANCE</v>
          </cell>
          <cell r="C530">
            <v>0</v>
          </cell>
          <cell r="F530">
            <v>-402660.13</v>
          </cell>
          <cell r="G530">
            <v>401958.27</v>
          </cell>
          <cell r="H530">
            <v>709.31</v>
          </cell>
          <cell r="I530">
            <v>0</v>
          </cell>
          <cell r="P530">
            <v>7.4500000000139153</v>
          </cell>
          <cell r="R530" t="str">
            <v>F92400C</v>
          </cell>
          <cell r="S530">
            <v>7.45</v>
          </cell>
          <cell r="T530">
            <v>7.4500000000139153</v>
          </cell>
        </row>
        <row r="531">
          <cell r="A531" t="str">
            <v>F92400E</v>
          </cell>
          <cell r="B531" t="str">
            <v>PROPERTY INSURANCE</v>
          </cell>
          <cell r="C531">
            <v>-234569.81</v>
          </cell>
          <cell r="D531">
            <v>145948.31</v>
          </cell>
          <cell r="E531">
            <v>116213.53</v>
          </cell>
          <cell r="F531">
            <v>116213.17</v>
          </cell>
          <cell r="G531">
            <v>-2574374.36</v>
          </cell>
          <cell r="H531">
            <v>87420.479999999996</v>
          </cell>
          <cell r="I531">
            <v>324467.02</v>
          </cell>
          <cell r="J531">
            <v>262825.32</v>
          </cell>
          <cell r="K531">
            <v>153608.84</v>
          </cell>
          <cell r="L531">
            <v>87867.11</v>
          </cell>
          <cell r="M531">
            <v>113042.52</v>
          </cell>
          <cell r="N531">
            <v>77041.070000000007</v>
          </cell>
          <cell r="O531">
            <v>117153.1</v>
          </cell>
          <cell r="P531">
            <v>-972573.88999999978</v>
          </cell>
          <cell r="R531" t="str">
            <v>F92400E</v>
          </cell>
          <cell r="S531">
            <v>-972573.89</v>
          </cell>
          <cell r="T531">
            <v>-1207143.6999999997</v>
          </cell>
        </row>
        <row r="532">
          <cell r="A532" t="str">
            <v>F92400G</v>
          </cell>
          <cell r="B532" t="str">
            <v>PROPERTY INSURANCE</v>
          </cell>
          <cell r="C532">
            <v>125433.48</v>
          </cell>
          <cell r="D532">
            <v>8628.5300000000007</v>
          </cell>
          <cell r="E532">
            <v>6167.47</v>
          </cell>
          <cell r="F532">
            <v>6167.83</v>
          </cell>
          <cell r="G532">
            <v>8628.7099999999991</v>
          </cell>
          <cell r="H532">
            <v>6167.83</v>
          </cell>
          <cell r="I532">
            <v>12558.95</v>
          </cell>
          <cell r="J532">
            <v>61471.73</v>
          </cell>
          <cell r="K532">
            <v>31329.65</v>
          </cell>
          <cell r="L532">
            <v>5064.9399999999996</v>
          </cell>
          <cell r="M532">
            <v>13181.54</v>
          </cell>
          <cell r="N532">
            <v>-967.6</v>
          </cell>
          <cell r="O532">
            <v>2321.3200000000002</v>
          </cell>
          <cell r="P532">
            <v>160720.90000000002</v>
          </cell>
          <cell r="R532" t="str">
            <v>F92400G</v>
          </cell>
          <cell r="S532">
            <v>160720.9</v>
          </cell>
          <cell r="T532">
            <v>286154.38</v>
          </cell>
        </row>
        <row r="533">
          <cell r="A533" t="str">
            <v>F92500C</v>
          </cell>
          <cell r="B533" t="str">
            <v>INJURIES AND DAMAGES</v>
          </cell>
          <cell r="C533">
            <v>0</v>
          </cell>
          <cell r="F533">
            <v>0</v>
          </cell>
          <cell r="G533">
            <v>-34304.300000000003</v>
          </cell>
          <cell r="H533">
            <v>34312.74</v>
          </cell>
          <cell r="I533">
            <v>0</v>
          </cell>
          <cell r="N533">
            <v>0</v>
          </cell>
          <cell r="O533">
            <v>-549858.67000000004</v>
          </cell>
          <cell r="P533">
            <v>-549850.2300000001</v>
          </cell>
          <cell r="R533" t="str">
            <v>F92500C</v>
          </cell>
          <cell r="S533">
            <v>-549850.23</v>
          </cell>
          <cell r="T533">
            <v>-549850.2300000001</v>
          </cell>
        </row>
        <row r="534">
          <cell r="A534" t="str">
            <v>F92500E</v>
          </cell>
          <cell r="B534" t="str">
            <v>INJURIES AND DAMAGES</v>
          </cell>
          <cell r="C534">
            <v>4794814.16</v>
          </cell>
          <cell r="D534">
            <v>503357.47</v>
          </cell>
          <cell r="E534">
            <v>275641.24</v>
          </cell>
          <cell r="F534">
            <v>355509.33</v>
          </cell>
          <cell r="G534">
            <v>337584.25</v>
          </cell>
          <cell r="H534">
            <v>252262.47</v>
          </cell>
          <cell r="I534">
            <v>217081.94</v>
          </cell>
          <cell r="J534">
            <v>64574</v>
          </cell>
          <cell r="K534">
            <v>230034.65</v>
          </cell>
          <cell r="L534">
            <v>93290.43</v>
          </cell>
          <cell r="M534">
            <v>210512.99</v>
          </cell>
          <cell r="N534">
            <v>214218.33</v>
          </cell>
          <cell r="O534">
            <v>356464.93</v>
          </cell>
          <cell r="P534">
            <v>3110532.0300000007</v>
          </cell>
          <cell r="R534" t="str">
            <v>F92500E</v>
          </cell>
          <cell r="S534">
            <v>3110532.03</v>
          </cell>
          <cell r="T534">
            <v>7905346.1900000013</v>
          </cell>
        </row>
        <row r="535">
          <cell r="A535" t="str">
            <v>F92500G</v>
          </cell>
          <cell r="B535" t="str">
            <v>INJURIES AND DAMAGES</v>
          </cell>
          <cell r="C535">
            <v>2087041</v>
          </cell>
          <cell r="D535">
            <v>234646.71</v>
          </cell>
          <cell r="E535">
            <v>115886.25</v>
          </cell>
          <cell r="F535">
            <v>143882.15</v>
          </cell>
          <cell r="G535">
            <v>140732.24</v>
          </cell>
          <cell r="H535">
            <v>107033.38</v>
          </cell>
          <cell r="I535">
            <v>89371.62</v>
          </cell>
          <cell r="J535">
            <v>23944.46</v>
          </cell>
          <cell r="K535">
            <v>91992.79</v>
          </cell>
          <cell r="L535">
            <v>46305.2</v>
          </cell>
          <cell r="M535">
            <v>86453.53</v>
          </cell>
          <cell r="N535">
            <v>87381.41</v>
          </cell>
          <cell r="O535">
            <v>172533.6</v>
          </cell>
          <cell r="P535">
            <v>1340163.3399999999</v>
          </cell>
          <cell r="R535" t="str">
            <v>F92500G</v>
          </cell>
          <cell r="S535">
            <v>1340163.3400000001</v>
          </cell>
          <cell r="T535">
            <v>3427204.34</v>
          </cell>
        </row>
        <row r="536">
          <cell r="A536" t="str">
            <v>F92510C</v>
          </cell>
          <cell r="B536" t="str">
            <v>INJURIES AND DAMAGES - PLPD</v>
          </cell>
          <cell r="F536">
            <v>72708.67</v>
          </cell>
          <cell r="G536">
            <v>67249.789999999994</v>
          </cell>
          <cell r="H536">
            <v>59096.77</v>
          </cell>
          <cell r="I536">
            <v>84456.21</v>
          </cell>
          <cell r="J536">
            <v>56167.7</v>
          </cell>
          <cell r="K536">
            <v>74596.929999999993</v>
          </cell>
          <cell r="L536">
            <v>91191.95</v>
          </cell>
          <cell r="M536">
            <v>52427.03</v>
          </cell>
          <cell r="N536">
            <v>72734.100000000006</v>
          </cell>
          <cell r="O536">
            <v>81019.37</v>
          </cell>
          <cell r="P536">
            <v>711648.52</v>
          </cell>
          <cell r="R536" t="str">
            <v>F92510C</v>
          </cell>
          <cell r="S536">
            <v>711648.52</v>
          </cell>
          <cell r="T536">
            <v>711648.52</v>
          </cell>
        </row>
        <row r="537">
          <cell r="A537" t="str">
            <v>F92510E</v>
          </cell>
          <cell r="B537" t="str">
            <v>INJURIES AND DAMAGES</v>
          </cell>
          <cell r="C537">
            <v>0</v>
          </cell>
          <cell r="F537">
            <v>137641.81</v>
          </cell>
          <cell r="G537">
            <v>119476.85</v>
          </cell>
          <cell r="H537">
            <v>113739.13</v>
          </cell>
          <cell r="I537">
            <v>114063.93</v>
          </cell>
          <cell r="J537">
            <v>110186.77</v>
          </cell>
          <cell r="K537">
            <v>119487.15</v>
          </cell>
          <cell r="L537">
            <v>135888.57999999999</v>
          </cell>
          <cell r="M537">
            <v>151003.28</v>
          </cell>
          <cell r="N537">
            <v>158440.85</v>
          </cell>
          <cell r="O537">
            <v>133814.43</v>
          </cell>
          <cell r="P537">
            <v>1293742.78</v>
          </cell>
          <cell r="R537" t="str">
            <v>F92510E</v>
          </cell>
          <cell r="S537">
            <v>1293742.78</v>
          </cell>
          <cell r="T537">
            <v>1293742.78</v>
          </cell>
        </row>
        <row r="538">
          <cell r="A538" t="str">
            <v>F92510G</v>
          </cell>
          <cell r="B538" t="str">
            <v>INJURIES AND DAMAGES</v>
          </cell>
          <cell r="C538">
            <v>0</v>
          </cell>
          <cell r="F538">
            <v>30991.78</v>
          </cell>
          <cell r="G538">
            <v>39056.410000000003</v>
          </cell>
          <cell r="H538">
            <v>36592.089999999997</v>
          </cell>
          <cell r="I538">
            <v>36692.82</v>
          </cell>
          <cell r="J538">
            <v>41708.57</v>
          </cell>
          <cell r="K538">
            <v>45610.73</v>
          </cell>
          <cell r="L538">
            <v>52697.5</v>
          </cell>
          <cell r="M538">
            <v>59199.38</v>
          </cell>
          <cell r="N538">
            <v>42142.36</v>
          </cell>
          <cell r="O538">
            <v>47758.42</v>
          </cell>
          <cell r="P538">
            <v>432450.06</v>
          </cell>
          <cell r="R538" t="str">
            <v>F92510G</v>
          </cell>
          <cell r="S538">
            <v>432450.06</v>
          </cell>
          <cell r="T538">
            <v>432450.06</v>
          </cell>
        </row>
        <row r="539">
          <cell r="A539" t="str">
            <v>F92520E</v>
          </cell>
          <cell r="B539" t="str">
            <v>INJURIES AND DAMAGES</v>
          </cell>
          <cell r="C539">
            <v>0</v>
          </cell>
          <cell r="F539">
            <v>16992.95</v>
          </cell>
          <cell r="G539">
            <v>17957.009999999998</v>
          </cell>
          <cell r="H539">
            <v>15624.57</v>
          </cell>
          <cell r="I539">
            <v>17461.88</v>
          </cell>
          <cell r="J539">
            <v>18457.78</v>
          </cell>
          <cell r="K539">
            <v>18562.490000000002</v>
          </cell>
          <cell r="L539">
            <v>13967.21</v>
          </cell>
          <cell r="M539">
            <v>30323.21</v>
          </cell>
          <cell r="N539">
            <v>144523.51</v>
          </cell>
          <cell r="O539">
            <v>-95396.49</v>
          </cell>
          <cell r="P539">
            <v>198474.12</v>
          </cell>
          <cell r="R539" t="str">
            <v>F92520E</v>
          </cell>
          <cell r="S539">
            <v>198474.12</v>
          </cell>
          <cell r="T539">
            <v>198474.12</v>
          </cell>
        </row>
        <row r="540">
          <cell r="A540" t="str">
            <v>F92520G</v>
          </cell>
          <cell r="B540" t="str">
            <v>INJURIES AND DAMAGES</v>
          </cell>
          <cell r="C540">
            <v>0</v>
          </cell>
          <cell r="F540">
            <v>0</v>
          </cell>
          <cell r="G540">
            <v>19.5</v>
          </cell>
          <cell r="H540">
            <v>0</v>
          </cell>
          <cell r="I540">
            <v>16.36</v>
          </cell>
          <cell r="J540">
            <v>46.09</v>
          </cell>
          <cell r="K540">
            <v>24.94</v>
          </cell>
          <cell r="L540">
            <v>18.760000000000002</v>
          </cell>
          <cell r="M540">
            <v>28.34</v>
          </cell>
          <cell r="N540">
            <v>313.41000000000003</v>
          </cell>
          <cell r="O540">
            <v>64.48</v>
          </cell>
          <cell r="P540">
            <v>531.88</v>
          </cell>
          <cell r="R540" t="str">
            <v>F92520G</v>
          </cell>
          <cell r="S540">
            <v>531.88</v>
          </cell>
          <cell r="T540">
            <v>531.88</v>
          </cell>
        </row>
        <row r="541">
          <cell r="A541" t="str">
            <v>F92600C</v>
          </cell>
          <cell r="B541" t="str">
            <v>EMPLOYEE PENSIONS AND BENEFITS</v>
          </cell>
          <cell r="C541">
            <v>0</v>
          </cell>
          <cell r="F541">
            <v>2974564.9</v>
          </cell>
          <cell r="G541">
            <v>-3270708.05</v>
          </cell>
          <cell r="H541">
            <v>1460851.46</v>
          </cell>
          <cell r="I541">
            <v>-1265973.46</v>
          </cell>
          <cell r="J541">
            <v>4644676.66</v>
          </cell>
          <cell r="K541">
            <v>-762943.43</v>
          </cell>
          <cell r="L541">
            <v>450281.97</v>
          </cell>
          <cell r="M541">
            <v>-232.5</v>
          </cell>
          <cell r="N541">
            <v>393227.23</v>
          </cell>
          <cell r="O541">
            <v>3259442.21</v>
          </cell>
          <cell r="P541">
            <v>7883186.9899999993</v>
          </cell>
          <cell r="R541" t="str">
            <v>F92600C</v>
          </cell>
          <cell r="S541">
            <v>7883186.9900000002</v>
          </cell>
          <cell r="T541">
            <v>7883186.9899999993</v>
          </cell>
        </row>
        <row r="542">
          <cell r="A542" t="str">
            <v>F92600E</v>
          </cell>
          <cell r="B542" t="str">
            <v>EMPLOYEE PENSIONS AND BENEFITS</v>
          </cell>
          <cell r="C542">
            <v>21417769.120000001</v>
          </cell>
          <cell r="D542">
            <v>410868.5</v>
          </cell>
          <cell r="E542">
            <v>714832.62</v>
          </cell>
          <cell r="F542">
            <v>-506457.72</v>
          </cell>
          <cell r="G542">
            <v>-159965.51</v>
          </cell>
          <cell r="H542">
            <v>-152816.76999999999</v>
          </cell>
          <cell r="I542">
            <v>799986.78</v>
          </cell>
          <cell r="J542">
            <v>-417551.59</v>
          </cell>
          <cell r="K542">
            <v>-662652.75</v>
          </cell>
          <cell r="L542">
            <v>88659.62</v>
          </cell>
          <cell r="M542">
            <v>406490.31</v>
          </cell>
          <cell r="N542">
            <v>615954.59</v>
          </cell>
          <cell r="O542">
            <v>472481.1</v>
          </cell>
          <cell r="P542">
            <v>1609829.1800000002</v>
          </cell>
          <cell r="R542" t="str">
            <v>F92600E</v>
          </cell>
          <cell r="S542">
            <v>1609829.18</v>
          </cell>
          <cell r="T542">
            <v>23027598.300000001</v>
          </cell>
        </row>
        <row r="543">
          <cell r="A543" t="str">
            <v>F92600G</v>
          </cell>
          <cell r="B543" t="str">
            <v>EMPLOYEE PENSIONS AND BENEFITS</v>
          </cell>
          <cell r="C543">
            <v>8639691.4399999995</v>
          </cell>
          <cell r="D543">
            <v>143505.17000000001</v>
          </cell>
          <cell r="E543">
            <v>285969.07</v>
          </cell>
          <cell r="F543">
            <v>-203209.51</v>
          </cell>
          <cell r="G543">
            <v>-64580.35</v>
          </cell>
          <cell r="H543">
            <v>-60658.02</v>
          </cell>
          <cell r="I543">
            <v>319862.48</v>
          </cell>
          <cell r="J543">
            <v>-168973.18</v>
          </cell>
          <cell r="K543">
            <v>-265898.84999999998</v>
          </cell>
          <cell r="L543">
            <v>34631.589999999997</v>
          </cell>
          <cell r="M543">
            <v>162995.01</v>
          </cell>
          <cell r="N543">
            <v>246118.65</v>
          </cell>
          <cell r="O543">
            <v>188745.39</v>
          </cell>
          <cell r="P543">
            <v>618507.44999999995</v>
          </cell>
          <cell r="R543" t="str">
            <v>F92600G</v>
          </cell>
          <cell r="S543">
            <v>618507.44999999995</v>
          </cell>
          <cell r="T543">
            <v>9258198.8899999987</v>
          </cell>
        </row>
        <row r="544">
          <cell r="A544" t="str">
            <v>F92700C</v>
          </cell>
          <cell r="B544" t="str">
            <v>FRANCHISE REQUIREMENTS</v>
          </cell>
          <cell r="N544">
            <v>0</v>
          </cell>
          <cell r="O544">
            <v>43.64</v>
          </cell>
          <cell r="P544">
            <v>43.64</v>
          </cell>
          <cell r="R544" t="str">
            <v>F92700C</v>
          </cell>
          <cell r="S544">
            <v>43.64</v>
          </cell>
          <cell r="T544">
            <v>43.64</v>
          </cell>
        </row>
        <row r="545">
          <cell r="A545" t="str">
            <v>F92700E</v>
          </cell>
          <cell r="B545" t="str">
            <v>FRANCHISE REQUIREMENTS</v>
          </cell>
          <cell r="C545">
            <v>32097061.809999999</v>
          </cell>
          <cell r="D545">
            <v>2370449.29</v>
          </cell>
          <cell r="E545">
            <v>2310454.46</v>
          </cell>
          <cell r="F545">
            <v>1458510.44</v>
          </cell>
          <cell r="G545">
            <v>2194046</v>
          </cell>
          <cell r="H545">
            <v>2208038.19</v>
          </cell>
          <cell r="I545">
            <v>2539141.96</v>
          </cell>
          <cell r="J545">
            <v>2892786</v>
          </cell>
          <cell r="K545">
            <v>2736389</v>
          </cell>
          <cell r="L545">
            <v>2905010.19</v>
          </cell>
          <cell r="M545">
            <v>3136764.34</v>
          </cell>
          <cell r="N545">
            <v>2632151.2799999998</v>
          </cell>
          <cell r="O545">
            <v>2352180</v>
          </cell>
          <cell r="P545">
            <v>29735921.150000002</v>
          </cell>
          <cell r="R545" t="str">
            <v>F92700E</v>
          </cell>
          <cell r="S545">
            <v>29735921.149999999</v>
          </cell>
          <cell r="T545">
            <v>61832982.960000001</v>
          </cell>
        </row>
        <row r="546">
          <cell r="A546" t="str">
            <v>F92700G</v>
          </cell>
          <cell r="B546" t="str">
            <v>FRANCHISE REQUIREMENTS</v>
          </cell>
          <cell r="C546">
            <v>7926269.1600000001</v>
          </cell>
          <cell r="D546">
            <v>1101937.71</v>
          </cell>
          <cell r="E546">
            <v>1068351.3799999999</v>
          </cell>
          <cell r="F546">
            <v>840542.86</v>
          </cell>
          <cell r="G546">
            <v>863708</v>
          </cell>
          <cell r="H546">
            <v>644232.09</v>
          </cell>
          <cell r="I546">
            <v>546885.02</v>
          </cell>
          <cell r="J546">
            <v>482532</v>
          </cell>
          <cell r="K546">
            <v>425957</v>
          </cell>
          <cell r="L546">
            <v>507006.09</v>
          </cell>
          <cell r="M546">
            <v>458477.21</v>
          </cell>
          <cell r="N546">
            <v>571012</v>
          </cell>
          <cell r="O546">
            <v>933872</v>
          </cell>
          <cell r="P546">
            <v>8444513.3599999994</v>
          </cell>
          <cell r="R546" t="str">
            <v>F92700G</v>
          </cell>
          <cell r="S546">
            <v>8444513.3599999994</v>
          </cell>
          <cell r="T546">
            <v>16370782.52</v>
          </cell>
        </row>
        <row r="547">
          <cell r="A547" t="str">
            <v>F92800E</v>
          </cell>
          <cell r="B547" t="str">
            <v>REGULATORY COMMISSION EXPENSES</v>
          </cell>
          <cell r="C547">
            <v>6887080.7999999998</v>
          </cell>
          <cell r="D547">
            <v>366549.94</v>
          </cell>
          <cell r="E547">
            <v>492912.79</v>
          </cell>
          <cell r="F547">
            <v>364602.72</v>
          </cell>
          <cell r="G547">
            <v>330198.02</v>
          </cell>
          <cell r="H547">
            <v>489844.96</v>
          </cell>
          <cell r="I547">
            <v>789987.58</v>
          </cell>
          <cell r="J547">
            <v>368357.82</v>
          </cell>
          <cell r="K547">
            <v>878102.97</v>
          </cell>
          <cell r="L547">
            <v>538998.47</v>
          </cell>
          <cell r="M547">
            <v>537708.68000000005</v>
          </cell>
          <cell r="N547">
            <v>704554.7</v>
          </cell>
          <cell r="O547">
            <v>511601.13</v>
          </cell>
          <cell r="P547">
            <v>6373419.7799999993</v>
          </cell>
          <cell r="R547" t="str">
            <v>F92800E</v>
          </cell>
          <cell r="S547">
            <v>6373419.7799999993</v>
          </cell>
          <cell r="T547">
            <v>13260500.579999998</v>
          </cell>
        </row>
        <row r="548">
          <cell r="A548" t="str">
            <v>F92800G</v>
          </cell>
          <cell r="B548" t="str">
            <v>REGULATORY COMMISSION EXPENSES</v>
          </cell>
          <cell r="C548">
            <v>2020219.71</v>
          </cell>
          <cell r="D548">
            <v>170141.55</v>
          </cell>
          <cell r="E548">
            <v>190506.62</v>
          </cell>
          <cell r="F548">
            <v>196856.83</v>
          </cell>
          <cell r="G548">
            <v>140957.04999999999</v>
          </cell>
          <cell r="H548">
            <v>177104.94</v>
          </cell>
          <cell r="I548">
            <v>288886.37</v>
          </cell>
          <cell r="J548">
            <v>158691.81</v>
          </cell>
          <cell r="K548">
            <v>194395.43</v>
          </cell>
          <cell r="L548">
            <v>14099.73</v>
          </cell>
          <cell r="M548">
            <v>161539.12</v>
          </cell>
          <cell r="N548">
            <v>256973.36</v>
          </cell>
          <cell r="O548">
            <v>234305.46</v>
          </cell>
          <cell r="P548">
            <v>2184458.2699999996</v>
          </cell>
          <cell r="R548" t="str">
            <v>F92800G</v>
          </cell>
          <cell r="S548">
            <v>2184458.27</v>
          </cell>
          <cell r="T548">
            <v>4204677.9799999995</v>
          </cell>
        </row>
        <row r="549">
          <cell r="A549" t="str">
            <v>F92850E</v>
          </cell>
          <cell r="B549" t="str">
            <v>REGULATORY COMMISSION EXPENSES</v>
          </cell>
          <cell r="C549">
            <v>0</v>
          </cell>
          <cell r="F549">
            <v>0</v>
          </cell>
          <cell r="G549">
            <v>18625</v>
          </cell>
          <cell r="L549">
            <v>0</v>
          </cell>
          <cell r="M549">
            <v>3992</v>
          </cell>
          <cell r="P549">
            <v>22617</v>
          </cell>
          <cell r="R549" t="str">
            <v>F92850E</v>
          </cell>
          <cell r="S549">
            <v>22617</v>
          </cell>
          <cell r="T549">
            <v>22617</v>
          </cell>
        </row>
        <row r="550">
          <cell r="A550" t="str">
            <v>F92850G</v>
          </cell>
          <cell r="B550" t="str">
            <v>REGULATORY COMMISSION EXPENSES</v>
          </cell>
          <cell r="C550">
            <v>0</v>
          </cell>
          <cell r="L550">
            <v>0</v>
          </cell>
          <cell r="M550">
            <v>1287</v>
          </cell>
          <cell r="P550">
            <v>1287</v>
          </cell>
          <cell r="R550" t="str">
            <v>F92850G</v>
          </cell>
          <cell r="S550">
            <v>1287</v>
          </cell>
          <cell r="T550">
            <v>1287</v>
          </cell>
        </row>
        <row r="551">
          <cell r="A551" t="str">
            <v>F92900E</v>
          </cell>
          <cell r="B551" t="str">
            <v>DUPLICATE CHARGES-CR.</v>
          </cell>
          <cell r="C551">
            <v>-831505.22</v>
          </cell>
          <cell r="D551">
            <v>-186679.24</v>
          </cell>
          <cell r="E551">
            <v>0</v>
          </cell>
          <cell r="J551">
            <v>0</v>
          </cell>
          <cell r="K551">
            <v>-377337.2</v>
          </cell>
          <cell r="L551">
            <v>-87469.45</v>
          </cell>
          <cell r="M551">
            <v>31537.13</v>
          </cell>
          <cell r="N551">
            <v>-49450.48</v>
          </cell>
          <cell r="O551">
            <v>-71730.179999999993</v>
          </cell>
          <cell r="P551">
            <v>-741129.41999999993</v>
          </cell>
          <cell r="R551" t="str">
            <v>F92900E</v>
          </cell>
          <cell r="S551">
            <v>-741129.42</v>
          </cell>
          <cell r="T551">
            <v>-1572634.64</v>
          </cell>
        </row>
        <row r="552">
          <cell r="A552" t="str">
            <v>F93010E</v>
          </cell>
          <cell r="B552" t="str">
            <v>GENERAL ADVERTISING EXPENSES</v>
          </cell>
          <cell r="C552">
            <v>3935312.95</v>
          </cell>
          <cell r="D552">
            <v>7.0000000000000007E-2</v>
          </cell>
          <cell r="E552">
            <v>551.78</v>
          </cell>
          <cell r="F552">
            <v>0</v>
          </cell>
          <cell r="G552">
            <v>786.25</v>
          </cell>
          <cell r="H552">
            <v>2595.77</v>
          </cell>
          <cell r="I552">
            <v>777.96</v>
          </cell>
          <cell r="J552">
            <v>789.15</v>
          </cell>
          <cell r="K552">
            <v>16.91</v>
          </cell>
          <cell r="L552">
            <v>966.26</v>
          </cell>
          <cell r="M552">
            <v>4610.3599999999997</v>
          </cell>
          <cell r="N552">
            <v>7.94</v>
          </cell>
          <cell r="O552">
            <v>217653.18</v>
          </cell>
          <cell r="P552">
            <v>228755.63</v>
          </cell>
          <cell r="R552" t="str">
            <v>F93010E</v>
          </cell>
          <cell r="S552">
            <v>228755.63</v>
          </cell>
          <cell r="T552">
            <v>4164068.58</v>
          </cell>
        </row>
        <row r="553">
          <cell r="A553" t="str">
            <v>F93010G</v>
          </cell>
          <cell r="B553" t="str">
            <v>GENERAL ADVERTISING EXPENSES</v>
          </cell>
          <cell r="C553">
            <v>19278.009999999998</v>
          </cell>
          <cell r="D553">
            <v>0</v>
          </cell>
          <cell r="E553">
            <v>177.92</v>
          </cell>
          <cell r="F553">
            <v>0</v>
          </cell>
          <cell r="G553">
            <v>253.48</v>
          </cell>
          <cell r="H553">
            <v>836.87</v>
          </cell>
          <cell r="I553">
            <v>250.79</v>
          </cell>
          <cell r="J553">
            <v>254.4</v>
          </cell>
          <cell r="K553">
            <v>5.45</v>
          </cell>
          <cell r="L553">
            <v>299.77</v>
          </cell>
          <cell r="M553">
            <v>2099.23</v>
          </cell>
          <cell r="N553">
            <v>2.56</v>
          </cell>
          <cell r="O553">
            <v>92269.38</v>
          </cell>
          <cell r="P553">
            <v>96449.85</v>
          </cell>
          <cell r="R553" t="str">
            <v>F93010G</v>
          </cell>
          <cell r="S553">
            <v>96449.85</v>
          </cell>
          <cell r="T553">
            <v>115727.86</v>
          </cell>
        </row>
        <row r="554">
          <cell r="A554" t="str">
            <v>F93020C</v>
          </cell>
          <cell r="B554" t="str">
            <v>MISCELLANEOUS GENERAL EXPENSES</v>
          </cell>
          <cell r="C554">
            <v>-10.02</v>
          </cell>
          <cell r="F554">
            <v>-300001.13</v>
          </cell>
          <cell r="G554">
            <v>-7930054.7800000003</v>
          </cell>
          <cell r="H554">
            <v>8720109.1600000001</v>
          </cell>
          <cell r="I554">
            <v>-687445.87</v>
          </cell>
          <cell r="J554">
            <v>197367.19</v>
          </cell>
          <cell r="K554">
            <v>0</v>
          </cell>
          <cell r="P554">
            <v>-25.429999999993015</v>
          </cell>
          <cell r="R554" t="str">
            <v>F93020C</v>
          </cell>
          <cell r="S554">
            <v>-25.43</v>
          </cell>
          <cell r="T554">
            <v>-35.449999999993011</v>
          </cell>
        </row>
        <row r="555">
          <cell r="A555" t="str">
            <v>F93020E</v>
          </cell>
          <cell r="B555" t="str">
            <v>MISCELLANEOUS GENERAL EXPENSES</v>
          </cell>
          <cell r="C555">
            <v>28919384.84</v>
          </cell>
          <cell r="D555">
            <v>374154.26</v>
          </cell>
          <cell r="E555">
            <v>168169.98</v>
          </cell>
          <cell r="F555">
            <v>4971954.93</v>
          </cell>
          <cell r="G555">
            <v>13305320.939999999</v>
          </cell>
          <cell r="H555">
            <v>-5148769.62</v>
          </cell>
          <cell r="I555">
            <v>3137090.91</v>
          </cell>
          <cell r="J555">
            <v>3025219.29</v>
          </cell>
          <cell r="K555">
            <v>1868776.23</v>
          </cell>
          <cell r="L555">
            <v>4480075.21</v>
          </cell>
          <cell r="M555">
            <v>337091.79</v>
          </cell>
          <cell r="N555">
            <v>-216847.29</v>
          </cell>
          <cell r="O555">
            <v>3327447.27</v>
          </cell>
          <cell r="P555">
            <v>29629683.899999999</v>
          </cell>
          <cell r="R555" t="str">
            <v>F93020E</v>
          </cell>
          <cell r="S555">
            <v>29629683.899999999</v>
          </cell>
          <cell r="T555">
            <v>58549068.739999995</v>
          </cell>
        </row>
        <row r="556">
          <cell r="A556" t="str">
            <v>F93020G</v>
          </cell>
          <cell r="B556" t="str">
            <v>MISCELLANEOUS GENERAL EXPENSES</v>
          </cell>
          <cell r="C556">
            <v>1887422.99</v>
          </cell>
          <cell r="D556">
            <v>70897.91</v>
          </cell>
          <cell r="E556">
            <v>54224.22</v>
          </cell>
          <cell r="F556">
            <v>29521.200000000001</v>
          </cell>
          <cell r="G556">
            <v>1864037.52</v>
          </cell>
          <cell r="H556">
            <v>-1934379.14</v>
          </cell>
          <cell r="I556">
            <v>-895059.2</v>
          </cell>
          <cell r="J556">
            <v>42936.91</v>
          </cell>
          <cell r="K556">
            <v>620735.03</v>
          </cell>
          <cell r="L556">
            <v>65600.67</v>
          </cell>
          <cell r="M556">
            <v>90673.23</v>
          </cell>
          <cell r="N556">
            <v>-58829.41</v>
          </cell>
          <cell r="O556">
            <v>673603.96</v>
          </cell>
          <cell r="P556">
            <v>623962.90000000026</v>
          </cell>
          <cell r="R556" t="str">
            <v>F93020G</v>
          </cell>
          <cell r="S556">
            <v>623962.9</v>
          </cell>
          <cell r="T556">
            <v>2511385.89</v>
          </cell>
        </row>
        <row r="557">
          <cell r="A557" t="str">
            <v>F93021C</v>
          </cell>
          <cell r="B557" t="str">
            <v>MISCELLANEOUS GENERAL EXPENSES - ADJ</v>
          </cell>
          <cell r="C557">
            <v>0</v>
          </cell>
          <cell r="P557">
            <v>0</v>
          </cell>
          <cell r="T557">
            <v>0</v>
          </cell>
        </row>
        <row r="558">
          <cell r="A558" t="str">
            <v>F93022C</v>
          </cell>
          <cell r="B558" t="str">
            <v>MISCELLANEOUS GENERAL EXPENSES-V&amp;S ADJUSTMENTS</v>
          </cell>
          <cell r="C558">
            <v>0</v>
          </cell>
          <cell r="H558">
            <v>92456.85</v>
          </cell>
          <cell r="I558">
            <v>203891.54</v>
          </cell>
          <cell r="J558">
            <v>167024.98000000001</v>
          </cell>
          <cell r="K558">
            <v>232023.79</v>
          </cell>
          <cell r="L558">
            <v>183864</v>
          </cell>
          <cell r="M558">
            <v>91082.75</v>
          </cell>
          <cell r="N558">
            <v>119542.91</v>
          </cell>
          <cell r="O558">
            <v>63859.17</v>
          </cell>
          <cell r="P558">
            <v>1153745.99</v>
          </cell>
          <cell r="R558" t="str">
            <v>F93022C</v>
          </cell>
          <cell r="S558">
            <v>1153745.99</v>
          </cell>
          <cell r="T558">
            <v>1153745.99</v>
          </cell>
        </row>
        <row r="559">
          <cell r="A559" t="str">
            <v>F93030E</v>
          </cell>
          <cell r="B559" t="str">
            <v>MISC GENERAL EXP-AFFIL. BILLING</v>
          </cell>
          <cell r="F559">
            <v>809045.2</v>
          </cell>
          <cell r="G559">
            <v>-390843.52</v>
          </cell>
          <cell r="H559">
            <v>94785.66</v>
          </cell>
          <cell r="I559">
            <v>183997.15</v>
          </cell>
          <cell r="J559">
            <v>-402975.67</v>
          </cell>
          <cell r="K559">
            <v>-274680.51</v>
          </cell>
          <cell r="L559">
            <v>340.09</v>
          </cell>
          <cell r="M559">
            <v>254.02</v>
          </cell>
          <cell r="N559">
            <v>0</v>
          </cell>
          <cell r="O559">
            <v>1233.9000000000001</v>
          </cell>
          <cell r="P559">
            <v>21156.32</v>
          </cell>
          <cell r="R559" t="str">
            <v>F93030E</v>
          </cell>
          <cell r="S559">
            <v>21156.32</v>
          </cell>
          <cell r="T559">
            <v>21156.32</v>
          </cell>
        </row>
        <row r="560">
          <cell r="A560" t="str">
            <v>F93100C</v>
          </cell>
          <cell r="B560" t="str">
            <v>RENTS</v>
          </cell>
          <cell r="C560">
            <v>0</v>
          </cell>
          <cell r="P560">
            <v>0</v>
          </cell>
          <cell r="T560">
            <v>0</v>
          </cell>
        </row>
        <row r="561">
          <cell r="A561" t="str">
            <v>F93100E</v>
          </cell>
          <cell r="B561" t="str">
            <v>RENTS</v>
          </cell>
          <cell r="C561">
            <v>2488001.11</v>
          </cell>
          <cell r="D561">
            <v>42895.94</v>
          </cell>
          <cell r="E561">
            <v>193188.18</v>
          </cell>
          <cell r="F561">
            <v>222833.61</v>
          </cell>
          <cell r="G561">
            <v>101396.71</v>
          </cell>
          <cell r="H561">
            <v>183986.93</v>
          </cell>
          <cell r="I561">
            <v>437042.72</v>
          </cell>
          <cell r="J561">
            <v>39492.129999999997</v>
          </cell>
          <cell r="K561">
            <v>273611.98</v>
          </cell>
          <cell r="L561">
            <v>183592.71</v>
          </cell>
          <cell r="M561">
            <v>324299.06</v>
          </cell>
          <cell r="N561">
            <v>686330.46</v>
          </cell>
          <cell r="O561">
            <v>157518.35999999999</v>
          </cell>
          <cell r="P561">
            <v>2846188.7899999996</v>
          </cell>
          <cell r="R561" t="str">
            <v>F93100E</v>
          </cell>
          <cell r="S561">
            <v>2846188.79</v>
          </cell>
          <cell r="T561">
            <v>5334189.8999999994</v>
          </cell>
        </row>
        <row r="562">
          <cell r="A562" t="str">
            <v>F93100G</v>
          </cell>
          <cell r="B562" t="str">
            <v>RENTS</v>
          </cell>
          <cell r="C562">
            <v>786097.5</v>
          </cell>
          <cell r="D562">
            <v>13338.95</v>
          </cell>
          <cell r="E562">
            <v>0</v>
          </cell>
          <cell r="F562">
            <v>133098.17000000001</v>
          </cell>
          <cell r="G562">
            <v>33890.269999999997</v>
          </cell>
          <cell r="H562">
            <v>59536.82</v>
          </cell>
          <cell r="I562">
            <v>141326.12</v>
          </cell>
          <cell r="J562">
            <v>12736.71</v>
          </cell>
          <cell r="K562">
            <v>82362.649999999994</v>
          </cell>
          <cell r="L562">
            <v>59336.71</v>
          </cell>
          <cell r="M562">
            <v>104164.72</v>
          </cell>
          <cell r="N562">
            <v>221377.51</v>
          </cell>
          <cell r="O562">
            <v>51434.92</v>
          </cell>
          <cell r="P562">
            <v>912603.55</v>
          </cell>
          <cell r="R562" t="str">
            <v>F93100G</v>
          </cell>
          <cell r="S562">
            <v>912603.55</v>
          </cell>
          <cell r="T562">
            <v>1698701.05</v>
          </cell>
        </row>
        <row r="563">
          <cell r="A563" t="str">
            <v>F93500E</v>
          </cell>
          <cell r="B563" t="str">
            <v>MAINTENANCE OF GENERAL PLANT</v>
          </cell>
          <cell r="C563">
            <v>5018017.12</v>
          </cell>
          <cell r="D563">
            <v>125291.37</v>
          </cell>
          <cell r="E563">
            <v>89285.17</v>
          </cell>
          <cell r="F563">
            <v>3635084.78</v>
          </cell>
          <cell r="G563">
            <v>494649.57</v>
          </cell>
          <cell r="H563">
            <v>672578.08</v>
          </cell>
          <cell r="I563">
            <v>692889.57</v>
          </cell>
          <cell r="J563">
            <v>289067.52000000002</v>
          </cell>
          <cell r="K563">
            <v>636367.35</v>
          </cell>
          <cell r="L563">
            <v>-140635.29</v>
          </cell>
          <cell r="M563">
            <v>143542.07</v>
          </cell>
          <cell r="N563">
            <v>3252618.79</v>
          </cell>
          <cell r="O563">
            <v>-326422.36</v>
          </cell>
          <cell r="P563">
            <v>9564316.620000001</v>
          </cell>
          <cell r="R563" t="str">
            <v>F93500E</v>
          </cell>
          <cell r="S563">
            <v>9564316.6199999992</v>
          </cell>
          <cell r="T563">
            <v>14582333.740000002</v>
          </cell>
        </row>
        <row r="564">
          <cell r="A564" t="str">
            <v>F93500G</v>
          </cell>
          <cell r="B564" t="str">
            <v>MAINTENANCE OF GENERAL PLANT</v>
          </cell>
          <cell r="C564">
            <v>1861855.11</v>
          </cell>
          <cell r="D564">
            <v>46390</v>
          </cell>
          <cell r="E564">
            <v>33560.17</v>
          </cell>
          <cell r="F564">
            <v>1187562.75</v>
          </cell>
          <cell r="G564">
            <v>158916.20000000001</v>
          </cell>
          <cell r="H564">
            <v>221785.15</v>
          </cell>
          <cell r="I564">
            <v>221930.54</v>
          </cell>
          <cell r="J564">
            <v>106467.22</v>
          </cell>
          <cell r="K564">
            <v>210263.18</v>
          </cell>
          <cell r="L564">
            <v>-18078.38</v>
          </cell>
          <cell r="M564">
            <v>98597.18</v>
          </cell>
          <cell r="N564">
            <v>1050179.77</v>
          </cell>
          <cell r="O564">
            <v>-114230.36</v>
          </cell>
          <cell r="P564">
            <v>3203343.4200000004</v>
          </cell>
          <cell r="R564" t="str">
            <v>F93500G</v>
          </cell>
          <cell r="S564">
            <v>3203343.42</v>
          </cell>
          <cell r="T564">
            <v>5065198.53</v>
          </cell>
        </row>
        <row r="565">
          <cell r="A565" t="str">
            <v>F93510E</v>
          </cell>
          <cell r="B565" t="str">
            <v>MAINT OF GENERAL PLA</v>
          </cell>
          <cell r="C565">
            <v>0</v>
          </cell>
          <cell r="F565">
            <v>139892.78</v>
          </cell>
          <cell r="G565">
            <v>134200.25</v>
          </cell>
          <cell r="H565">
            <v>153760.20000000001</v>
          </cell>
          <cell r="I565">
            <v>146266.37</v>
          </cell>
          <cell r="J565">
            <v>79686.990000000005</v>
          </cell>
          <cell r="K565">
            <v>195200.63</v>
          </cell>
          <cell r="L565">
            <v>130239.07</v>
          </cell>
          <cell r="M565">
            <v>180744.7</v>
          </cell>
          <cell r="N565">
            <v>162236.26</v>
          </cell>
          <cell r="O565">
            <v>-155937.66</v>
          </cell>
          <cell r="P565">
            <v>1166289.5900000001</v>
          </cell>
          <cell r="R565" t="str">
            <v>F93510E</v>
          </cell>
          <cell r="S565">
            <v>1166289.5900000001</v>
          </cell>
          <cell r="T565">
            <v>1166289.5900000001</v>
          </cell>
        </row>
        <row r="566">
          <cell r="A566" t="str">
            <v>F93510G</v>
          </cell>
          <cell r="B566" t="str">
            <v>MAINT OF GENERAL PLA</v>
          </cell>
          <cell r="C566">
            <v>0</v>
          </cell>
          <cell r="F566">
            <v>54439.31</v>
          </cell>
          <cell r="G566">
            <v>59369.97</v>
          </cell>
          <cell r="H566">
            <v>70337.25</v>
          </cell>
          <cell r="I566">
            <v>71869</v>
          </cell>
          <cell r="J566">
            <v>40833.839999999997</v>
          </cell>
          <cell r="K566">
            <v>70927.759999999995</v>
          </cell>
          <cell r="L566">
            <v>47789.81</v>
          </cell>
          <cell r="M566">
            <v>67969.53</v>
          </cell>
          <cell r="N566">
            <v>63412.05</v>
          </cell>
          <cell r="O566">
            <v>-44119.46</v>
          </cell>
          <cell r="P566">
            <v>502829.06</v>
          </cell>
          <cell r="R566" t="str">
            <v>F93510G</v>
          </cell>
          <cell r="S566">
            <v>502829.06</v>
          </cell>
          <cell r="T566">
            <v>502829.06</v>
          </cell>
        </row>
        <row r="567">
          <cell r="A567" t="str">
            <v>F99970C</v>
          </cell>
          <cell r="B567" t="str">
            <v>NEGATIVE ADJUSTMENTS - DEBITS</v>
          </cell>
          <cell r="C567">
            <v>157431529.81</v>
          </cell>
          <cell r="P567">
            <v>0</v>
          </cell>
          <cell r="T567">
            <v>157431529.81</v>
          </cell>
        </row>
        <row r="568">
          <cell r="A568" t="str">
            <v>F99980C</v>
          </cell>
          <cell r="B568" t="str">
            <v>NEGATIVE ADJUSTMENTS - CREDITS</v>
          </cell>
          <cell r="C568">
            <v>-157431530.09999999</v>
          </cell>
          <cell r="P568">
            <v>0</v>
          </cell>
          <cell r="T568">
            <v>-157431530.09999999</v>
          </cell>
        </row>
        <row r="569">
          <cell r="A569" t="str">
            <v>F99990C</v>
          </cell>
          <cell r="B569" t="str">
            <v>PROFIT AND LOSS OFFSET ACCOUNT</v>
          </cell>
          <cell r="C569">
            <v>-2301782163.4099998</v>
          </cell>
          <cell r="D569">
            <v>-157155358.80000001</v>
          </cell>
          <cell r="E569">
            <v>-138626620.53999999</v>
          </cell>
          <cell r="F569">
            <v>-74626079.819999993</v>
          </cell>
          <cell r="G569">
            <v>-153404742.99000001</v>
          </cell>
          <cell r="H569">
            <v>-126048660.31999999</v>
          </cell>
          <cell r="I569">
            <v>-144184757.47999999</v>
          </cell>
          <cell r="J569">
            <v>-69436746.409999996</v>
          </cell>
          <cell r="K569">
            <v>-53674350.009999998</v>
          </cell>
          <cell r="L569">
            <v>-59345004.729999997</v>
          </cell>
          <cell r="M569">
            <v>-52801201.560000002</v>
          </cell>
          <cell r="N569">
            <v>-60007801.289999999</v>
          </cell>
          <cell r="O569">
            <v>-84630818.980000004</v>
          </cell>
          <cell r="P569">
            <v>-1173942142.9300001</v>
          </cell>
          <cell r="R569" t="str">
            <v>F99990C</v>
          </cell>
          <cell r="S569">
            <v>-1173942142.9300001</v>
          </cell>
          <cell r="T569">
            <v>-3475724306.3400002</v>
          </cell>
        </row>
        <row r="570">
          <cell r="A570" t="str">
            <v>FERROR1</v>
          </cell>
          <cell r="B570" t="str">
            <v>FERC FLOW OF COSTS TRACE ERRORS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-2192.92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-2192.92</v>
          </cell>
          <cell r="R570" t="str">
            <v>FERROR1</v>
          </cell>
          <cell r="S570">
            <v>-2192.92</v>
          </cell>
          <cell r="T570">
            <v>-2192.92</v>
          </cell>
        </row>
      </sheetData>
      <sheetData sheetId="2">
        <row r="4">
          <cell r="A4" t="str">
            <v>F10000C</v>
          </cell>
          <cell r="B4" t="str">
            <v>PLANT IN SERVICE</v>
          </cell>
          <cell r="C4">
            <v>12.3</v>
          </cell>
          <cell r="P4">
            <v>0</v>
          </cell>
          <cell r="Q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4359063000.5500002</v>
          </cell>
          <cell r="D5">
            <v>8923054.1300000008</v>
          </cell>
          <cell r="E5">
            <v>17813255.18</v>
          </cell>
          <cell r="F5">
            <v>8531101.6099999994</v>
          </cell>
          <cell r="G5">
            <v>13896487.060000001</v>
          </cell>
          <cell r="H5">
            <v>6394441.9500000002</v>
          </cell>
          <cell r="I5">
            <v>17478135.719999999</v>
          </cell>
          <cell r="J5">
            <v>9358646.8000000007</v>
          </cell>
          <cell r="K5">
            <v>26825246.260000002</v>
          </cell>
          <cell r="L5">
            <v>14427979.560000001</v>
          </cell>
          <cell r="M5">
            <v>18699728.23</v>
          </cell>
          <cell r="N5">
            <v>11167739.59</v>
          </cell>
          <cell r="O5">
            <v>14124147.59</v>
          </cell>
          <cell r="P5">
            <v>167639963.68000001</v>
          </cell>
          <cell r="Q5">
            <v>4526702964.2300014</v>
          </cell>
        </row>
        <row r="6">
          <cell r="A6" t="str">
            <v>F10100G</v>
          </cell>
          <cell r="B6" t="str">
            <v>PLANT IN SERVICE</v>
          </cell>
          <cell r="C6">
            <v>902673914.84000003</v>
          </cell>
          <cell r="D6">
            <v>1939195.87</v>
          </cell>
          <cell r="E6">
            <v>1388389.44</v>
          </cell>
          <cell r="F6">
            <v>1356332.8</v>
          </cell>
          <cell r="G6">
            <v>991225.63</v>
          </cell>
          <cell r="H6">
            <v>224725.35</v>
          </cell>
          <cell r="I6">
            <v>2398526.91</v>
          </cell>
          <cell r="J6">
            <v>1351132.22</v>
          </cell>
          <cell r="K6">
            <v>2463206.71</v>
          </cell>
          <cell r="L6">
            <v>2028097.12</v>
          </cell>
          <cell r="M6">
            <v>3120780.29</v>
          </cell>
          <cell r="N6">
            <v>746946.87</v>
          </cell>
          <cell r="O6">
            <v>4243717.04</v>
          </cell>
          <cell r="P6">
            <v>22252276.25</v>
          </cell>
          <cell r="Q6">
            <v>924926191.09000003</v>
          </cell>
        </row>
        <row r="7">
          <cell r="A7" t="str">
            <v>F10200E</v>
          </cell>
          <cell r="B7" t="str">
            <v>PLANT PURCHASED OR SOLD</v>
          </cell>
          <cell r="C7">
            <v>247503.86</v>
          </cell>
          <cell r="D7">
            <v>687.09</v>
          </cell>
          <cell r="E7">
            <v>73.06</v>
          </cell>
          <cell r="F7">
            <v>-929.25</v>
          </cell>
          <cell r="G7">
            <v>0</v>
          </cell>
          <cell r="H7">
            <v>-749197.14</v>
          </cell>
          <cell r="I7">
            <v>2589.69</v>
          </cell>
          <cell r="J7">
            <v>3680.99</v>
          </cell>
          <cell r="K7">
            <v>-22367623.649999999</v>
          </cell>
          <cell r="L7">
            <v>22831316.41</v>
          </cell>
          <cell r="M7">
            <v>182.06</v>
          </cell>
          <cell r="N7">
            <v>-15615.16</v>
          </cell>
          <cell r="O7">
            <v>37100</v>
          </cell>
          <cell r="P7">
            <v>-257735.899999997</v>
          </cell>
          <cell r="Q7">
            <v>-10232.039999997614</v>
          </cell>
        </row>
        <row r="8">
          <cell r="A8" t="str">
            <v>F10500C</v>
          </cell>
          <cell r="B8" t="str">
            <v>HELD FOR FUTURE USE</v>
          </cell>
          <cell r="C8">
            <v>206638.57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1534.23</v>
          </cell>
          <cell r="M8">
            <v>-113435.26</v>
          </cell>
          <cell r="N8">
            <v>0</v>
          </cell>
          <cell r="O8">
            <v>0</v>
          </cell>
          <cell r="P8">
            <v>-111901.03</v>
          </cell>
          <cell r="Q8">
            <v>94737.540000000023</v>
          </cell>
        </row>
        <row r="9">
          <cell r="A9" t="str">
            <v>F10700C</v>
          </cell>
          <cell r="B9" t="str">
            <v>CONSTRUCTION WORK IN PROGRESS</v>
          </cell>
          <cell r="C9">
            <v>66752772.450000003</v>
          </cell>
          <cell r="D9">
            <v>761013.92</v>
          </cell>
          <cell r="E9">
            <v>17269.04</v>
          </cell>
          <cell r="F9">
            <v>14264266.609999999</v>
          </cell>
          <cell r="G9">
            <v>2948685.23</v>
          </cell>
          <cell r="H9">
            <v>15601202.970000001</v>
          </cell>
          <cell r="I9">
            <v>-143217.17000000001</v>
          </cell>
          <cell r="J9">
            <v>3850803.64</v>
          </cell>
          <cell r="K9">
            <v>-10003226</v>
          </cell>
          <cell r="L9">
            <v>965109.75</v>
          </cell>
          <cell r="M9">
            <v>354685</v>
          </cell>
          <cell r="N9">
            <v>10810061.42</v>
          </cell>
          <cell r="O9">
            <v>16604262.539999999</v>
          </cell>
          <cell r="P9">
            <v>56030916.950000003</v>
          </cell>
          <cell r="Q9">
            <v>122783689.40000001</v>
          </cell>
        </row>
        <row r="10">
          <cell r="A10" t="str">
            <v>F10700E</v>
          </cell>
          <cell r="B10" t="str">
            <v>CONSTRUCTION WORK IN PROGRESS</v>
          </cell>
          <cell r="C10">
            <v>-16004409.15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3.21</v>
          </cell>
          <cell r="N10">
            <v>0</v>
          </cell>
          <cell r="O10">
            <v>0</v>
          </cell>
          <cell r="P10">
            <v>3.21</v>
          </cell>
          <cell r="Q10">
            <v>-16004405.939999999</v>
          </cell>
        </row>
        <row r="11">
          <cell r="A11" t="str">
            <v>F10700G</v>
          </cell>
          <cell r="B11" t="str">
            <v>CONSTRUCTION WORK IN PROGRESS</v>
          </cell>
          <cell r="C11">
            <v>-647290.03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0.31</v>
          </cell>
          <cell r="N11">
            <v>0</v>
          </cell>
          <cell r="O11">
            <v>0</v>
          </cell>
          <cell r="P11">
            <v>0.31</v>
          </cell>
          <cell r="Q11">
            <v>-647289.72</v>
          </cell>
        </row>
        <row r="12">
          <cell r="A12" t="str">
            <v>F10800E</v>
          </cell>
          <cell r="B12" t="str">
            <v>ACCUMULATED PROVISION FOR DEPRECIATION</v>
          </cell>
          <cell r="C12">
            <v>-2866821116.1799998</v>
          </cell>
          <cell r="D12">
            <v>-9798776.4700000007</v>
          </cell>
          <cell r="E12">
            <v>1013513.3</v>
          </cell>
          <cell r="F12">
            <v>11551869.58</v>
          </cell>
          <cell r="G12">
            <v>-9164383.7100000009</v>
          </cell>
          <cell r="H12">
            <v>-8904699.5099999998</v>
          </cell>
          <cell r="I12">
            <v>-34655621.270000003</v>
          </cell>
          <cell r="J12">
            <v>-8008746.7300000004</v>
          </cell>
          <cell r="K12">
            <v>-9019727.5800000001</v>
          </cell>
          <cell r="L12">
            <v>-33334542.34</v>
          </cell>
          <cell r="M12">
            <v>-8733974.4499999993</v>
          </cell>
          <cell r="N12">
            <v>-10257706.539999999</v>
          </cell>
          <cell r="O12">
            <v>24287451.600000001</v>
          </cell>
          <cell r="P12">
            <v>-95025344.120000005</v>
          </cell>
          <cell r="Q12">
            <v>-2961846460.2999997</v>
          </cell>
        </row>
        <row r="13">
          <cell r="A13" t="str">
            <v>F10800G</v>
          </cell>
          <cell r="B13" t="str">
            <v>ACCUMULATED PROVISION FOR DEPRECIATION</v>
          </cell>
          <cell r="C13">
            <v>-456825922.41000003</v>
          </cell>
          <cell r="D13">
            <v>-2626024.7400000002</v>
          </cell>
          <cell r="E13">
            <v>-2523023.62</v>
          </cell>
          <cell r="F13">
            <v>-2540057.65</v>
          </cell>
          <cell r="G13">
            <v>-2695305.39</v>
          </cell>
          <cell r="H13">
            <v>-2377155.85</v>
          </cell>
          <cell r="I13">
            <v>-2762115.41</v>
          </cell>
          <cell r="J13">
            <v>-2585614.27</v>
          </cell>
          <cell r="K13">
            <v>-2266329.7200000002</v>
          </cell>
          <cell r="L13">
            <v>-2482727.8199999998</v>
          </cell>
          <cell r="M13">
            <v>-2570901.35</v>
          </cell>
          <cell r="N13">
            <v>-2654328.46</v>
          </cell>
          <cell r="O13">
            <v>-2704259.29</v>
          </cell>
          <cell r="P13">
            <v>-30787843.57</v>
          </cell>
          <cell r="Q13">
            <v>-487613765.98000008</v>
          </cell>
        </row>
        <row r="14">
          <cell r="A14" t="str">
            <v>F11100C</v>
          </cell>
          <cell r="B14" t="str">
            <v>ACCUMULATED PROVISION FOR AMORTIZATION</v>
          </cell>
          <cell r="C14">
            <v>-61685746.5</v>
          </cell>
          <cell r="D14">
            <v>-597489.42000000004</v>
          </cell>
          <cell r="E14">
            <v>-598012.42000000004</v>
          </cell>
          <cell r="F14">
            <v>-629271.6</v>
          </cell>
          <cell r="G14">
            <v>-562359.01</v>
          </cell>
          <cell r="H14">
            <v>-615542.79</v>
          </cell>
          <cell r="I14">
            <v>-674864.88</v>
          </cell>
          <cell r="J14">
            <v>-623899.72</v>
          </cell>
          <cell r="K14">
            <v>-621363.39</v>
          </cell>
          <cell r="L14">
            <v>-653528.67000000004</v>
          </cell>
          <cell r="M14">
            <v>-621294.76</v>
          </cell>
          <cell r="N14">
            <v>-623335.02</v>
          </cell>
          <cell r="O14">
            <v>-499147.55</v>
          </cell>
          <cell r="P14">
            <v>-7320109.2299999995</v>
          </cell>
          <cell r="Q14">
            <v>-69005855.730000004</v>
          </cell>
        </row>
        <row r="15">
          <cell r="A15" t="str">
            <v>F11100E</v>
          </cell>
          <cell r="B15" t="str">
            <v>ACCUMULATED PROVISION FOR AMORTIZATION</v>
          </cell>
          <cell r="C15">
            <v>210561.22</v>
          </cell>
          <cell r="D15">
            <v>111939.58</v>
          </cell>
          <cell r="E15">
            <v>-140951.81</v>
          </cell>
          <cell r="F15">
            <v>-141824.57999999999</v>
          </cell>
          <cell r="G15">
            <v>-141110.73000000001</v>
          </cell>
          <cell r="H15">
            <v>-142078.81</v>
          </cell>
          <cell r="I15">
            <v>-7523.69</v>
          </cell>
          <cell r="J15">
            <v>-19962.14</v>
          </cell>
          <cell r="K15">
            <v>-178017.89</v>
          </cell>
          <cell r="L15">
            <v>-168546.78</v>
          </cell>
          <cell r="M15">
            <v>-172993.87</v>
          </cell>
          <cell r="N15">
            <v>-172560.01</v>
          </cell>
          <cell r="O15">
            <v>-186988.38</v>
          </cell>
          <cell r="P15">
            <v>-1360619.1099999999</v>
          </cell>
          <cell r="Q15">
            <v>-1150057.8900000001</v>
          </cell>
        </row>
        <row r="16">
          <cell r="A16" t="str">
            <v>F11100G</v>
          </cell>
          <cell r="B16" t="str">
            <v>ACCUMULATED PROVISION FOR AMORTIZATION</v>
          </cell>
          <cell r="C16">
            <v>-430624.83</v>
          </cell>
          <cell r="D16">
            <v>-27590.11</v>
          </cell>
          <cell r="E16">
            <v>-24985.360000000001</v>
          </cell>
          <cell r="F16">
            <v>-24992.85</v>
          </cell>
          <cell r="G16">
            <v>-25000.83</v>
          </cell>
          <cell r="H16">
            <v>-24802.94</v>
          </cell>
          <cell r="I16">
            <v>-17290.32</v>
          </cell>
          <cell r="J16">
            <v>-23688.07</v>
          </cell>
          <cell r="K16">
            <v>-23713.52</v>
          </cell>
          <cell r="L16">
            <v>-23609.98</v>
          </cell>
          <cell r="M16">
            <v>-23569.03</v>
          </cell>
          <cell r="N16">
            <v>-22604.720000000001</v>
          </cell>
          <cell r="O16">
            <v>-23579.14</v>
          </cell>
          <cell r="P16">
            <v>-285426.87</v>
          </cell>
          <cell r="Q16">
            <v>-716051.69999999984</v>
          </cell>
        </row>
        <row r="17">
          <cell r="A17" t="str">
            <v>F11800C</v>
          </cell>
          <cell r="B17" t="str">
            <v>OTHER UTILITY PLANT</v>
          </cell>
          <cell r="C17">
            <v>244763183.05000001</v>
          </cell>
          <cell r="D17">
            <v>92080.01</v>
          </cell>
          <cell r="E17">
            <v>411453.67</v>
          </cell>
          <cell r="F17">
            <v>298140.98</v>
          </cell>
          <cell r="G17">
            <v>2449109.6</v>
          </cell>
          <cell r="H17">
            <v>4288574.07</v>
          </cell>
          <cell r="I17">
            <v>-4585901.1500000004</v>
          </cell>
          <cell r="J17">
            <v>878611.26</v>
          </cell>
          <cell r="K17">
            <v>-6324026.4699999997</v>
          </cell>
          <cell r="L17">
            <v>1714721.6</v>
          </cell>
          <cell r="M17">
            <v>340822.77</v>
          </cell>
          <cell r="N17">
            <v>3236775.56</v>
          </cell>
          <cell r="O17">
            <v>926198.83</v>
          </cell>
          <cell r="P17">
            <v>3726560.73</v>
          </cell>
          <cell r="Q17">
            <v>248489743.77999997</v>
          </cell>
        </row>
        <row r="18">
          <cell r="A18" t="str">
            <v>F11830C</v>
          </cell>
          <cell r="B18" t="str">
            <v>OTHER UTILITY PLANT CWIP</v>
          </cell>
          <cell r="C18">
            <v>15903683.93</v>
          </cell>
          <cell r="D18">
            <v>-1019664.18</v>
          </cell>
          <cell r="E18">
            <v>1406995.99</v>
          </cell>
          <cell r="F18">
            <v>-1584503.24</v>
          </cell>
          <cell r="G18">
            <v>-465984.68</v>
          </cell>
          <cell r="H18">
            <v>-3263945.76</v>
          </cell>
          <cell r="I18">
            <v>318575.42</v>
          </cell>
          <cell r="J18">
            <v>680306.91</v>
          </cell>
          <cell r="K18">
            <v>3425953.75</v>
          </cell>
          <cell r="L18">
            <v>1101268.92</v>
          </cell>
          <cell r="M18">
            <v>3345797.53</v>
          </cell>
          <cell r="N18">
            <v>388504.22</v>
          </cell>
          <cell r="O18">
            <v>10188753.220000001</v>
          </cell>
          <cell r="P18">
            <v>14522058.100000001</v>
          </cell>
          <cell r="Q18">
            <v>30425742.030000001</v>
          </cell>
        </row>
        <row r="19">
          <cell r="A19" t="str">
            <v>F11900C</v>
          </cell>
          <cell r="B19" t="str">
            <v>ACCUM AMORT-OTHER UTILITY PLANT</v>
          </cell>
          <cell r="C19">
            <v>-53177678.810000002</v>
          </cell>
          <cell r="D19">
            <v>-1135913.29</v>
          </cell>
          <cell r="E19">
            <v>-1173581.0900000001</v>
          </cell>
          <cell r="F19">
            <v>-1143937.54</v>
          </cell>
          <cell r="G19">
            <v>-1095291.1100000001</v>
          </cell>
          <cell r="H19">
            <v>-1151424.31</v>
          </cell>
          <cell r="I19">
            <v>3954321.8</v>
          </cell>
          <cell r="J19">
            <v>-1054294.51</v>
          </cell>
          <cell r="K19">
            <v>4221699.32</v>
          </cell>
          <cell r="L19">
            <v>-1060514.44</v>
          </cell>
          <cell r="M19">
            <v>-945869.54</v>
          </cell>
          <cell r="N19">
            <v>-1111430.3</v>
          </cell>
          <cell r="O19">
            <v>-1012637.88</v>
          </cell>
          <cell r="P19">
            <v>-2708872.8899999997</v>
          </cell>
          <cell r="Q19">
            <v>-55886551.700000003</v>
          </cell>
        </row>
        <row r="20">
          <cell r="A20" t="str">
            <v>F12060E</v>
          </cell>
          <cell r="B20" t="str">
            <v>NUCLEAR FUEL UNDER CAPITAL LEASES-ACC D</v>
          </cell>
          <cell r="C20">
            <v>-24440227</v>
          </cell>
          <cell r="D20">
            <v>-1093835</v>
          </cell>
          <cell r="E20">
            <v>-1157053</v>
          </cell>
          <cell r="F20">
            <v>-1237987</v>
          </cell>
          <cell r="G20">
            <v>-1310349</v>
          </cell>
          <cell r="H20">
            <v>-1358569</v>
          </cell>
          <cell r="I20">
            <v>-1308365</v>
          </cell>
          <cell r="J20">
            <v>-1353460</v>
          </cell>
          <cell r="K20">
            <v>-1352868</v>
          </cell>
          <cell r="L20">
            <v>-1307734</v>
          </cell>
          <cell r="M20">
            <v>-636332.72</v>
          </cell>
          <cell r="N20">
            <v>-776685</v>
          </cell>
          <cell r="O20">
            <v>-1025568.2</v>
          </cell>
          <cell r="P20">
            <v>-13918805.92</v>
          </cell>
          <cell r="Q20">
            <v>-38359032.920000002</v>
          </cell>
        </row>
        <row r="21">
          <cell r="A21" t="str">
            <v>F12061E</v>
          </cell>
          <cell r="B21" t="str">
            <v>NUCLEAR FUEL UNDER CAPITAL LEASES-CWIP</v>
          </cell>
          <cell r="C21">
            <v>2920333.64</v>
          </cell>
          <cell r="D21">
            <v>766899.28</v>
          </cell>
          <cell r="E21">
            <v>-11884.86</v>
          </cell>
          <cell r="F21">
            <v>33742.47</v>
          </cell>
          <cell r="G21">
            <v>474067.19</v>
          </cell>
          <cell r="H21">
            <v>-3081772.66</v>
          </cell>
          <cell r="I21">
            <v>-2850416.28</v>
          </cell>
          <cell r="J21">
            <v>4801.8100000000004</v>
          </cell>
          <cell r="K21">
            <v>394036.66</v>
          </cell>
          <cell r="L21">
            <v>5697365.1699999999</v>
          </cell>
          <cell r="M21">
            <v>12127.62</v>
          </cell>
          <cell r="N21">
            <v>1710073.62</v>
          </cell>
          <cell r="O21">
            <v>-379206.82</v>
          </cell>
          <cell r="P21">
            <v>2769833.2000000007</v>
          </cell>
          <cell r="Q21">
            <v>5690166.8399999999</v>
          </cell>
        </row>
        <row r="22">
          <cell r="A22" t="str">
            <v>F12063E</v>
          </cell>
          <cell r="B22" t="str">
            <v>NUCLEAR FUEL UNDER CAPITAL LEASES-PLANT</v>
          </cell>
          <cell r="C22">
            <v>44120401.020000003</v>
          </cell>
          <cell r="D22">
            <v>1089782.51</v>
          </cell>
          <cell r="E22">
            <v>0</v>
          </cell>
          <cell r="F22">
            <v>0</v>
          </cell>
          <cell r="G22">
            <v>0</v>
          </cell>
          <cell r="H22">
            <v>3085653.59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6786176.9500000002</v>
          </cell>
          <cell r="P22">
            <v>10961613.050000001</v>
          </cell>
          <cell r="Q22">
            <v>55082014.070000008</v>
          </cell>
        </row>
        <row r="23">
          <cell r="A23" t="str">
            <v>F12100C</v>
          </cell>
          <cell r="B23" t="str">
            <v>NONUTILITY PROPERTY</v>
          </cell>
          <cell r="C23">
            <v>2197421.36</v>
          </cell>
          <cell r="D23">
            <v>-867846.7</v>
          </cell>
          <cell r="E23">
            <v>1722909.7</v>
          </cell>
          <cell r="F23">
            <v>-615306.54</v>
          </cell>
          <cell r="G23">
            <v>-749341.07</v>
          </cell>
          <cell r="H23">
            <v>1191134.8400000001</v>
          </cell>
          <cell r="I23">
            <v>-18534.169999999998</v>
          </cell>
          <cell r="J23">
            <v>87195.95</v>
          </cell>
          <cell r="K23">
            <v>-257816.55</v>
          </cell>
          <cell r="L23">
            <v>943.61</v>
          </cell>
          <cell r="M23">
            <v>-6395.83</v>
          </cell>
          <cell r="N23">
            <v>-58759.86</v>
          </cell>
          <cell r="O23">
            <v>2316.5300000000002</v>
          </cell>
          <cell r="P23">
            <v>430499.91000000003</v>
          </cell>
          <cell r="Q23">
            <v>2627921.27</v>
          </cell>
        </row>
        <row r="24">
          <cell r="A24" t="str">
            <v>F12200C</v>
          </cell>
          <cell r="B24" t="str">
            <v>ACCUM. PROV. FOR DEPR. AND AMORT.</v>
          </cell>
          <cell r="C24">
            <v>-308210.62</v>
          </cell>
          <cell r="D24">
            <v>-12720.57</v>
          </cell>
          <cell r="E24">
            <v>4029.42</v>
          </cell>
          <cell r="F24">
            <v>-12720.57</v>
          </cell>
          <cell r="G24">
            <v>-12863.22</v>
          </cell>
          <cell r="H24">
            <v>-12756.23</v>
          </cell>
          <cell r="I24">
            <v>-12756.25</v>
          </cell>
          <cell r="J24">
            <v>-12756.22</v>
          </cell>
          <cell r="K24">
            <v>-12756.23</v>
          </cell>
          <cell r="L24">
            <v>-12756.24</v>
          </cell>
          <cell r="M24">
            <v>-12756.23</v>
          </cell>
          <cell r="N24">
            <v>-12756.24</v>
          </cell>
          <cell r="O24">
            <v>-12756.23</v>
          </cell>
          <cell r="P24">
            <v>-136324.81</v>
          </cell>
          <cell r="Q24">
            <v>-444535.42999999988</v>
          </cell>
        </row>
        <row r="25">
          <cell r="A25" t="str">
            <v>F12310C</v>
          </cell>
          <cell r="B25" t="str">
            <v>INVESTMENT IN SUBSIDIARY COMPANIES</v>
          </cell>
          <cell r="C25">
            <v>3290000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3290000</v>
          </cell>
        </row>
        <row r="26">
          <cell r="A26" t="str">
            <v>F12400C</v>
          </cell>
          <cell r="B26" t="str">
            <v>OTHER INVESTMENTS</v>
          </cell>
          <cell r="C26">
            <v>2516379.9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-2505425</v>
          </cell>
          <cell r="P26">
            <v>-2505425</v>
          </cell>
          <cell r="Q26">
            <v>10954.899999999907</v>
          </cell>
        </row>
        <row r="27">
          <cell r="A27" t="str">
            <v>F12810C</v>
          </cell>
          <cell r="B27" t="str">
            <v>OTHER SPECIAL FUNDS-DEFERRED CHARGES</v>
          </cell>
          <cell r="C27">
            <v>-491331.27</v>
          </cell>
          <cell r="D27">
            <v>98267</v>
          </cell>
          <cell r="E27">
            <v>98267</v>
          </cell>
          <cell r="F27">
            <v>98267</v>
          </cell>
          <cell r="G27">
            <v>98267</v>
          </cell>
          <cell r="H27">
            <v>98267</v>
          </cell>
          <cell r="I27">
            <v>0</v>
          </cell>
          <cell r="J27">
            <v>227576</v>
          </cell>
          <cell r="K27">
            <v>-1241400.8999999999</v>
          </cell>
          <cell r="L27">
            <v>112647</v>
          </cell>
          <cell r="M27">
            <v>112647</v>
          </cell>
          <cell r="N27">
            <v>112647</v>
          </cell>
          <cell r="O27">
            <v>640471.92000000004</v>
          </cell>
          <cell r="P27">
            <v>455923.02000000014</v>
          </cell>
          <cell r="Q27">
            <v>-35408.249999999884</v>
          </cell>
        </row>
        <row r="28">
          <cell r="A28" t="str">
            <v>F12820C</v>
          </cell>
          <cell r="B28" t="str">
            <v>OTHER SPECIAL FUNDS-SONGS DECOMM</v>
          </cell>
          <cell r="C28">
            <v>551317114</v>
          </cell>
          <cell r="D28">
            <v>411400</v>
          </cell>
          <cell r="E28">
            <v>410600</v>
          </cell>
          <cell r="F28">
            <v>-7198128</v>
          </cell>
          <cell r="G28">
            <v>410600</v>
          </cell>
          <cell r="H28">
            <v>410600</v>
          </cell>
          <cell r="I28">
            <v>5454586</v>
          </cell>
          <cell r="J28">
            <v>410600</v>
          </cell>
          <cell r="K28">
            <v>410600</v>
          </cell>
          <cell r="L28">
            <v>25933831.25</v>
          </cell>
          <cell r="M28">
            <v>410600</v>
          </cell>
          <cell r="N28">
            <v>410600</v>
          </cell>
          <cell r="O28">
            <v>-36039277.490000002</v>
          </cell>
          <cell r="P28">
            <v>-8563388.2400000021</v>
          </cell>
          <cell r="Q28">
            <v>542753725.75999999</v>
          </cell>
        </row>
        <row r="29">
          <cell r="A29" t="str">
            <v>F13100C</v>
          </cell>
          <cell r="B29" t="str">
            <v>CASH</v>
          </cell>
          <cell r="C29">
            <v>7366610.4699999997</v>
          </cell>
          <cell r="D29">
            <v>-376541.68</v>
          </cell>
          <cell r="E29">
            <v>491170.8</v>
          </cell>
          <cell r="F29">
            <v>-2530904.48</v>
          </cell>
          <cell r="G29">
            <v>-1489912.73</v>
          </cell>
          <cell r="H29">
            <v>5774736.0999999996</v>
          </cell>
          <cell r="I29">
            <v>-3433165.36</v>
          </cell>
          <cell r="J29">
            <v>-5501409.2000000002</v>
          </cell>
          <cell r="K29">
            <v>30583.54</v>
          </cell>
          <cell r="L29">
            <v>-204862.21</v>
          </cell>
          <cell r="M29">
            <v>136916.25</v>
          </cell>
          <cell r="N29">
            <v>833530.23</v>
          </cell>
          <cell r="O29">
            <v>1379452.11</v>
          </cell>
          <cell r="P29">
            <v>-4890406.63</v>
          </cell>
          <cell r="Q29">
            <v>2476203.8399999989</v>
          </cell>
        </row>
        <row r="30">
          <cell r="A30" t="str">
            <v>F13400C</v>
          </cell>
          <cell r="B30" t="str">
            <v>OTHER SPECIAL DEPOSITS</v>
          </cell>
          <cell r="C30">
            <v>187391.68</v>
          </cell>
          <cell r="D30">
            <v>7911412.7800000003</v>
          </cell>
          <cell r="E30">
            <v>8220660.7800000003</v>
          </cell>
          <cell r="F30">
            <v>-16281465.24</v>
          </cell>
          <cell r="G30">
            <v>7803819.4699999997</v>
          </cell>
          <cell r="H30">
            <v>7904989.0999999996</v>
          </cell>
          <cell r="I30">
            <v>-14523571.43</v>
          </cell>
          <cell r="J30">
            <v>6427968.3300000001</v>
          </cell>
          <cell r="K30">
            <v>-7896384.1699999999</v>
          </cell>
          <cell r="L30">
            <v>1115081.6499999999</v>
          </cell>
          <cell r="M30">
            <v>-361485</v>
          </cell>
          <cell r="N30">
            <v>1653141.76</v>
          </cell>
          <cell r="O30">
            <v>-2017842.54</v>
          </cell>
          <cell r="P30">
            <v>-43674.509999999078</v>
          </cell>
          <cell r="Q30">
            <v>143717.17000000086</v>
          </cell>
        </row>
        <row r="31">
          <cell r="A31" t="str">
            <v>F13500C</v>
          </cell>
          <cell r="B31" t="str">
            <v>WORKING FUND</v>
          </cell>
          <cell r="C31">
            <v>89840</v>
          </cell>
          <cell r="D31">
            <v>2800</v>
          </cell>
          <cell r="E31">
            <v>0</v>
          </cell>
          <cell r="F31">
            <v>-200</v>
          </cell>
          <cell r="G31">
            <v>-6000</v>
          </cell>
          <cell r="H31">
            <v>-2300</v>
          </cell>
          <cell r="I31">
            <v>-2500</v>
          </cell>
          <cell r="J31">
            <v>0</v>
          </cell>
          <cell r="K31">
            <v>0</v>
          </cell>
          <cell r="L31">
            <v>-3000</v>
          </cell>
          <cell r="M31">
            <v>0</v>
          </cell>
          <cell r="N31">
            <v>-850</v>
          </cell>
          <cell r="O31">
            <v>0</v>
          </cell>
          <cell r="P31">
            <v>-12050</v>
          </cell>
          <cell r="Q31">
            <v>77790</v>
          </cell>
        </row>
        <row r="32">
          <cell r="A32" t="str">
            <v>F13600C</v>
          </cell>
          <cell r="B32" t="str">
            <v>TEMPORARY CASH INVESTMENTS</v>
          </cell>
          <cell r="C32">
            <v>329288846.31999999</v>
          </cell>
          <cell r="D32">
            <v>-16765950.800000001</v>
          </cell>
          <cell r="E32">
            <v>465864812.97000003</v>
          </cell>
          <cell r="F32">
            <v>-428002647.16000003</v>
          </cell>
          <cell r="G32">
            <v>-7713984.6100000003</v>
          </cell>
          <cell r="H32">
            <v>18844996.309999999</v>
          </cell>
          <cell r="I32">
            <v>-59890810.810000002</v>
          </cell>
          <cell r="J32">
            <v>3004411.2</v>
          </cell>
          <cell r="K32">
            <v>-65726376.530000001</v>
          </cell>
          <cell r="L32">
            <v>-29524131.940000001</v>
          </cell>
          <cell r="M32">
            <v>-11554656.42</v>
          </cell>
          <cell r="N32">
            <v>-27366456.329999998</v>
          </cell>
          <cell r="O32">
            <v>82733476.920000002</v>
          </cell>
          <cell r="P32">
            <v>-76097317.200000003</v>
          </cell>
          <cell r="Q32">
            <v>253191529.12</v>
          </cell>
        </row>
        <row r="33">
          <cell r="A33" t="str">
            <v>F14200C</v>
          </cell>
          <cell r="B33" t="str">
            <v>CUSTOMER ACCOUNTS RECEIVABLE</v>
          </cell>
          <cell r="C33">
            <v>126186839.44</v>
          </cell>
          <cell r="D33">
            <v>4939984.05</v>
          </cell>
          <cell r="E33">
            <v>-203980.78</v>
          </cell>
          <cell r="F33">
            <v>-11153787.98</v>
          </cell>
          <cell r="G33">
            <v>-2078701.59</v>
          </cell>
          <cell r="H33">
            <v>-3852516.82</v>
          </cell>
          <cell r="I33">
            <v>26912612.82</v>
          </cell>
          <cell r="J33">
            <v>108806791.45999999</v>
          </cell>
          <cell r="K33">
            <v>15921394.880000001</v>
          </cell>
          <cell r="L33">
            <v>-23253804.18</v>
          </cell>
          <cell r="M33">
            <v>-55446763.479999997</v>
          </cell>
          <cell r="N33">
            <v>-175162604.78999999</v>
          </cell>
          <cell r="O33">
            <v>146011784.43000001</v>
          </cell>
          <cell r="P33">
            <v>31440408.020000011</v>
          </cell>
          <cell r="Q33">
            <v>157627247.45999998</v>
          </cell>
        </row>
        <row r="34">
          <cell r="A34" t="str">
            <v>F14300C</v>
          </cell>
          <cell r="B34" t="str">
            <v>OTHER ACCOUNTS RECEIVABLE</v>
          </cell>
          <cell r="C34">
            <v>12792775.060000001</v>
          </cell>
          <cell r="D34">
            <v>7458145.71</v>
          </cell>
          <cell r="E34">
            <v>3401176.95</v>
          </cell>
          <cell r="F34">
            <v>-3221584.91</v>
          </cell>
          <cell r="G34">
            <v>-593913.34</v>
          </cell>
          <cell r="H34">
            <v>-3154296.87</v>
          </cell>
          <cell r="I34">
            <v>4273524.0199999996</v>
          </cell>
          <cell r="J34">
            <v>-3161633.27</v>
          </cell>
          <cell r="K34">
            <v>-2842075.91</v>
          </cell>
          <cell r="L34">
            <v>865825.8</v>
          </cell>
          <cell r="M34">
            <v>806393.83</v>
          </cell>
          <cell r="N34">
            <v>8493392.5199999996</v>
          </cell>
          <cell r="O34">
            <v>19406864.969999999</v>
          </cell>
          <cell r="P34">
            <v>31731819.499999996</v>
          </cell>
          <cell r="Q34">
            <v>44524594.559999995</v>
          </cell>
        </row>
        <row r="35">
          <cell r="A35" t="str">
            <v>F14400C</v>
          </cell>
          <cell r="B35" t="str">
            <v>ACCUM. PROV. FOR UNCOLLECTIBLE ACCT.-CR</v>
          </cell>
          <cell r="C35">
            <v>-1916580.9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-3008957</v>
          </cell>
          <cell r="P35">
            <v>-3008957</v>
          </cell>
          <cell r="Q35">
            <v>-4925537.9000000004</v>
          </cell>
        </row>
        <row r="36">
          <cell r="A36" t="str">
            <v>F14500C</v>
          </cell>
          <cell r="B36" t="str">
            <v>NOTES REC FROM ASSOC</v>
          </cell>
          <cell r="C36">
            <v>612231941.45000005</v>
          </cell>
          <cell r="D36">
            <v>50546593.210000001</v>
          </cell>
          <cell r="E36">
            <v>-437565409.68000001</v>
          </cell>
          <cell r="F36">
            <v>267514538.66</v>
          </cell>
          <cell r="G36">
            <v>58613420.969999999</v>
          </cell>
          <cell r="H36">
            <v>1564931.04</v>
          </cell>
          <cell r="I36">
            <v>43352760.740000002</v>
          </cell>
          <cell r="J36">
            <v>1467537.11</v>
          </cell>
          <cell r="K36">
            <v>-76706366.530000001</v>
          </cell>
          <cell r="L36">
            <v>-212778469.34</v>
          </cell>
          <cell r="M36">
            <v>-11834038.33</v>
          </cell>
          <cell r="N36">
            <v>-47521912.770000003</v>
          </cell>
          <cell r="O36">
            <v>-229797797.46000001</v>
          </cell>
          <cell r="P36">
            <v>-593144212.38</v>
          </cell>
          <cell r="Q36">
            <v>19087729.070000112</v>
          </cell>
        </row>
        <row r="37">
          <cell r="A37" t="str">
            <v>F14600C</v>
          </cell>
          <cell r="B37" t="str">
            <v>ACCOUNTS RECEIVABLE FROM ASSOC. COMPANI</v>
          </cell>
          <cell r="C37">
            <v>-13981565.52</v>
          </cell>
          <cell r="D37">
            <v>-7357850.71</v>
          </cell>
          <cell r="E37">
            <v>-2831434.78</v>
          </cell>
          <cell r="F37">
            <v>1251840.22</v>
          </cell>
          <cell r="G37">
            <v>-2321183.5099999998</v>
          </cell>
          <cell r="H37">
            <v>-350230.29</v>
          </cell>
          <cell r="I37">
            <v>-5605572.6500000004</v>
          </cell>
          <cell r="J37">
            <v>2303708.54</v>
          </cell>
          <cell r="K37">
            <v>-12924253.630000001</v>
          </cell>
          <cell r="L37">
            <v>13021495.9</v>
          </cell>
          <cell r="M37">
            <v>16715502.9</v>
          </cell>
          <cell r="N37">
            <v>6943747.0700000003</v>
          </cell>
          <cell r="O37">
            <v>-10623975.25</v>
          </cell>
          <cell r="P37">
            <v>-1778206.1900000013</v>
          </cell>
          <cell r="Q37">
            <v>-15759771.710000006</v>
          </cell>
        </row>
        <row r="38">
          <cell r="A38" t="str">
            <v>F15200C</v>
          </cell>
          <cell r="B38" t="str">
            <v>FUEL STOCK EXPENSES UNDISTRIBUTED</v>
          </cell>
          <cell r="C38">
            <v>9069.2900000000009</v>
          </cell>
          <cell r="D38">
            <v>1797.09</v>
          </cell>
          <cell r="E38">
            <v>203</v>
          </cell>
          <cell r="F38">
            <v>7292.18</v>
          </cell>
          <cell r="G38">
            <v>1594.09</v>
          </cell>
          <cell r="H38">
            <v>1594.09</v>
          </cell>
          <cell r="I38">
            <v>-832.63</v>
          </cell>
          <cell r="J38">
            <v>2474.09</v>
          </cell>
          <cell r="K38">
            <v>1594.09</v>
          </cell>
          <cell r="L38">
            <v>1594.09</v>
          </cell>
          <cell r="M38">
            <v>0</v>
          </cell>
          <cell r="N38">
            <v>0</v>
          </cell>
          <cell r="O38">
            <v>0</v>
          </cell>
          <cell r="P38">
            <v>17310.09</v>
          </cell>
          <cell r="Q38">
            <v>26379.38</v>
          </cell>
        </row>
        <row r="39">
          <cell r="A39" t="str">
            <v>F15400C</v>
          </cell>
          <cell r="B39" t="str">
            <v>PLANT MATERIALS AND OPERATING SUPPLIES</v>
          </cell>
          <cell r="C39">
            <v>49379794</v>
          </cell>
          <cell r="D39">
            <v>-128220.3</v>
          </cell>
          <cell r="E39">
            <v>-9351307.9900000002</v>
          </cell>
          <cell r="F39">
            <v>1719579.13</v>
          </cell>
          <cell r="G39">
            <v>-94899.77</v>
          </cell>
          <cell r="H39">
            <v>-668810.1</v>
          </cell>
          <cell r="I39">
            <v>-1212489.02</v>
          </cell>
          <cell r="J39">
            <v>-141316.71</v>
          </cell>
          <cell r="K39">
            <v>1072325.3400000001</v>
          </cell>
          <cell r="L39">
            <v>233315.7</v>
          </cell>
          <cell r="M39">
            <v>445632.26</v>
          </cell>
          <cell r="N39">
            <v>-918256.77</v>
          </cell>
          <cell r="O39">
            <v>-1194572.96</v>
          </cell>
          <cell r="P39">
            <v>-10239021.190000001</v>
          </cell>
          <cell r="Q39">
            <v>39140772.809999995</v>
          </cell>
        </row>
        <row r="40">
          <cell r="A40" t="str">
            <v>F15600C</v>
          </cell>
          <cell r="B40" t="str">
            <v>OTHER MATERIALS AND SUPPLIES</v>
          </cell>
          <cell r="C40">
            <v>44452.7</v>
          </cell>
          <cell r="D40">
            <v>14758.49</v>
          </cell>
          <cell r="E40">
            <v>2157.23</v>
          </cell>
          <cell r="F40">
            <v>419.76</v>
          </cell>
          <cell r="G40">
            <v>517.63</v>
          </cell>
          <cell r="H40">
            <v>-29001.9</v>
          </cell>
          <cell r="I40">
            <v>1467.8</v>
          </cell>
          <cell r="J40">
            <v>-839.05</v>
          </cell>
          <cell r="K40">
            <v>409</v>
          </cell>
          <cell r="L40">
            <v>2458.87</v>
          </cell>
          <cell r="M40">
            <v>3170.11</v>
          </cell>
          <cell r="N40">
            <v>-1375.34</v>
          </cell>
          <cell r="O40">
            <v>632.91999999999996</v>
          </cell>
          <cell r="P40">
            <v>-5224.4800000000014</v>
          </cell>
          <cell r="Q40">
            <v>39228.22</v>
          </cell>
        </row>
        <row r="41">
          <cell r="A41" t="str">
            <v>F15700C</v>
          </cell>
          <cell r="B41" t="str">
            <v>NUCLEAR MATERIALS HELD FOR SALE</v>
          </cell>
          <cell r="C41">
            <v>134.83000000000001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-134.83000000000001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-134.83000000000001</v>
          </cell>
          <cell r="Q41">
            <v>0</v>
          </cell>
        </row>
        <row r="42">
          <cell r="A42" t="str">
            <v>F16300C</v>
          </cell>
          <cell r="B42" t="str">
            <v>STORES EXPENSE UNDISTRIBUTED</v>
          </cell>
          <cell r="C42">
            <v>1087840.74</v>
          </cell>
          <cell r="D42">
            <v>-1114214.96</v>
          </cell>
          <cell r="E42">
            <v>-128938.81</v>
          </cell>
          <cell r="F42">
            <v>54071.76</v>
          </cell>
          <cell r="G42">
            <v>-63964.2</v>
          </cell>
          <cell r="H42">
            <v>-110301.61</v>
          </cell>
          <cell r="I42">
            <v>-30628.78</v>
          </cell>
          <cell r="J42">
            <v>-77825.81</v>
          </cell>
          <cell r="K42">
            <v>141854.47</v>
          </cell>
          <cell r="L42">
            <v>-245123.65</v>
          </cell>
          <cell r="M42">
            <v>31778.73</v>
          </cell>
          <cell r="N42">
            <v>-228926.31</v>
          </cell>
          <cell r="O42">
            <v>-586369.93999999994</v>
          </cell>
          <cell r="P42">
            <v>-2358589.1100000003</v>
          </cell>
          <cell r="Q42">
            <v>-1270748.3699999999</v>
          </cell>
        </row>
        <row r="43">
          <cell r="A43" t="str">
            <v>F16410C</v>
          </cell>
          <cell r="B43" t="str">
            <v>GAS STORED UNDERGROUND-CURRENT</v>
          </cell>
          <cell r="C43">
            <v>10628148.289999999</v>
          </cell>
          <cell r="D43">
            <v>-5934141.5099999998</v>
          </cell>
          <cell r="E43">
            <v>-3600205.86</v>
          </cell>
          <cell r="F43">
            <v>-892068.5</v>
          </cell>
          <cell r="G43">
            <v>2886969.26</v>
          </cell>
          <cell r="H43">
            <v>2410531.8399999999</v>
          </cell>
          <cell r="I43">
            <v>1362698.48</v>
          </cell>
          <cell r="J43">
            <v>3294968.3</v>
          </cell>
          <cell r="K43">
            <v>-3374104.39</v>
          </cell>
          <cell r="L43">
            <v>15179759.300000001</v>
          </cell>
          <cell r="M43">
            <v>9371772.8399999999</v>
          </cell>
          <cell r="N43">
            <v>-8054147.3899999997</v>
          </cell>
          <cell r="O43">
            <v>-11205968.74</v>
          </cell>
          <cell r="P43">
            <v>1446063.6300000008</v>
          </cell>
          <cell r="Q43">
            <v>12074211.92</v>
          </cell>
        </row>
        <row r="44">
          <cell r="A44" t="str">
            <v>F16500C</v>
          </cell>
          <cell r="B44" t="str">
            <v>PREPAYMENTS</v>
          </cell>
          <cell r="C44">
            <v>4977554.13</v>
          </cell>
          <cell r="D44">
            <v>-282340.25</v>
          </cell>
          <cell r="E44">
            <v>-1074038.55</v>
          </cell>
          <cell r="F44">
            <v>-293898.49</v>
          </cell>
          <cell r="G44">
            <v>4731398.68</v>
          </cell>
          <cell r="H44">
            <v>-2834964.95</v>
          </cell>
          <cell r="I44">
            <v>-2725202.24</v>
          </cell>
          <cell r="J44">
            <v>2299201.79</v>
          </cell>
          <cell r="K44">
            <v>-205545.66</v>
          </cell>
          <cell r="L44">
            <v>-268283.95</v>
          </cell>
          <cell r="M44">
            <v>46659.34</v>
          </cell>
          <cell r="N44">
            <v>-195466.83</v>
          </cell>
          <cell r="O44">
            <v>2241838.29</v>
          </cell>
          <cell r="P44">
            <v>1439357.1799999992</v>
          </cell>
          <cell r="Q44">
            <v>6416911.3099999987</v>
          </cell>
        </row>
        <row r="45">
          <cell r="A45" t="str">
            <v>F17100C</v>
          </cell>
          <cell r="B45" t="str">
            <v>INTEREST AND DIVIDENDS RECEIVABLE</v>
          </cell>
          <cell r="C45">
            <v>2188804.34</v>
          </cell>
          <cell r="D45">
            <v>-925528.01</v>
          </cell>
          <cell r="E45">
            <v>433761.66</v>
          </cell>
          <cell r="F45">
            <v>-302367.55</v>
          </cell>
          <cell r="G45">
            <v>-51181.2</v>
          </cell>
          <cell r="H45">
            <v>545482.18999999994</v>
          </cell>
          <cell r="I45">
            <v>-822929.87</v>
          </cell>
          <cell r="J45">
            <v>307566.15000000002</v>
          </cell>
          <cell r="K45">
            <v>-270645.99</v>
          </cell>
          <cell r="L45">
            <v>-581656.15</v>
          </cell>
          <cell r="M45">
            <v>-306604.33</v>
          </cell>
          <cell r="N45">
            <v>97819.25</v>
          </cell>
          <cell r="O45">
            <v>204002.84</v>
          </cell>
          <cell r="P45">
            <v>-1672281.01</v>
          </cell>
          <cell r="Q45">
            <v>516523.32999999949</v>
          </cell>
        </row>
        <row r="46">
          <cell r="A46" t="str">
            <v>F17300C</v>
          </cell>
          <cell r="B46" t="str">
            <v>ACCRUED UTILITY REVENUES</v>
          </cell>
          <cell r="C46">
            <v>52359000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3400000</v>
          </cell>
          <cell r="P46">
            <v>3400000</v>
          </cell>
          <cell r="Q46">
            <v>55759000</v>
          </cell>
        </row>
        <row r="47">
          <cell r="A47" t="str">
            <v>F17400C</v>
          </cell>
          <cell r="B47" t="str">
            <v>MISCELLANEOUS CURRENT AND ACCRUED ASSET</v>
          </cell>
          <cell r="C47">
            <v>45772914.409999996</v>
          </cell>
          <cell r="D47">
            <v>-3534625</v>
          </cell>
          <cell r="E47">
            <v>1531422</v>
          </cell>
          <cell r="F47">
            <v>1797776.95</v>
          </cell>
          <cell r="G47">
            <v>2671057</v>
          </cell>
          <cell r="H47">
            <v>31843668</v>
          </cell>
          <cell r="I47">
            <v>108195677</v>
          </cell>
          <cell r="J47">
            <v>-2233127</v>
          </cell>
          <cell r="K47">
            <v>21898550</v>
          </cell>
          <cell r="L47">
            <v>-51155109</v>
          </cell>
          <cell r="M47">
            <v>-38637610</v>
          </cell>
          <cell r="N47">
            <v>230680927</v>
          </cell>
          <cell r="O47">
            <v>118104760</v>
          </cell>
          <cell r="P47">
            <v>421163366.94999999</v>
          </cell>
          <cell r="Q47">
            <v>466936281.36000001</v>
          </cell>
        </row>
        <row r="48">
          <cell r="A48" t="str">
            <v>F17401C</v>
          </cell>
          <cell r="B48" t="str">
            <v>MISC. CURRENT AND ACCRUED ASSETS-BALANC</v>
          </cell>
          <cell r="C48">
            <v>0</v>
          </cell>
          <cell r="D48">
            <v>0</v>
          </cell>
          <cell r="G48">
            <v>0</v>
          </cell>
          <cell r="H48">
            <v>6292</v>
          </cell>
          <cell r="I48">
            <v>126436</v>
          </cell>
          <cell r="J48">
            <v>727</v>
          </cell>
          <cell r="K48">
            <v>725</v>
          </cell>
          <cell r="L48">
            <v>726</v>
          </cell>
          <cell r="M48">
            <v>35709</v>
          </cell>
          <cell r="N48">
            <v>60023</v>
          </cell>
          <cell r="O48">
            <v>27086</v>
          </cell>
          <cell r="P48">
            <v>257724</v>
          </cell>
          <cell r="Q48">
            <v>257724</v>
          </cell>
        </row>
        <row r="49">
          <cell r="A49" t="str">
            <v>F18100C</v>
          </cell>
          <cell r="B49" t="str">
            <v>UNAMORTIZED DEBT EXPENSES</v>
          </cell>
          <cell r="C49">
            <v>11391860.800000001</v>
          </cell>
          <cell r="D49">
            <v>-48716.09</v>
          </cell>
          <cell r="E49">
            <v>-48716.09</v>
          </cell>
          <cell r="F49">
            <v>-48716.09</v>
          </cell>
          <cell r="G49">
            <v>-48716.09</v>
          </cell>
          <cell r="H49">
            <v>-97601.64</v>
          </cell>
          <cell r="I49">
            <v>-48511.54</v>
          </cell>
          <cell r="J49">
            <v>-48511.54</v>
          </cell>
          <cell r="K49">
            <v>-48511.54</v>
          </cell>
          <cell r="L49">
            <v>-48511.54</v>
          </cell>
          <cell r="M49">
            <v>-48511.54</v>
          </cell>
          <cell r="N49">
            <v>-48511.54</v>
          </cell>
          <cell r="O49">
            <v>-48511.54</v>
          </cell>
          <cell r="P49">
            <v>-632046.78</v>
          </cell>
          <cell r="Q49">
            <v>10759814.020000007</v>
          </cell>
        </row>
        <row r="50">
          <cell r="A50" t="str">
            <v>F18220C</v>
          </cell>
          <cell r="B50" t="str">
            <v>UNRECOVERED PLANT AND REGULATORY STUDY</v>
          </cell>
          <cell r="C50">
            <v>53.27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-53.27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-53.27</v>
          </cell>
          <cell r="Q50">
            <v>0</v>
          </cell>
        </row>
        <row r="51">
          <cell r="A51" t="str">
            <v>F18230C</v>
          </cell>
          <cell r="B51" t="str">
            <v>OTHER REGULATORY ASSETS</v>
          </cell>
          <cell r="C51">
            <v>251711586.40000001</v>
          </cell>
          <cell r="D51">
            <v>-220621.56</v>
          </cell>
          <cell r="E51">
            <v>-220621.56</v>
          </cell>
          <cell r="F51">
            <v>-14289491.560000001</v>
          </cell>
          <cell r="G51">
            <v>7841.44</v>
          </cell>
          <cell r="H51">
            <v>7841.44</v>
          </cell>
          <cell r="I51">
            <v>-9915158.5600000005</v>
          </cell>
          <cell r="J51">
            <v>7841.44</v>
          </cell>
          <cell r="K51">
            <v>1882552.44</v>
          </cell>
          <cell r="L51">
            <v>102674461.44</v>
          </cell>
          <cell r="M51">
            <v>82138920.439999998</v>
          </cell>
          <cell r="N51">
            <v>110618791.44</v>
          </cell>
          <cell r="O51">
            <v>94701164.680000007</v>
          </cell>
          <cell r="P51">
            <v>367393521.52000004</v>
          </cell>
          <cell r="Q51">
            <v>619105107.92000008</v>
          </cell>
        </row>
        <row r="52">
          <cell r="A52" t="str">
            <v>F18300C</v>
          </cell>
          <cell r="B52" t="str">
            <v>PRELIM. SURVEY AND INVESTIGATION CHARGE</v>
          </cell>
          <cell r="C52">
            <v>4428205.24</v>
          </cell>
          <cell r="D52">
            <v>-88578.240000000005</v>
          </cell>
          <cell r="E52">
            <v>244836.69</v>
          </cell>
          <cell r="F52">
            <v>106591.81</v>
          </cell>
          <cell r="G52">
            <v>62658.5</v>
          </cell>
          <cell r="H52">
            <v>23412.79</v>
          </cell>
          <cell r="I52">
            <v>86914.62</v>
          </cell>
          <cell r="J52">
            <v>66149.89</v>
          </cell>
          <cell r="K52">
            <v>129630.22</v>
          </cell>
          <cell r="L52">
            <v>286415.07</v>
          </cell>
          <cell r="M52">
            <v>377125.75</v>
          </cell>
          <cell r="N52">
            <v>775561.94</v>
          </cell>
          <cell r="O52">
            <v>889389.38</v>
          </cell>
          <cell r="P52">
            <v>2960108.42</v>
          </cell>
          <cell r="Q52">
            <v>7388313.6599999992</v>
          </cell>
        </row>
        <row r="53">
          <cell r="A53" t="str">
            <v>F18400C</v>
          </cell>
          <cell r="B53" t="str">
            <v>CLEARING ACCOUNTS</v>
          </cell>
          <cell r="C53">
            <v>-35006.69</v>
          </cell>
          <cell r="D53">
            <v>1000963.93</v>
          </cell>
          <cell r="E53">
            <v>668312.43999999994</v>
          </cell>
          <cell r="F53">
            <v>-1931333.46</v>
          </cell>
          <cell r="G53">
            <v>1439056.41</v>
          </cell>
          <cell r="H53">
            <v>518872.01</v>
          </cell>
          <cell r="I53">
            <v>1300618.1599999999</v>
          </cell>
          <cell r="J53">
            <v>402789.68</v>
          </cell>
          <cell r="K53">
            <v>29126.77</v>
          </cell>
          <cell r="L53">
            <v>158564.20000000001</v>
          </cell>
          <cell r="M53">
            <v>-584034.17000000004</v>
          </cell>
          <cell r="N53">
            <v>50304.99</v>
          </cell>
          <cell r="O53">
            <v>-1673240.64</v>
          </cell>
          <cell r="P53">
            <v>1380000.320000001</v>
          </cell>
          <cell r="Q53">
            <v>1344993.6300000006</v>
          </cell>
        </row>
        <row r="54">
          <cell r="A54" t="str">
            <v>F18500C</v>
          </cell>
          <cell r="B54" t="str">
            <v>TEMPORARY FACILITIES</v>
          </cell>
          <cell r="C54">
            <v>11596.94</v>
          </cell>
          <cell r="D54">
            <v>14430.42</v>
          </cell>
          <cell r="E54">
            <v>4715.3</v>
          </cell>
          <cell r="F54">
            <v>25069.040000000001</v>
          </cell>
          <cell r="G54">
            <v>7823.35</v>
          </cell>
          <cell r="H54">
            <v>862.77</v>
          </cell>
          <cell r="I54">
            <v>-5436.18</v>
          </cell>
          <cell r="J54">
            <v>14255.43</v>
          </cell>
          <cell r="K54">
            <v>74964.210000000006</v>
          </cell>
          <cell r="L54">
            <v>6421.33</v>
          </cell>
          <cell r="M54">
            <v>-24872.23</v>
          </cell>
          <cell r="N54">
            <v>-63281.02</v>
          </cell>
          <cell r="O54">
            <v>306770.06</v>
          </cell>
          <cell r="P54">
            <v>361722.48</v>
          </cell>
          <cell r="Q54">
            <v>373319.42</v>
          </cell>
        </row>
        <row r="55">
          <cell r="A55" t="str">
            <v>F18600C</v>
          </cell>
          <cell r="B55" t="str">
            <v>MISCELLANEOUS DEFERRED DEBITS</v>
          </cell>
          <cell r="C55">
            <v>582396511.10000002</v>
          </cell>
          <cell r="D55">
            <v>-2021910.37</v>
          </cell>
          <cell r="E55">
            <v>-1982569.13</v>
          </cell>
          <cell r="F55">
            <v>-1952679.13</v>
          </cell>
          <cell r="G55">
            <v>-16335117.640000001</v>
          </cell>
          <cell r="H55">
            <v>-4739321.33</v>
          </cell>
          <cell r="I55">
            <v>-5314825.87</v>
          </cell>
          <cell r="J55">
            <v>-14641582.83</v>
          </cell>
          <cell r="K55">
            <v>-6065024.3899999997</v>
          </cell>
          <cell r="L55">
            <v>-18979603.969999999</v>
          </cell>
          <cell r="M55">
            <v>-4950367.99</v>
          </cell>
          <cell r="N55">
            <v>-4724311.9800000004</v>
          </cell>
          <cell r="O55">
            <v>-5806905.2000000002</v>
          </cell>
          <cell r="P55">
            <v>-87514219.829999998</v>
          </cell>
          <cell r="Q55">
            <v>494882291.27000004</v>
          </cell>
        </row>
        <row r="56">
          <cell r="A56" t="str">
            <v>F18800C</v>
          </cell>
          <cell r="B56" t="str">
            <v>RESEARCH  DEVEL. AND DEMONSTRATION EXPE</v>
          </cell>
          <cell r="C56">
            <v>-4719.09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-4719.09</v>
          </cell>
        </row>
        <row r="57">
          <cell r="A57" t="str">
            <v>F18900C</v>
          </cell>
          <cell r="B57" t="str">
            <v>UNAMORTIZED LOSS ON REACQUIRED DEBT</v>
          </cell>
          <cell r="C57">
            <v>60763240.450000003</v>
          </cell>
          <cell r="D57">
            <v>-382477.76</v>
          </cell>
          <cell r="E57">
            <v>-372636.89</v>
          </cell>
          <cell r="F57">
            <v>-372636.89</v>
          </cell>
          <cell r="G57">
            <v>-372636.89</v>
          </cell>
          <cell r="H57">
            <v>161721.04</v>
          </cell>
          <cell r="I57">
            <v>-374872.7</v>
          </cell>
          <cell r="J57">
            <v>-374872.7</v>
          </cell>
          <cell r="K57">
            <v>-374872.7</v>
          </cell>
          <cell r="L57">
            <v>-374872.7</v>
          </cell>
          <cell r="M57">
            <v>-374872.7</v>
          </cell>
          <cell r="N57">
            <v>-374872.7</v>
          </cell>
          <cell r="O57">
            <v>-374872.7</v>
          </cell>
          <cell r="P57">
            <v>-3962776.290000001</v>
          </cell>
          <cell r="Q57">
            <v>56800464.159999982</v>
          </cell>
        </row>
        <row r="58">
          <cell r="A58" t="str">
            <v>F19000C</v>
          </cell>
          <cell r="B58" t="str">
            <v>ACCUMULATED DEFERRED INCOME TAXES</v>
          </cell>
          <cell r="C58">
            <v>-90770807</v>
          </cell>
          <cell r="D58">
            <v>-280000</v>
          </cell>
          <cell r="E58">
            <v>-185000</v>
          </cell>
          <cell r="F58">
            <v>-201000</v>
          </cell>
          <cell r="G58">
            <v>-189000</v>
          </cell>
          <cell r="H58">
            <v>-107000</v>
          </cell>
          <cell r="I58">
            <v>-183000</v>
          </cell>
          <cell r="J58">
            <v>-233000</v>
          </cell>
          <cell r="K58">
            <v>-207000</v>
          </cell>
          <cell r="L58">
            <v>20217000</v>
          </cell>
          <cell r="M58">
            <v>-1743000</v>
          </cell>
          <cell r="N58">
            <v>-118376000</v>
          </cell>
          <cell r="O58">
            <v>-40440000</v>
          </cell>
          <cell r="P58">
            <v>-141927000</v>
          </cell>
          <cell r="Q58">
            <v>-232697807</v>
          </cell>
        </row>
        <row r="59">
          <cell r="A59" t="str">
            <v>F19002C</v>
          </cell>
          <cell r="B59" t="str">
            <v>ACCUMULATED DEFERRED INCOME TAXES</v>
          </cell>
          <cell r="C59">
            <v>242470310.22999999</v>
          </cell>
          <cell r="D59">
            <v>305000</v>
          </cell>
          <cell r="E59">
            <v>202000</v>
          </cell>
          <cell r="F59">
            <v>-2888483</v>
          </cell>
          <cell r="G59">
            <v>206000</v>
          </cell>
          <cell r="H59">
            <v>178000</v>
          </cell>
          <cell r="I59">
            <v>-1239631</v>
          </cell>
          <cell r="J59">
            <v>269000</v>
          </cell>
          <cell r="K59">
            <v>240000</v>
          </cell>
          <cell r="L59">
            <v>-39162367</v>
          </cell>
          <cell r="M59">
            <v>-1050000</v>
          </cell>
          <cell r="N59">
            <v>-109646000</v>
          </cell>
          <cell r="O59">
            <v>-28357591</v>
          </cell>
          <cell r="P59">
            <v>-180944072</v>
          </cell>
          <cell r="Q59">
            <v>61526238.229999989</v>
          </cell>
        </row>
        <row r="60">
          <cell r="A60" t="str">
            <v>F20100C</v>
          </cell>
          <cell r="B60" t="str">
            <v>COMMON STOCK ISSUED</v>
          </cell>
          <cell r="C60">
            <v>-291458395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-291458395</v>
          </cell>
        </row>
        <row r="61">
          <cell r="A61" t="str">
            <v>F20400C</v>
          </cell>
          <cell r="B61" t="str">
            <v>PREFERRED STOCK ISSUED-NON REDEEMABLE</v>
          </cell>
          <cell r="C61">
            <v>-78475400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-78475400</v>
          </cell>
        </row>
        <row r="62">
          <cell r="A62" t="str">
            <v>F20401C</v>
          </cell>
          <cell r="B62" t="str">
            <v>REDEEMABLE PREFERRED STOCK</v>
          </cell>
          <cell r="C62">
            <v>-25000000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-25000000</v>
          </cell>
        </row>
        <row r="63">
          <cell r="A63" t="str">
            <v>F20700C</v>
          </cell>
          <cell r="B63" t="str">
            <v>PREMIUM ON CAPITAL STOCK</v>
          </cell>
          <cell r="C63">
            <v>-592222752.73000002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-592222752.73000002</v>
          </cell>
        </row>
        <row r="64">
          <cell r="A64" t="str">
            <v>F21100C</v>
          </cell>
          <cell r="B64" t="str">
            <v>MISCELLANEOUS PAID-IN CAPITAL</v>
          </cell>
          <cell r="C64">
            <v>3280877</v>
          </cell>
          <cell r="D64">
            <v>0</v>
          </cell>
          <cell r="E64">
            <v>0</v>
          </cell>
          <cell r="F64">
            <v>-1911609</v>
          </cell>
          <cell r="G64">
            <v>0</v>
          </cell>
          <cell r="H64">
            <v>0</v>
          </cell>
          <cell r="I64">
            <v>-247877</v>
          </cell>
          <cell r="J64">
            <v>0</v>
          </cell>
          <cell r="K64">
            <v>0</v>
          </cell>
          <cell r="L64">
            <v>-335692</v>
          </cell>
          <cell r="M64">
            <v>0</v>
          </cell>
          <cell r="N64">
            <v>0</v>
          </cell>
          <cell r="O64">
            <v>2109044</v>
          </cell>
          <cell r="P64">
            <v>-386134</v>
          </cell>
          <cell r="Q64">
            <v>2894743</v>
          </cell>
        </row>
        <row r="65">
          <cell r="A65" t="str">
            <v>F21400C</v>
          </cell>
          <cell r="B65" t="str">
            <v>CAPITAL STOCK EXPENSE</v>
          </cell>
          <cell r="C65">
            <v>25990044.91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25990044.91</v>
          </cell>
        </row>
        <row r="66">
          <cell r="A66" t="str">
            <v>F21600C</v>
          </cell>
          <cell r="B66" t="str">
            <v>RETAINED EARNINGS</v>
          </cell>
          <cell r="C66">
            <v>-529671553.44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-529671553.44</v>
          </cell>
        </row>
        <row r="67">
          <cell r="A67" t="str">
            <v>F22101C</v>
          </cell>
          <cell r="B67" t="str">
            <v>BONDS-LT DEBT</v>
          </cell>
          <cell r="C67">
            <v>-684276000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9651000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9651000</v>
          </cell>
          <cell r="Q67">
            <v>-674625000</v>
          </cell>
        </row>
        <row r="68">
          <cell r="A68" t="str">
            <v>F22200C</v>
          </cell>
          <cell r="B68" t="str">
            <v>REACQUIRED BONDS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12121236</v>
          </cell>
          <cell r="O68">
            <v>47878764</v>
          </cell>
          <cell r="P68">
            <v>60000000</v>
          </cell>
          <cell r="Q68">
            <v>60000000</v>
          </cell>
        </row>
        <row r="69">
          <cell r="A69" t="str">
            <v>F22400C</v>
          </cell>
          <cell r="B69" t="str">
            <v>OTHER LT DEBT-CURRENT PORTION</v>
          </cell>
          <cell r="C69">
            <v>-52000</v>
          </cell>
          <cell r="D69">
            <v>63824.54</v>
          </cell>
          <cell r="E69">
            <v>-63824.54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-52000</v>
          </cell>
        </row>
        <row r="70">
          <cell r="A70" t="str">
            <v>F22401C</v>
          </cell>
          <cell r="B70" t="str">
            <v>OTHER LT DEBT</v>
          </cell>
          <cell r="C70">
            <v>-254057817.46000001</v>
          </cell>
          <cell r="D70">
            <v>0</v>
          </cell>
          <cell r="E70">
            <v>63824.54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8370.02</v>
          </cell>
          <cell r="P70">
            <v>72194.559999999998</v>
          </cell>
          <cell r="Q70">
            <v>-253985622.90000001</v>
          </cell>
        </row>
        <row r="71">
          <cell r="A71" t="str">
            <v>F22500C</v>
          </cell>
          <cell r="B71" t="str">
            <v>UNAMORTIZED PREMIUM ON LONG-TERM DEBT</v>
          </cell>
          <cell r="C71">
            <v>-483065.14</v>
          </cell>
          <cell r="D71">
            <v>2106.09</v>
          </cell>
          <cell r="E71">
            <v>2106.09</v>
          </cell>
          <cell r="F71">
            <v>2106.09</v>
          </cell>
          <cell r="G71">
            <v>2106.09</v>
          </cell>
          <cell r="H71">
            <v>2106.09</v>
          </cell>
          <cell r="I71">
            <v>2106.09</v>
          </cell>
          <cell r="J71">
            <v>2106.09</v>
          </cell>
          <cell r="K71">
            <v>2106.09</v>
          </cell>
          <cell r="L71">
            <v>2106.09</v>
          </cell>
          <cell r="M71">
            <v>2106.09</v>
          </cell>
          <cell r="N71">
            <v>2106.09</v>
          </cell>
          <cell r="O71">
            <v>2106.09</v>
          </cell>
          <cell r="P71">
            <v>25273.08</v>
          </cell>
          <cell r="Q71">
            <v>-457792.05999999971</v>
          </cell>
        </row>
        <row r="72">
          <cell r="A72" t="str">
            <v>F22600C</v>
          </cell>
          <cell r="B72" t="str">
            <v>(LESS) UNAMORTIZED DISCOUNT ON LONG-TER</v>
          </cell>
          <cell r="C72">
            <v>1725316.76</v>
          </cell>
          <cell r="D72">
            <v>-10116.629999999999</v>
          </cell>
          <cell r="E72">
            <v>-10116.629999999999</v>
          </cell>
          <cell r="F72">
            <v>-10116.629999999999</v>
          </cell>
          <cell r="G72">
            <v>-10116.629999999999</v>
          </cell>
          <cell r="H72">
            <v>-107313.19</v>
          </cell>
          <cell r="I72">
            <v>-9709.9500000000007</v>
          </cell>
          <cell r="J72">
            <v>-9709.9500000000007</v>
          </cell>
          <cell r="K72">
            <v>-9709.9500000000007</v>
          </cell>
          <cell r="L72">
            <v>-9709.9500000000007</v>
          </cell>
          <cell r="M72">
            <v>-9709.9500000000007</v>
          </cell>
          <cell r="N72">
            <v>-9709.9500000000007</v>
          </cell>
          <cell r="O72">
            <v>-9709.9500000000007</v>
          </cell>
          <cell r="P72">
            <v>-215749.36000000007</v>
          </cell>
          <cell r="Q72">
            <v>1509567.4000000008</v>
          </cell>
        </row>
        <row r="73">
          <cell r="A73" t="str">
            <v>F22700C</v>
          </cell>
          <cell r="B73" t="str">
            <v>OBLIGATIONS UNDER CAPITAL LEASES-NONCUR</v>
          </cell>
          <cell r="C73">
            <v>-8785272.4199999999</v>
          </cell>
          <cell r="D73">
            <v>1087805.56</v>
          </cell>
          <cell r="E73">
            <v>1168937.8600000001</v>
          </cell>
          <cell r="F73">
            <v>-2461641.06</v>
          </cell>
          <cell r="G73">
            <v>1306447.05</v>
          </cell>
          <cell r="H73">
            <v>1354688.07</v>
          </cell>
          <cell r="I73">
            <v>1304122.4099999999</v>
          </cell>
          <cell r="J73">
            <v>1348658.19</v>
          </cell>
          <cell r="K73">
            <v>1348313.9</v>
          </cell>
          <cell r="L73">
            <v>-6357331.6699999999</v>
          </cell>
          <cell r="M73">
            <v>628941.24</v>
          </cell>
          <cell r="N73">
            <v>-11272261.529999999</v>
          </cell>
          <cell r="O73">
            <v>970963.87</v>
          </cell>
          <cell r="P73">
            <v>-9572356.1099999994</v>
          </cell>
          <cell r="Q73">
            <v>-18357628.529999997</v>
          </cell>
        </row>
        <row r="74">
          <cell r="A74" t="str">
            <v>F22820C</v>
          </cell>
          <cell r="B74" t="str">
            <v>ACCUMULATED PROVISION FOR INJURIES AND</v>
          </cell>
          <cell r="C74">
            <v>-16807935.210000001</v>
          </cell>
          <cell r="D74">
            <v>-100706.25</v>
          </cell>
          <cell r="E74">
            <v>-859665.85</v>
          </cell>
          <cell r="F74">
            <v>840753.07</v>
          </cell>
          <cell r="G74">
            <v>160841.82</v>
          </cell>
          <cell r="H74">
            <v>220783.17</v>
          </cell>
          <cell r="I74">
            <v>2976581.6</v>
          </cell>
          <cell r="J74">
            <v>264965.24</v>
          </cell>
          <cell r="K74">
            <v>274781.34000000003</v>
          </cell>
          <cell r="L74">
            <v>132942.56</v>
          </cell>
          <cell r="M74">
            <v>-610597.86</v>
          </cell>
          <cell r="N74">
            <v>278274.42</v>
          </cell>
          <cell r="O74">
            <v>-6908339.6699999999</v>
          </cell>
          <cell r="P74">
            <v>-3329386.41</v>
          </cell>
          <cell r="Q74">
            <v>-20137321.620000001</v>
          </cell>
        </row>
        <row r="75">
          <cell r="A75" t="str">
            <v>F22830C</v>
          </cell>
          <cell r="B75" t="str">
            <v>ACCUMULATED PROVISION FOR PENSIONS AND</v>
          </cell>
          <cell r="C75">
            <v>-9069101.2100000009</v>
          </cell>
          <cell r="D75">
            <v>-269705.55</v>
          </cell>
          <cell r="E75">
            <v>-233352.95999999999</v>
          </cell>
          <cell r="F75">
            <v>-402004.45</v>
          </cell>
          <cell r="G75">
            <v>-253843.02</v>
          </cell>
          <cell r="H75">
            <v>-246054.52</v>
          </cell>
          <cell r="I75">
            <v>-244900.59</v>
          </cell>
          <cell r="J75">
            <v>-245764.62</v>
          </cell>
          <cell r="K75">
            <v>-245525.72</v>
          </cell>
          <cell r="L75">
            <v>-240733.99</v>
          </cell>
          <cell r="M75">
            <v>-261069.82</v>
          </cell>
          <cell r="N75">
            <v>-225891.61</v>
          </cell>
          <cell r="O75">
            <v>2545020.9</v>
          </cell>
          <cell r="P75">
            <v>-323825.94999999972</v>
          </cell>
          <cell r="Q75">
            <v>-9392927.1600000001</v>
          </cell>
        </row>
        <row r="76">
          <cell r="A76" t="str">
            <v>F22840C</v>
          </cell>
          <cell r="B76" t="str">
            <v>ACCUMULATED MISCELLANEOUS OPERATING PRO</v>
          </cell>
          <cell r="C76">
            <v>-222989955.34</v>
          </cell>
          <cell r="D76">
            <v>-474722.06</v>
          </cell>
          <cell r="E76">
            <v>-357694.06</v>
          </cell>
          <cell r="F76">
            <v>-13613695.32</v>
          </cell>
          <cell r="G76">
            <v>323879.2</v>
          </cell>
          <cell r="H76">
            <v>2800156.51</v>
          </cell>
          <cell r="I76">
            <v>19716091.300000001</v>
          </cell>
          <cell r="J76">
            <v>-366643.87</v>
          </cell>
          <cell r="K76">
            <v>1808750.27</v>
          </cell>
          <cell r="L76">
            <v>-8993475.4900000002</v>
          </cell>
          <cell r="M76">
            <v>212768.18</v>
          </cell>
          <cell r="N76">
            <v>142054.47</v>
          </cell>
          <cell r="O76">
            <v>-2437384.5499999998</v>
          </cell>
          <cell r="P76">
            <v>-1239915.4199999995</v>
          </cell>
          <cell r="Q76">
            <v>-224229870.76000002</v>
          </cell>
        </row>
        <row r="77">
          <cell r="A77" t="str">
            <v>F23200C</v>
          </cell>
          <cell r="B77" t="str">
            <v>ACCOUNTS PAYABLE</v>
          </cell>
          <cell r="C77">
            <v>-165762655.72</v>
          </cell>
          <cell r="D77">
            <v>41447814.469999999</v>
          </cell>
          <cell r="E77">
            <v>-785116.03</v>
          </cell>
          <cell r="F77">
            <v>-8326551.0599999996</v>
          </cell>
          <cell r="G77">
            <v>-9565788.8699999992</v>
          </cell>
          <cell r="H77">
            <v>-33188177.23</v>
          </cell>
          <cell r="I77">
            <v>-69170355.299999997</v>
          </cell>
          <cell r="J77">
            <v>-16254982.99</v>
          </cell>
          <cell r="K77">
            <v>-110591777.17</v>
          </cell>
          <cell r="L77">
            <v>102139239.88</v>
          </cell>
          <cell r="M77">
            <v>46982471.539999999</v>
          </cell>
          <cell r="N77">
            <v>-19945402.91</v>
          </cell>
          <cell r="O77">
            <v>-174009276.80000001</v>
          </cell>
          <cell r="P77">
            <v>-251267902.47000003</v>
          </cell>
          <cell r="Q77">
            <v>-417030558.19000006</v>
          </cell>
        </row>
        <row r="78">
          <cell r="A78" t="str">
            <v>F23300C</v>
          </cell>
          <cell r="B78" t="str">
            <v>NOTES PAYABLE TO ASSOCIATED COMPANIES</v>
          </cell>
          <cell r="C78">
            <v>0.01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-0.01</v>
          </cell>
          <cell r="O78">
            <v>0</v>
          </cell>
          <cell r="P78">
            <v>-0.01</v>
          </cell>
          <cell r="Q78">
            <v>0</v>
          </cell>
        </row>
        <row r="79">
          <cell r="A79" t="str">
            <v>F23301C</v>
          </cell>
          <cell r="B79" t="str">
            <v>NOTES PAYABLE TO ASSOC. COS-RATE REDUCT</v>
          </cell>
          <cell r="C79">
            <v>-453604287.85000002</v>
          </cell>
          <cell r="D79">
            <v>0</v>
          </cell>
          <cell r="E79">
            <v>0</v>
          </cell>
          <cell r="F79">
            <v>16839254</v>
          </cell>
          <cell r="G79">
            <v>0</v>
          </cell>
          <cell r="H79">
            <v>0</v>
          </cell>
          <cell r="I79">
            <v>14879573</v>
          </cell>
          <cell r="J79">
            <v>0</v>
          </cell>
          <cell r="K79">
            <v>10599545</v>
          </cell>
          <cell r="L79">
            <v>5299773.82</v>
          </cell>
          <cell r="M79">
            <v>6060618</v>
          </cell>
          <cell r="N79">
            <v>-6060618</v>
          </cell>
          <cell r="O79">
            <v>18181854.18</v>
          </cell>
          <cell r="P79">
            <v>65800000</v>
          </cell>
          <cell r="Q79">
            <v>-387804287.85000002</v>
          </cell>
        </row>
        <row r="80">
          <cell r="A80" t="str">
            <v>F23302C</v>
          </cell>
          <cell r="B80" t="str">
            <v>NOTES PAYABLE TO ASSOC COS. CURRENT POR</v>
          </cell>
          <cell r="C80">
            <v>-65800000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-65800000</v>
          </cell>
        </row>
        <row r="81">
          <cell r="A81" t="str">
            <v>F23400C</v>
          </cell>
          <cell r="B81" t="str">
            <v>ACCOUNTS PAYABLE TO ASSOCIATED COMPANIE</v>
          </cell>
          <cell r="C81">
            <v>-20495201.949999999</v>
          </cell>
          <cell r="D81">
            <v>8381996.8399999999</v>
          </cell>
          <cell r="E81">
            <v>9850865.7599999998</v>
          </cell>
          <cell r="F81">
            <v>4640307.47</v>
          </cell>
          <cell r="G81">
            <v>-3060822.45</v>
          </cell>
          <cell r="H81">
            <v>-6092231.3899999997</v>
          </cell>
          <cell r="I81">
            <v>6633187.6399999997</v>
          </cell>
          <cell r="J81">
            <v>-2708497.28</v>
          </cell>
          <cell r="K81">
            <v>8987515.4900000002</v>
          </cell>
          <cell r="L81">
            <v>-6227873.71</v>
          </cell>
          <cell r="M81">
            <v>-2904153.41</v>
          </cell>
          <cell r="N81">
            <v>-3231127.46</v>
          </cell>
          <cell r="O81">
            <v>-11025760.619999999</v>
          </cell>
          <cell r="P81">
            <v>3243406.8799999971</v>
          </cell>
          <cell r="Q81">
            <v>-17251795.07</v>
          </cell>
        </row>
        <row r="82">
          <cell r="A82" t="str">
            <v>F23500C</v>
          </cell>
          <cell r="B82" t="str">
            <v>CUSTOMER DEPOSITS</v>
          </cell>
          <cell r="C82">
            <v>-23991688.629999999</v>
          </cell>
          <cell r="D82">
            <v>-65686</v>
          </cell>
          <cell r="E82">
            <v>746</v>
          </cell>
          <cell r="F82">
            <v>53372</v>
          </cell>
          <cell r="G82">
            <v>-8583</v>
          </cell>
          <cell r="H82">
            <v>-143774</v>
          </cell>
          <cell r="I82">
            <v>115618</v>
          </cell>
          <cell r="J82">
            <v>110004</v>
          </cell>
          <cell r="K82">
            <v>323222</v>
          </cell>
          <cell r="L82">
            <v>390770</v>
          </cell>
          <cell r="M82">
            <v>123289</v>
          </cell>
          <cell r="N82">
            <v>138885</v>
          </cell>
          <cell r="O82">
            <v>303942</v>
          </cell>
          <cell r="P82">
            <v>1341805</v>
          </cell>
          <cell r="Q82">
            <v>-22649883.629999999</v>
          </cell>
        </row>
        <row r="83">
          <cell r="A83" t="str">
            <v>F23600C</v>
          </cell>
          <cell r="B83" t="str">
            <v>TAXES ACCRUED</v>
          </cell>
          <cell r="C83">
            <v>-1997943.97</v>
          </cell>
          <cell r="D83">
            <v>-2961446.87</v>
          </cell>
          <cell r="E83">
            <v>-3570643.02</v>
          </cell>
          <cell r="F83">
            <v>-2130446.4500000002</v>
          </cell>
          <cell r="G83">
            <v>-2517484.86</v>
          </cell>
          <cell r="H83">
            <v>-10308547.630000001</v>
          </cell>
          <cell r="I83">
            <v>23380792.620000001</v>
          </cell>
          <cell r="J83">
            <v>-14226154.23</v>
          </cell>
          <cell r="K83">
            <v>-10988657.119999999</v>
          </cell>
          <cell r="L83">
            <v>18895501.879999999</v>
          </cell>
          <cell r="M83">
            <v>-4703151.82</v>
          </cell>
          <cell r="N83">
            <v>176104209.5</v>
          </cell>
          <cell r="O83">
            <v>-166782840.16999999</v>
          </cell>
          <cell r="P83">
            <v>191131.83000001311</v>
          </cell>
          <cell r="Q83">
            <v>-1806812.1399999857</v>
          </cell>
        </row>
        <row r="84">
          <cell r="A84" t="str">
            <v>F23601C</v>
          </cell>
          <cell r="B84" t="str">
            <v>INCOME TAXES ACCRUED</v>
          </cell>
          <cell r="C84">
            <v>87062224.099999994</v>
          </cell>
          <cell r="D84">
            <v>-16398000</v>
          </cell>
          <cell r="E84">
            <v>-15864000</v>
          </cell>
          <cell r="F84">
            <v>-12379000</v>
          </cell>
          <cell r="G84">
            <v>-42421224.100000001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2465415.1</v>
          </cell>
          <cell r="M84">
            <v>-2465415.1</v>
          </cell>
          <cell r="N84">
            <v>0</v>
          </cell>
          <cell r="O84">
            <v>235912068.69</v>
          </cell>
          <cell r="P84">
            <v>148849844.59</v>
          </cell>
          <cell r="Q84">
            <v>235912068.69</v>
          </cell>
        </row>
        <row r="85">
          <cell r="A85" t="str">
            <v>F23700C</v>
          </cell>
          <cell r="B85" t="str">
            <v>INTEREST ACCRUED</v>
          </cell>
          <cell r="C85">
            <v>-8901977.8900000006</v>
          </cell>
          <cell r="D85">
            <v>-2628234</v>
          </cell>
          <cell r="E85">
            <v>-2843886.45</v>
          </cell>
          <cell r="F85">
            <v>3147597.14</v>
          </cell>
          <cell r="G85">
            <v>-2452305.04</v>
          </cell>
          <cell r="H85">
            <v>-3553515.52</v>
          </cell>
          <cell r="I85">
            <v>8842059.0500000007</v>
          </cell>
          <cell r="J85">
            <v>-3410921.59</v>
          </cell>
          <cell r="K85">
            <v>1973272.05</v>
          </cell>
          <cell r="L85">
            <v>-1218101.72</v>
          </cell>
          <cell r="M85">
            <v>-405385.48</v>
          </cell>
          <cell r="N85">
            <v>-1500167.25</v>
          </cell>
          <cell r="O85">
            <v>4931230.12</v>
          </cell>
          <cell r="P85">
            <v>881641.31000000192</v>
          </cell>
          <cell r="Q85">
            <v>-8020336.5799999973</v>
          </cell>
        </row>
        <row r="86">
          <cell r="A86" t="str">
            <v>F23800C</v>
          </cell>
          <cell r="B86" t="str">
            <v>DIVIDENDS DECLARED</v>
          </cell>
          <cell r="C86">
            <v>-1645542.1</v>
          </cell>
          <cell r="D86">
            <v>1645542.1</v>
          </cell>
          <cell r="E86">
            <v>0</v>
          </cell>
          <cell r="F86">
            <v>-1645542.09</v>
          </cell>
          <cell r="G86">
            <v>1097028.07</v>
          </cell>
          <cell r="H86">
            <v>-548514.03</v>
          </cell>
          <cell r="I86">
            <v>-548514.03</v>
          </cell>
          <cell r="J86">
            <v>1097028.07</v>
          </cell>
          <cell r="K86">
            <v>-548514.03</v>
          </cell>
          <cell r="L86">
            <v>-548514.03</v>
          </cell>
          <cell r="M86">
            <v>1097028.07</v>
          </cell>
          <cell r="N86">
            <v>-548514.03</v>
          </cell>
          <cell r="O86">
            <v>-548514.03</v>
          </cell>
          <cell r="P86">
            <v>4.0000000037252903E-2</v>
          </cell>
          <cell r="Q86">
            <v>-1645542.06</v>
          </cell>
        </row>
        <row r="87">
          <cell r="A87" t="str">
            <v>F24100C</v>
          </cell>
          <cell r="B87" t="str">
            <v>TAX COLLECTIONS PAYABLE</v>
          </cell>
          <cell r="C87">
            <v>-1487675.93</v>
          </cell>
          <cell r="D87">
            <v>1903.8</v>
          </cell>
          <cell r="E87">
            <v>482291.79</v>
          </cell>
          <cell r="F87">
            <v>-500157.31</v>
          </cell>
          <cell r="G87">
            <v>294740.96000000002</v>
          </cell>
          <cell r="H87">
            <v>324169.03999999998</v>
          </cell>
          <cell r="I87">
            <v>-1903158.5</v>
          </cell>
          <cell r="J87">
            <v>1255899.49</v>
          </cell>
          <cell r="K87">
            <v>387823.52</v>
          </cell>
          <cell r="L87">
            <v>-584325.81999999995</v>
          </cell>
          <cell r="M87">
            <v>-279874.77</v>
          </cell>
          <cell r="N87">
            <v>944026.55</v>
          </cell>
          <cell r="O87">
            <v>-2480372.63</v>
          </cell>
          <cell r="P87">
            <v>-2057033.88</v>
          </cell>
          <cell r="Q87">
            <v>-3544709.8099999996</v>
          </cell>
        </row>
        <row r="88">
          <cell r="A88" t="str">
            <v>F24200C</v>
          </cell>
          <cell r="B88" t="str">
            <v>MISCELLANEOUS CURRENT AND ACCRUED LIABI</v>
          </cell>
          <cell r="C88">
            <v>-536744821.01999998</v>
          </cell>
          <cell r="D88">
            <v>-6386504.4800000004</v>
          </cell>
          <cell r="E88">
            <v>3976199.51</v>
          </cell>
          <cell r="F88">
            <v>14160388.859999999</v>
          </cell>
          <cell r="G88">
            <v>17183402.420000002</v>
          </cell>
          <cell r="H88">
            <v>5160000.26</v>
          </cell>
          <cell r="I88">
            <v>-2682131.4900000002</v>
          </cell>
          <cell r="J88">
            <v>378957854.33999997</v>
          </cell>
          <cell r="K88">
            <v>-5790732.4199999999</v>
          </cell>
          <cell r="L88">
            <v>-236916127.90000001</v>
          </cell>
          <cell r="M88">
            <v>-29197085.809999999</v>
          </cell>
          <cell r="N88">
            <v>246087981.52000001</v>
          </cell>
          <cell r="O88">
            <v>12531539.369999999</v>
          </cell>
          <cell r="P88">
            <v>397084784.17999995</v>
          </cell>
          <cell r="Q88">
            <v>-139660036.84</v>
          </cell>
        </row>
        <row r="89">
          <cell r="A89" t="str">
            <v>F24201C</v>
          </cell>
          <cell r="B89" t="str">
            <v>MISC. CURRENT AND ACCRUED LIABILITIES-B</v>
          </cell>
          <cell r="C89">
            <v>-237963114.81</v>
          </cell>
          <cell r="D89">
            <v>-30516005.120000001</v>
          </cell>
          <cell r="E89">
            <v>-12223834.32</v>
          </cell>
          <cell r="F89">
            <v>-6356188.6900000004</v>
          </cell>
          <cell r="G89">
            <v>4473.08</v>
          </cell>
          <cell r="H89">
            <v>-17838411.949999999</v>
          </cell>
          <cell r="I89">
            <v>-65122680.759999998</v>
          </cell>
          <cell r="J89">
            <v>-434070184.67000002</v>
          </cell>
          <cell r="K89">
            <v>267560555.91999999</v>
          </cell>
          <cell r="L89">
            <v>98882172.909999996</v>
          </cell>
          <cell r="M89">
            <v>-2244176.71</v>
          </cell>
          <cell r="N89">
            <v>-210578699.84999999</v>
          </cell>
          <cell r="O89">
            <v>-183314348.21000001</v>
          </cell>
          <cell r="P89">
            <v>-595817328.37000012</v>
          </cell>
          <cell r="Q89">
            <v>-833780443.18000007</v>
          </cell>
        </row>
        <row r="90">
          <cell r="A90" t="str">
            <v>F24202C</v>
          </cell>
          <cell r="B90" t="str">
            <v>MISC. CURRENT AND ACCRUED LIABILITIES-A</v>
          </cell>
          <cell r="C90">
            <v>26704724.809999999</v>
          </cell>
          <cell r="D90">
            <v>-331628</v>
          </cell>
          <cell r="E90">
            <v>21310</v>
          </cell>
          <cell r="F90">
            <v>609003</v>
          </cell>
          <cell r="G90">
            <v>83401</v>
          </cell>
          <cell r="H90">
            <v>294812</v>
          </cell>
          <cell r="I90">
            <v>33340</v>
          </cell>
          <cell r="J90">
            <v>-66910</v>
          </cell>
          <cell r="K90">
            <v>-43647</v>
          </cell>
          <cell r="L90">
            <v>52670</v>
          </cell>
          <cell r="M90">
            <v>245996</v>
          </cell>
          <cell r="N90">
            <v>53115</v>
          </cell>
          <cell r="O90">
            <v>246368</v>
          </cell>
          <cell r="P90">
            <v>1197830</v>
          </cell>
          <cell r="Q90">
            <v>27902554.809999999</v>
          </cell>
        </row>
        <row r="91">
          <cell r="A91" t="str">
            <v>F24300C</v>
          </cell>
          <cell r="B91" t="str">
            <v>OBLIGATIONS UNDER CAPITAL LEASES-CURREN</v>
          </cell>
          <cell r="C91">
            <v>-120175</v>
          </cell>
          <cell r="D91">
            <v>0</v>
          </cell>
          <cell r="E91">
            <v>0</v>
          </cell>
          <cell r="F91">
            <v>31593</v>
          </cell>
          <cell r="G91">
            <v>0</v>
          </cell>
          <cell r="H91">
            <v>0</v>
          </cell>
          <cell r="I91">
            <v>32487</v>
          </cell>
          <cell r="J91">
            <v>0</v>
          </cell>
          <cell r="K91">
            <v>0</v>
          </cell>
          <cell r="L91">
            <v>33405</v>
          </cell>
          <cell r="M91">
            <v>0</v>
          </cell>
          <cell r="N91">
            <v>0</v>
          </cell>
          <cell r="O91">
            <v>22690</v>
          </cell>
          <cell r="P91">
            <v>120175</v>
          </cell>
          <cell r="Q91">
            <v>0</v>
          </cell>
        </row>
        <row r="92">
          <cell r="A92" t="str">
            <v>F24301C</v>
          </cell>
          <cell r="B92" t="str">
            <v>OBLIGATIONS UNDER CAPITAL LEASES-LT DEB</v>
          </cell>
          <cell r="C92">
            <v>-12000000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12000000</v>
          </cell>
          <cell r="O92">
            <v>0</v>
          </cell>
          <cell r="P92">
            <v>12000000</v>
          </cell>
          <cell r="Q92">
            <v>0</v>
          </cell>
        </row>
        <row r="93">
          <cell r="A93" t="str">
            <v>F25200C</v>
          </cell>
          <cell r="B93" t="str">
            <v>CUSTOMER ADVANCES FOR CONSTRUCTION</v>
          </cell>
          <cell r="C93">
            <v>-28844209.260000002</v>
          </cell>
          <cell r="D93">
            <v>207392.82</v>
          </cell>
          <cell r="E93">
            <v>229730.78</v>
          </cell>
          <cell r="F93">
            <v>-1635849.61</v>
          </cell>
          <cell r="G93">
            <v>-17847.29</v>
          </cell>
          <cell r="H93">
            <v>1292069.21</v>
          </cell>
          <cell r="I93">
            <v>-864538.31</v>
          </cell>
          <cell r="J93">
            <v>523000.82</v>
          </cell>
          <cell r="K93">
            <v>386007.93</v>
          </cell>
          <cell r="L93">
            <v>-224623.96</v>
          </cell>
          <cell r="M93">
            <v>-32960.400000000001</v>
          </cell>
          <cell r="N93">
            <v>2099240.2999999998</v>
          </cell>
          <cell r="O93">
            <v>-143854.10999999999</v>
          </cell>
          <cell r="P93">
            <v>1817768.1799999997</v>
          </cell>
          <cell r="Q93">
            <v>-27026441.079999994</v>
          </cell>
        </row>
        <row r="94">
          <cell r="A94" t="str">
            <v>F25300C</v>
          </cell>
          <cell r="B94" t="str">
            <v>OTHER DEFERRED CREDITS-CAC</v>
          </cell>
          <cell r="C94">
            <v>-42102564.549999997</v>
          </cell>
          <cell r="D94">
            <v>-38366.699999999997</v>
          </cell>
          <cell r="E94">
            <v>81630.649999999994</v>
          </cell>
          <cell r="F94">
            <v>-381533.44</v>
          </cell>
          <cell r="G94">
            <v>15494.9</v>
          </cell>
          <cell r="H94">
            <v>570979.11</v>
          </cell>
          <cell r="I94">
            <v>-302882.71999999997</v>
          </cell>
          <cell r="J94">
            <v>160240.22</v>
          </cell>
          <cell r="K94">
            <v>121053.74</v>
          </cell>
          <cell r="L94">
            <v>-60636.78</v>
          </cell>
          <cell r="M94">
            <v>74873.23</v>
          </cell>
          <cell r="N94">
            <v>789092.99</v>
          </cell>
          <cell r="O94">
            <v>-218192.63</v>
          </cell>
          <cell r="P94">
            <v>811752.57000000007</v>
          </cell>
          <cell r="Q94">
            <v>-41290811.980000004</v>
          </cell>
        </row>
        <row r="95">
          <cell r="A95" t="str">
            <v>F25301C</v>
          </cell>
          <cell r="B95" t="str">
            <v>OTHER DEFERRED CREDITS-CAC</v>
          </cell>
          <cell r="C95">
            <v>-183744527.99000001</v>
          </cell>
          <cell r="D95">
            <v>1083337.29</v>
          </cell>
          <cell r="E95">
            <v>-787963.3</v>
          </cell>
          <cell r="F95">
            <v>7339555.8499999996</v>
          </cell>
          <cell r="G95">
            <v>980761.9</v>
          </cell>
          <cell r="H95">
            <v>895393.92</v>
          </cell>
          <cell r="I95">
            <v>2617673.08</v>
          </cell>
          <cell r="J95">
            <v>852797.55</v>
          </cell>
          <cell r="K95">
            <v>-1353754.07</v>
          </cell>
          <cell r="L95">
            <v>1929134.5</v>
          </cell>
          <cell r="M95">
            <v>1275520.23</v>
          </cell>
          <cell r="N95">
            <v>1186116.2</v>
          </cell>
          <cell r="O95">
            <v>3178329.96</v>
          </cell>
          <cell r="P95">
            <v>19196903.109999999</v>
          </cell>
          <cell r="Q95">
            <v>-164547624.88000003</v>
          </cell>
        </row>
        <row r="96">
          <cell r="A96" t="str">
            <v>F25400C</v>
          </cell>
          <cell r="B96" t="str">
            <v>OTH REG LIABILITIES</v>
          </cell>
          <cell r="C96">
            <v>-96914000</v>
          </cell>
          <cell r="D96">
            <v>0</v>
          </cell>
          <cell r="E96">
            <v>0</v>
          </cell>
          <cell r="F96">
            <v>1442000</v>
          </cell>
          <cell r="I96">
            <v>1037000</v>
          </cell>
          <cell r="J96">
            <v>0</v>
          </cell>
          <cell r="K96">
            <v>0</v>
          </cell>
          <cell r="L96">
            <v>1514000</v>
          </cell>
          <cell r="M96">
            <v>0</v>
          </cell>
          <cell r="N96">
            <v>6617000</v>
          </cell>
          <cell r="O96">
            <v>1093000</v>
          </cell>
          <cell r="P96">
            <v>11703000</v>
          </cell>
          <cell r="Q96">
            <v>-85211000</v>
          </cell>
        </row>
        <row r="97">
          <cell r="A97" t="str">
            <v>F25500C</v>
          </cell>
          <cell r="B97" t="str">
            <v>ACCUMULATED DEFERRED INVESTMENT TAX CRE</v>
          </cell>
          <cell r="C97">
            <v>-50882509</v>
          </cell>
          <cell r="D97">
            <v>355000</v>
          </cell>
          <cell r="E97">
            <v>238000</v>
          </cell>
          <cell r="F97">
            <v>255000</v>
          </cell>
          <cell r="G97">
            <v>239000</v>
          </cell>
          <cell r="H97">
            <v>192000</v>
          </cell>
          <cell r="I97">
            <v>244000</v>
          </cell>
          <cell r="J97">
            <v>310000</v>
          </cell>
          <cell r="K97">
            <v>277000</v>
          </cell>
          <cell r="L97">
            <v>208000</v>
          </cell>
          <cell r="M97">
            <v>68000</v>
          </cell>
          <cell r="N97">
            <v>92000</v>
          </cell>
          <cell r="O97">
            <v>322000</v>
          </cell>
          <cell r="P97">
            <v>2800000</v>
          </cell>
          <cell r="Q97">
            <v>-48082509</v>
          </cell>
        </row>
        <row r="98">
          <cell r="A98" t="str">
            <v>F28100C</v>
          </cell>
          <cell r="B98" t="str">
            <v>ACCUMULATED DEFERRED INCOME TAXES</v>
          </cell>
          <cell r="C98">
            <v>-4277000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-16000</v>
          </cell>
          <cell r="O98">
            <v>0</v>
          </cell>
          <cell r="P98">
            <v>-16000</v>
          </cell>
          <cell r="Q98">
            <v>-4293000</v>
          </cell>
        </row>
        <row r="99">
          <cell r="A99" t="str">
            <v>F28200C</v>
          </cell>
          <cell r="B99" t="str">
            <v>ACCUMULATED DEFERRED INCOME TAXES-OTHER</v>
          </cell>
          <cell r="C99">
            <v>-192197194.49000001</v>
          </cell>
          <cell r="D99">
            <v>-1345000</v>
          </cell>
          <cell r="E99">
            <v>-899000</v>
          </cell>
          <cell r="F99">
            <v>5312000</v>
          </cell>
          <cell r="G99">
            <v>-907000</v>
          </cell>
          <cell r="H99">
            <v>-764000</v>
          </cell>
          <cell r="I99">
            <v>5178000</v>
          </cell>
          <cell r="J99">
            <v>-1180000</v>
          </cell>
          <cell r="K99">
            <v>-1058000</v>
          </cell>
          <cell r="L99">
            <v>8143000</v>
          </cell>
          <cell r="M99">
            <v>-262000</v>
          </cell>
          <cell r="N99">
            <v>-16835000</v>
          </cell>
          <cell r="O99">
            <v>40397000</v>
          </cell>
          <cell r="P99">
            <v>35780000</v>
          </cell>
          <cell r="Q99">
            <v>-156417194.49000001</v>
          </cell>
        </row>
        <row r="100">
          <cell r="A100" t="str">
            <v>F28301C</v>
          </cell>
          <cell r="B100" t="str">
            <v>ACCUMULATED DEFERRED INCOME TAXES-TAXES</v>
          </cell>
          <cell r="C100">
            <v>-15762516</v>
          </cell>
          <cell r="D100">
            <v>-1155000</v>
          </cell>
          <cell r="E100">
            <v>-771000</v>
          </cell>
          <cell r="F100">
            <v>-729180</v>
          </cell>
          <cell r="G100">
            <v>-780000</v>
          </cell>
          <cell r="H100">
            <v>-568000</v>
          </cell>
          <cell r="I100">
            <v>-770049</v>
          </cell>
          <cell r="J100">
            <v>-992000</v>
          </cell>
          <cell r="K100">
            <v>-889000</v>
          </cell>
          <cell r="L100">
            <v>-648472</v>
          </cell>
          <cell r="M100">
            <v>-309000</v>
          </cell>
          <cell r="N100">
            <v>4999000</v>
          </cell>
          <cell r="O100">
            <v>-442126</v>
          </cell>
          <cell r="P100">
            <v>-3054827</v>
          </cell>
          <cell r="Q100">
            <v>-18817343</v>
          </cell>
        </row>
        <row r="101">
          <cell r="A101" t="str">
            <v>F28302C</v>
          </cell>
          <cell r="B101" t="str">
            <v>ACCUMULATED DEFERRED INC TAXES</v>
          </cell>
          <cell r="C101">
            <v>-372947188.94</v>
          </cell>
          <cell r="D101">
            <v>-1612000</v>
          </cell>
          <cell r="E101">
            <v>-1077000</v>
          </cell>
          <cell r="F101">
            <v>3004000</v>
          </cell>
          <cell r="G101">
            <v>3067772.31</v>
          </cell>
          <cell r="H101">
            <v>-857000</v>
          </cell>
          <cell r="I101">
            <v>4951000</v>
          </cell>
          <cell r="J101">
            <v>-990000</v>
          </cell>
          <cell r="K101">
            <v>-888000</v>
          </cell>
          <cell r="L101">
            <v>-1952000</v>
          </cell>
          <cell r="M101">
            <v>-244000</v>
          </cell>
          <cell r="N101">
            <v>-59164000</v>
          </cell>
          <cell r="O101">
            <v>25026346.41</v>
          </cell>
          <cell r="P101">
            <v>-30734881.279999997</v>
          </cell>
          <cell r="Q101">
            <v>-403682070.21999997</v>
          </cell>
        </row>
        <row r="102">
          <cell r="A102" t="str">
            <v>F29900C</v>
          </cell>
          <cell r="B102" t="str">
            <v>CLEARING ACCOUNT-ACCOUNTS PAYABLE</v>
          </cell>
          <cell r="C102">
            <v>-139291379.06999999</v>
          </cell>
          <cell r="D102">
            <v>-7167226.6900000004</v>
          </cell>
          <cell r="E102">
            <v>-10070198.689999999</v>
          </cell>
          <cell r="F102">
            <v>-7057407.6399999997</v>
          </cell>
          <cell r="G102">
            <v>-9649669.7599999998</v>
          </cell>
          <cell r="H102">
            <v>-9965492.6699999999</v>
          </cell>
          <cell r="I102">
            <v>-12405797.35</v>
          </cell>
          <cell r="J102">
            <v>-10777825.029999999</v>
          </cell>
          <cell r="K102">
            <v>-13227022.58</v>
          </cell>
          <cell r="L102">
            <v>-10241296.130000001</v>
          </cell>
          <cell r="M102">
            <v>-12578427.15</v>
          </cell>
          <cell r="N102">
            <v>-8984200.75</v>
          </cell>
          <cell r="O102">
            <v>-23796892.57</v>
          </cell>
          <cell r="P102">
            <v>-135921457.01000002</v>
          </cell>
          <cell r="Q102">
            <v>-275212836.07999998</v>
          </cell>
        </row>
        <row r="103">
          <cell r="A103" t="str">
            <v>F29910C</v>
          </cell>
          <cell r="B103" t="str">
            <v>CLEARING ACCOUNT-ACCOUNTS RECEIVABLE</v>
          </cell>
          <cell r="C103">
            <v>-2171984.35</v>
          </cell>
          <cell r="D103">
            <v>-210965.44</v>
          </cell>
          <cell r="E103">
            <v>-182412.64</v>
          </cell>
          <cell r="F103">
            <v>-257553.7</v>
          </cell>
          <cell r="G103">
            <v>-155122.81</v>
          </cell>
          <cell r="H103">
            <v>-257507.33</v>
          </cell>
          <cell r="I103">
            <v>-216271.48</v>
          </cell>
          <cell r="J103">
            <v>-208818.68</v>
          </cell>
          <cell r="K103">
            <v>-221187.46</v>
          </cell>
          <cell r="L103">
            <v>-296289.49</v>
          </cell>
          <cell r="M103">
            <v>-237715.64</v>
          </cell>
          <cell r="N103">
            <v>-268758.36</v>
          </cell>
          <cell r="O103">
            <v>-390776.75</v>
          </cell>
          <cell r="P103">
            <v>-2903379.78</v>
          </cell>
          <cell r="Q103">
            <v>-5075364.1300000008</v>
          </cell>
        </row>
        <row r="104">
          <cell r="A104" t="str">
            <v>F29920C</v>
          </cell>
          <cell r="B104" t="str">
            <v>CLEARING ACCOUNT-FI/CO RECONCILIATION E</v>
          </cell>
          <cell r="C104">
            <v>141468562.88999999</v>
          </cell>
          <cell r="D104">
            <v>7378071.5199999996</v>
          </cell>
          <cell r="E104">
            <v>10252395.880000001</v>
          </cell>
          <cell r="F104">
            <v>7316204.8499999996</v>
          </cell>
          <cell r="G104">
            <v>9803452.9800000004</v>
          </cell>
          <cell r="H104">
            <v>10231534.57</v>
          </cell>
          <cell r="I104">
            <v>12691144.710000001</v>
          </cell>
          <cell r="J104">
            <v>11052872.9</v>
          </cell>
          <cell r="K104">
            <v>13448476.98</v>
          </cell>
          <cell r="L104">
            <v>10540539.390000001</v>
          </cell>
          <cell r="M104">
            <v>12854501.949999999</v>
          </cell>
          <cell r="N104">
            <v>9488893.8300000001</v>
          </cell>
          <cell r="O104">
            <v>24175891.449999999</v>
          </cell>
          <cell r="P104">
            <v>139233981.01000002</v>
          </cell>
          <cell r="Q104">
            <v>280702543.89999998</v>
          </cell>
        </row>
        <row r="105">
          <cell r="A105" t="str">
            <v>F29980C</v>
          </cell>
          <cell r="B105" t="str">
            <v>NEGATIVE ADJUSTMENT-OFFSET ACCOUNT</v>
          </cell>
          <cell r="C105">
            <v>0.16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0.16</v>
          </cell>
        </row>
        <row r="106">
          <cell r="A106" t="str">
            <v>F29990C</v>
          </cell>
          <cell r="B106" t="str">
            <v>BALANCE SHEET OFFSET ACCOUNT</v>
          </cell>
          <cell r="C106">
            <v>3472465160.3899999</v>
          </cell>
          <cell r="D106">
            <v>50516726.799999997</v>
          </cell>
          <cell r="E106">
            <v>62460241.329999998</v>
          </cell>
          <cell r="F106">
            <v>57197847.840000004</v>
          </cell>
          <cell r="G106">
            <v>40105254.25</v>
          </cell>
          <cell r="H106">
            <v>53555595.390000001</v>
          </cell>
          <cell r="I106">
            <v>55022782.530000001</v>
          </cell>
          <cell r="J106">
            <v>52857198.100000001</v>
          </cell>
          <cell r="K106">
            <v>62724998.909999996</v>
          </cell>
          <cell r="L106">
            <v>64124086.880000003</v>
          </cell>
          <cell r="M106">
            <v>68564665.280000001</v>
          </cell>
          <cell r="N106">
            <v>53084959.810000002</v>
          </cell>
          <cell r="O106">
            <v>91130668.230000004</v>
          </cell>
          <cell r="P106">
            <v>711345025.3499999</v>
          </cell>
          <cell r="Q106">
            <v>4183810185.7400002</v>
          </cell>
        </row>
        <row r="107">
          <cell r="A107" t="str">
            <v>F29995C</v>
          </cell>
          <cell r="B107" t="str">
            <v>FERC BALANCE CARRY FORWARD</v>
          </cell>
          <cell r="C107">
            <v>-3402104510.8299999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-3402104510.8299999</v>
          </cell>
        </row>
        <row r="108">
          <cell r="A108" t="str">
            <v>F40300C</v>
          </cell>
          <cell r="B108" t="str">
            <v>DEPRECIATION EXPENSE</v>
          </cell>
          <cell r="C108">
            <v>0</v>
          </cell>
          <cell r="D108">
            <v>1142711.29</v>
          </cell>
          <cell r="E108">
            <v>1144776.42</v>
          </cell>
          <cell r="F108">
            <v>1148442.54</v>
          </cell>
          <cell r="G108">
            <v>1151183.58</v>
          </cell>
          <cell r="H108">
            <v>1153379.31</v>
          </cell>
          <cell r="I108">
            <v>1129875</v>
          </cell>
          <cell r="J108">
            <v>1108898.3500000001</v>
          </cell>
          <cell r="K108">
            <v>1097640.57</v>
          </cell>
          <cell r="L108">
            <v>1090040.3</v>
          </cell>
          <cell r="M108">
            <v>1099356.6599999999</v>
          </cell>
          <cell r="N108">
            <v>1112516.08</v>
          </cell>
          <cell r="O108">
            <v>1130663.1599999999</v>
          </cell>
          <cell r="P108">
            <v>13509483.260000002</v>
          </cell>
          <cell r="Q108">
            <v>13509483.260000002</v>
          </cell>
        </row>
        <row r="109">
          <cell r="A109" t="str">
            <v>F40300E</v>
          </cell>
          <cell r="B109" t="str">
            <v>DEPRECIATION EXPENSE</v>
          </cell>
          <cell r="C109">
            <v>0</v>
          </cell>
          <cell r="D109">
            <v>12541107.09</v>
          </cell>
          <cell r="E109">
            <v>12579907.34</v>
          </cell>
          <cell r="F109">
            <v>12611911.289999999</v>
          </cell>
          <cell r="G109">
            <v>12665831.779999999</v>
          </cell>
          <cell r="H109">
            <v>12704616.970000001</v>
          </cell>
          <cell r="I109">
            <v>12750162.25</v>
          </cell>
          <cell r="J109">
            <v>12798874.17</v>
          </cell>
          <cell r="K109">
            <v>12857694.09</v>
          </cell>
          <cell r="L109">
            <v>12934291.720000001</v>
          </cell>
          <cell r="M109">
            <v>12992157.039999999</v>
          </cell>
          <cell r="N109">
            <v>13020172.359999999</v>
          </cell>
          <cell r="O109">
            <v>13053899.539999999</v>
          </cell>
          <cell r="P109">
            <v>153510625.64000002</v>
          </cell>
          <cell r="Q109">
            <v>153510625.64000002</v>
          </cell>
        </row>
        <row r="110">
          <cell r="A110" t="str">
            <v>F40300G</v>
          </cell>
          <cell r="B110" t="str">
            <v>DEPRECIATION EXPENSE</v>
          </cell>
          <cell r="C110">
            <v>0</v>
          </cell>
          <cell r="D110">
            <v>2807164.74</v>
          </cell>
          <cell r="E110">
            <v>2809516.83</v>
          </cell>
          <cell r="F110">
            <v>2815562.61</v>
          </cell>
          <cell r="G110">
            <v>2842763.02</v>
          </cell>
          <cell r="H110">
            <v>2825907.5</v>
          </cell>
          <cell r="I110">
            <v>2829389.61</v>
          </cell>
          <cell r="J110">
            <v>2834802.8</v>
          </cell>
          <cell r="K110">
            <v>2840450.83</v>
          </cell>
          <cell r="L110">
            <v>2846700.46</v>
          </cell>
          <cell r="M110">
            <v>2854062.26</v>
          </cell>
          <cell r="N110">
            <v>2862083.34</v>
          </cell>
          <cell r="O110">
            <v>2877981.82</v>
          </cell>
          <cell r="P110">
            <v>34046385.819999993</v>
          </cell>
          <cell r="Q110">
            <v>34046385.819999993</v>
          </cell>
        </row>
        <row r="111">
          <cell r="A111" t="str">
            <v>F40400C</v>
          </cell>
          <cell r="B111" t="str">
            <v>AMORTIZATION OF LIMITED-TERM INVESTMENT</v>
          </cell>
          <cell r="C111">
            <v>0</v>
          </cell>
          <cell r="D111">
            <v>597489.42000000004</v>
          </cell>
          <cell r="E111">
            <v>598012.42000000004</v>
          </cell>
          <cell r="F111">
            <v>597678.6</v>
          </cell>
          <cell r="G111">
            <v>562359.01</v>
          </cell>
          <cell r="H111">
            <v>615542.79</v>
          </cell>
          <cell r="I111">
            <v>642377.88</v>
          </cell>
          <cell r="J111">
            <v>623899.72</v>
          </cell>
          <cell r="K111">
            <v>621252.55000000005</v>
          </cell>
          <cell r="L111">
            <v>619960.07999999996</v>
          </cell>
          <cell r="M111">
            <v>621294.76</v>
          </cell>
          <cell r="N111">
            <v>623335.02</v>
          </cell>
          <cell r="O111">
            <v>622893.24</v>
          </cell>
          <cell r="P111">
            <v>7346095.4900000002</v>
          </cell>
          <cell r="Q111">
            <v>7346095.4900000002</v>
          </cell>
        </row>
        <row r="112">
          <cell r="A112" t="str">
            <v>F40400E</v>
          </cell>
          <cell r="B112" t="str">
            <v>AMORTIZATION OF LIMITED-TERM INVESTMENT</v>
          </cell>
          <cell r="C112">
            <v>0</v>
          </cell>
          <cell r="D112">
            <v>7932.85</v>
          </cell>
          <cell r="E112">
            <v>7932.83</v>
          </cell>
          <cell r="F112">
            <v>7932.85</v>
          </cell>
          <cell r="G112">
            <v>7932.84</v>
          </cell>
          <cell r="H112">
            <v>7932.84</v>
          </cell>
          <cell r="I112">
            <v>7932.84</v>
          </cell>
          <cell r="J112">
            <v>-64991.85</v>
          </cell>
          <cell r="K112">
            <v>53026.77</v>
          </cell>
          <cell r="L112">
            <v>41098.99</v>
          </cell>
          <cell r="M112">
            <v>41099.519999999997</v>
          </cell>
          <cell r="N112">
            <v>41100.22</v>
          </cell>
          <cell r="O112">
            <v>41100.31</v>
          </cell>
          <cell r="P112">
            <v>200031.00999999998</v>
          </cell>
          <cell r="Q112">
            <v>200031.00999999998</v>
          </cell>
        </row>
        <row r="113">
          <cell r="A113" t="str">
            <v>F40500C</v>
          </cell>
          <cell r="B113" t="str">
            <v>AMORTIZATION OF OTHER PLANT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110.84</v>
          </cell>
          <cell r="L113">
            <v>163.59</v>
          </cell>
          <cell r="M113">
            <v>0</v>
          </cell>
          <cell r="N113">
            <v>0</v>
          </cell>
          <cell r="O113">
            <v>0</v>
          </cell>
          <cell r="P113">
            <v>274.43</v>
          </cell>
          <cell r="Q113">
            <v>274.43</v>
          </cell>
        </row>
        <row r="114">
          <cell r="A114" t="str">
            <v>F40500E</v>
          </cell>
          <cell r="B114" t="str">
            <v>AMORTIZATION OF OTHER PLANT</v>
          </cell>
          <cell r="C114">
            <v>0</v>
          </cell>
          <cell r="D114">
            <v>133924.91</v>
          </cell>
          <cell r="E114">
            <v>134292.46</v>
          </cell>
          <cell r="F114">
            <v>134607.56</v>
          </cell>
          <cell r="G114">
            <v>134860.35</v>
          </cell>
          <cell r="H114">
            <v>135621.38</v>
          </cell>
          <cell r="I114">
            <v>135711.95000000001</v>
          </cell>
          <cell r="J114">
            <v>136070.96</v>
          </cell>
          <cell r="K114">
            <v>136376.16</v>
          </cell>
          <cell r="L114">
            <v>137161.66</v>
          </cell>
          <cell r="M114">
            <v>137735.24</v>
          </cell>
          <cell r="N114">
            <v>138457.47</v>
          </cell>
          <cell r="O114">
            <v>138832</v>
          </cell>
          <cell r="P114">
            <v>1633652.0999999999</v>
          </cell>
          <cell r="Q114">
            <v>1633652.0999999999</v>
          </cell>
        </row>
        <row r="115">
          <cell r="A115" t="str">
            <v>F40500G</v>
          </cell>
          <cell r="B115" t="str">
            <v>AMORTIZATION OF OTHER PLANT</v>
          </cell>
          <cell r="C115">
            <v>0</v>
          </cell>
          <cell r="D115">
            <v>24978.63</v>
          </cell>
          <cell r="E115">
            <v>24985.360000000001</v>
          </cell>
          <cell r="F115">
            <v>24992.85</v>
          </cell>
          <cell r="G115">
            <v>25000.83</v>
          </cell>
          <cell r="H115">
            <v>24802.94</v>
          </cell>
          <cell r="I115">
            <v>24086.84</v>
          </cell>
          <cell r="J115">
            <v>23688.07</v>
          </cell>
          <cell r="K115">
            <v>23713.52</v>
          </cell>
          <cell r="L115">
            <v>23645.279999999999</v>
          </cell>
          <cell r="M115">
            <v>23613.51</v>
          </cell>
          <cell r="N115">
            <v>23555.77</v>
          </cell>
          <cell r="O115">
            <v>23579.14</v>
          </cell>
          <cell r="P115">
            <v>290642.74000000005</v>
          </cell>
          <cell r="Q115">
            <v>290642.74000000005</v>
          </cell>
        </row>
        <row r="116">
          <cell r="A116" t="str">
            <v>F40600C</v>
          </cell>
          <cell r="B116" t="str">
            <v>AMORT. OF UTILITY PLANT ACQ. ADJ.</v>
          </cell>
          <cell r="C116">
            <v>0</v>
          </cell>
          <cell r="D116">
            <v>1312</v>
          </cell>
          <cell r="E116">
            <v>1312</v>
          </cell>
          <cell r="F116">
            <v>1312</v>
          </cell>
          <cell r="G116">
            <v>1312</v>
          </cell>
          <cell r="H116">
            <v>1312</v>
          </cell>
          <cell r="I116">
            <v>1312</v>
          </cell>
          <cell r="J116">
            <v>1312</v>
          </cell>
          <cell r="K116">
            <v>1312</v>
          </cell>
          <cell r="L116">
            <v>1312</v>
          </cell>
          <cell r="M116">
            <v>1312</v>
          </cell>
          <cell r="N116">
            <v>1312</v>
          </cell>
          <cell r="O116">
            <v>1312</v>
          </cell>
          <cell r="P116">
            <v>15744</v>
          </cell>
          <cell r="Q116">
            <v>15744</v>
          </cell>
        </row>
        <row r="117">
          <cell r="A117" t="str">
            <v>F40700E</v>
          </cell>
          <cell r="B117" t="str">
            <v>AMORT. OF PROP LOSSES  UNREC PLANT AND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</v>
          </cell>
          <cell r="P117">
            <v>-2</v>
          </cell>
          <cell r="Q117">
            <v>-2</v>
          </cell>
        </row>
        <row r="118">
          <cell r="A118" t="str">
            <v>F40810C</v>
          </cell>
          <cell r="B118" t="str">
            <v>TAXES OTHER THAN INCOME TAXES</v>
          </cell>
          <cell r="C118">
            <v>0</v>
          </cell>
          <cell r="D118">
            <v>476497.81</v>
          </cell>
          <cell r="E118">
            <v>594432.74</v>
          </cell>
          <cell r="F118">
            <v>506653.1</v>
          </cell>
          <cell r="G118">
            <v>495479.59</v>
          </cell>
          <cell r="H118">
            <v>611985.69999999995</v>
          </cell>
          <cell r="I118">
            <v>547221.18000000005</v>
          </cell>
          <cell r="J118">
            <v>492556.99</v>
          </cell>
          <cell r="K118">
            <v>644667.23</v>
          </cell>
          <cell r="L118">
            <v>538479.65</v>
          </cell>
          <cell r="M118">
            <v>693394.8</v>
          </cell>
          <cell r="N118">
            <v>576906.86</v>
          </cell>
          <cell r="O118">
            <v>555087.27</v>
          </cell>
          <cell r="P118">
            <v>6733362.9199999999</v>
          </cell>
          <cell r="Q118">
            <v>6733362.9199999999</v>
          </cell>
        </row>
        <row r="119">
          <cell r="A119" t="str">
            <v>F40811E</v>
          </cell>
          <cell r="C119">
            <v>0</v>
          </cell>
          <cell r="D119">
            <v>0</v>
          </cell>
          <cell r="E119">
            <v>781885</v>
          </cell>
          <cell r="F119">
            <v>-781885</v>
          </cell>
          <cell r="G119">
            <v>0</v>
          </cell>
          <cell r="H119">
            <v>0</v>
          </cell>
          <cell r="I119">
            <v>-1173744.82</v>
          </cell>
          <cell r="J119">
            <v>1173744.82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F40811G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1174534.19</v>
          </cell>
          <cell r="J120">
            <v>-1174534.19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F40820C</v>
          </cell>
          <cell r="B121" t="str">
            <v>TAXES OTHER THAN INCOME TAXES</v>
          </cell>
          <cell r="C121">
            <v>0</v>
          </cell>
          <cell r="D121">
            <v>18014.57</v>
          </cell>
          <cell r="E121">
            <v>24508.82</v>
          </cell>
          <cell r="F121">
            <v>26769.48</v>
          </cell>
          <cell r="G121">
            <v>26769.48</v>
          </cell>
          <cell r="H121">
            <v>17931.990000000002</v>
          </cell>
          <cell r="I121">
            <v>26769.48</v>
          </cell>
          <cell r="J121">
            <v>26770</v>
          </cell>
          <cell r="K121">
            <v>26770.18</v>
          </cell>
          <cell r="L121">
            <v>28893.45</v>
          </cell>
          <cell r="M121">
            <v>26768.98</v>
          </cell>
          <cell r="N121">
            <v>26769</v>
          </cell>
          <cell r="O121">
            <v>31077.9</v>
          </cell>
          <cell r="P121">
            <v>307813.33000000007</v>
          </cell>
          <cell r="Q121">
            <v>307813.33000000007</v>
          </cell>
        </row>
        <row r="122">
          <cell r="A122" t="str">
            <v>F40830E</v>
          </cell>
          <cell r="B122" t="str">
            <v>TAXES OTHER THAN INCOME TAXES-PROPERTY</v>
          </cell>
          <cell r="C122">
            <v>0</v>
          </cell>
          <cell r="D122">
            <v>2226067.66</v>
          </cell>
          <cell r="E122">
            <v>671700.45</v>
          </cell>
          <cell r="F122">
            <v>2627840.23</v>
          </cell>
          <cell r="G122">
            <v>2106913.06</v>
          </cell>
          <cell r="H122">
            <v>2095003.79</v>
          </cell>
          <cell r="I122">
            <v>2101509.63</v>
          </cell>
          <cell r="J122">
            <v>356488.18</v>
          </cell>
          <cell r="K122">
            <v>1530233</v>
          </cell>
          <cell r="L122">
            <v>1530233</v>
          </cell>
          <cell r="M122">
            <v>1885718</v>
          </cell>
          <cell r="N122">
            <v>1885718</v>
          </cell>
          <cell r="O122">
            <v>2040897.82</v>
          </cell>
          <cell r="P122">
            <v>21058322.82</v>
          </cell>
          <cell r="Q122">
            <v>21058322.82</v>
          </cell>
        </row>
        <row r="123">
          <cell r="A123" t="str">
            <v>F40830G</v>
          </cell>
          <cell r="B123" t="str">
            <v>PROPERTY TAXES GAS</v>
          </cell>
          <cell r="C123">
            <v>0</v>
          </cell>
          <cell r="D123">
            <v>387349.3</v>
          </cell>
          <cell r="E123">
            <v>388659.07</v>
          </cell>
          <cell r="F123">
            <v>388659.07</v>
          </cell>
          <cell r="G123">
            <v>388659.07</v>
          </cell>
          <cell r="H123">
            <v>387368.27</v>
          </cell>
          <cell r="I123">
            <v>388659.07</v>
          </cell>
          <cell r="J123">
            <v>1649117.19</v>
          </cell>
          <cell r="K123">
            <v>474583</v>
          </cell>
          <cell r="L123">
            <v>474583</v>
          </cell>
          <cell r="M123">
            <v>585255</v>
          </cell>
          <cell r="N123">
            <v>585255</v>
          </cell>
          <cell r="O123">
            <v>523018.5</v>
          </cell>
          <cell r="P123">
            <v>6621165.54</v>
          </cell>
          <cell r="Q123">
            <v>6621165.54</v>
          </cell>
        </row>
        <row r="124">
          <cell r="A124" t="str">
            <v>F40840E</v>
          </cell>
          <cell r="B124" t="str">
            <v>TAXES OTHER THAN INCOME TAXES-OTHER ELE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310073.78000000003</v>
          </cell>
          <cell r="L124">
            <v>40559</v>
          </cell>
          <cell r="M124">
            <v>66536.25</v>
          </cell>
          <cell r="N124">
            <v>0</v>
          </cell>
          <cell r="O124">
            <v>0</v>
          </cell>
          <cell r="P124">
            <v>417169.03</v>
          </cell>
          <cell r="Q124">
            <v>417169.03</v>
          </cell>
        </row>
        <row r="125">
          <cell r="A125" t="str">
            <v>F40840G</v>
          </cell>
          <cell r="B125" t="str">
            <v>TAXES OTHER THAN INCOME TAXES-OTHER GAS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99961.22</v>
          </cell>
          <cell r="L125">
            <v>13076</v>
          </cell>
          <cell r="M125">
            <v>21450.080000000002</v>
          </cell>
          <cell r="N125">
            <v>0</v>
          </cell>
          <cell r="O125">
            <v>0</v>
          </cell>
          <cell r="P125">
            <v>134487.29999999999</v>
          </cell>
          <cell r="Q125">
            <v>134487.29999999999</v>
          </cell>
        </row>
        <row r="126">
          <cell r="A126" t="str">
            <v>F40910E</v>
          </cell>
          <cell r="B126" t="str">
            <v>INCOME TAXES-FEDERAL (409.1)</v>
          </cell>
          <cell r="C126">
            <v>0</v>
          </cell>
          <cell r="D126">
            <v>8296000</v>
          </cell>
          <cell r="E126">
            <v>8925000</v>
          </cell>
          <cell r="F126">
            <v>8015000</v>
          </cell>
          <cell r="G126">
            <v>136227.69</v>
          </cell>
          <cell r="H126">
            <v>4821000</v>
          </cell>
          <cell r="I126">
            <v>6959000</v>
          </cell>
          <cell r="J126">
            <v>9062772.3100000005</v>
          </cell>
          <cell r="K126">
            <v>1854000</v>
          </cell>
          <cell r="L126">
            <v>-25431000</v>
          </cell>
          <cell r="M126">
            <v>3004000</v>
          </cell>
          <cell r="N126">
            <v>-123264000</v>
          </cell>
          <cell r="O126">
            <v>-47655965.770000003</v>
          </cell>
          <cell r="P126">
            <v>-145277965.77000001</v>
          </cell>
          <cell r="Q126">
            <v>-145277965.77000001</v>
          </cell>
        </row>
        <row r="127">
          <cell r="A127" t="str">
            <v>F40910G</v>
          </cell>
          <cell r="B127" t="str">
            <v>INCOME TAXES-FEDERAL (409.1)</v>
          </cell>
          <cell r="C127">
            <v>0</v>
          </cell>
          <cell r="D127">
            <v>2030000</v>
          </cell>
          <cell r="E127">
            <v>1357000</v>
          </cell>
          <cell r="F127">
            <v>1457000</v>
          </cell>
          <cell r="G127">
            <v>3585000</v>
          </cell>
          <cell r="H127">
            <v>1499000</v>
          </cell>
          <cell r="I127">
            <v>1915000</v>
          </cell>
          <cell r="J127">
            <v>2404000</v>
          </cell>
          <cell r="K127">
            <v>2155000</v>
          </cell>
          <cell r="L127">
            <v>5261000</v>
          </cell>
          <cell r="M127">
            <v>644000</v>
          </cell>
          <cell r="N127">
            <v>501000</v>
          </cell>
          <cell r="O127">
            <v>1645000</v>
          </cell>
          <cell r="P127">
            <v>24453000</v>
          </cell>
          <cell r="Q127">
            <v>24453000</v>
          </cell>
        </row>
        <row r="128">
          <cell r="A128" t="str">
            <v>F40911E</v>
          </cell>
          <cell r="B128" t="str">
            <v>STATE INCOME TAXES ELEC</v>
          </cell>
          <cell r="C128">
            <v>0</v>
          </cell>
          <cell r="D128">
            <v>3147000</v>
          </cell>
          <cell r="E128">
            <v>2103000</v>
          </cell>
          <cell r="F128">
            <v>2258000</v>
          </cell>
          <cell r="G128">
            <v>1814000</v>
          </cell>
          <cell r="H128">
            <v>1621000</v>
          </cell>
          <cell r="I128">
            <v>2089000</v>
          </cell>
          <cell r="J128">
            <v>6800772.3099999996</v>
          </cell>
          <cell r="K128">
            <v>2372000</v>
          </cell>
          <cell r="L128">
            <v>-6072000</v>
          </cell>
          <cell r="M128">
            <v>356000</v>
          </cell>
          <cell r="N128">
            <v>-52513000</v>
          </cell>
          <cell r="O128">
            <v>-11617687.82</v>
          </cell>
          <cell r="P128">
            <v>-47641915.509999998</v>
          </cell>
          <cell r="Q128">
            <v>-47641915.509999998</v>
          </cell>
        </row>
        <row r="129">
          <cell r="A129" t="str">
            <v>F40911G</v>
          </cell>
          <cell r="B129" t="str">
            <v>STATE INCOME TAXES GAS</v>
          </cell>
          <cell r="C129">
            <v>0</v>
          </cell>
          <cell r="D129">
            <v>685000</v>
          </cell>
          <cell r="E129">
            <v>458000</v>
          </cell>
          <cell r="F129">
            <v>492000</v>
          </cell>
          <cell r="G129">
            <v>773000</v>
          </cell>
          <cell r="H129">
            <v>443000</v>
          </cell>
          <cell r="I129">
            <v>544000</v>
          </cell>
          <cell r="J129">
            <v>689000</v>
          </cell>
          <cell r="K129">
            <v>618000</v>
          </cell>
          <cell r="L129">
            <v>604000</v>
          </cell>
          <cell r="M129">
            <v>158000</v>
          </cell>
          <cell r="N129">
            <v>-391000</v>
          </cell>
          <cell r="O129">
            <v>422000</v>
          </cell>
          <cell r="P129">
            <v>5495000</v>
          </cell>
          <cell r="Q129">
            <v>5495000</v>
          </cell>
        </row>
        <row r="130">
          <cell r="A130" t="str">
            <v>F40920C</v>
          </cell>
          <cell r="B130" t="str">
            <v>TAXES ON NON OPERATING INCOME</v>
          </cell>
          <cell r="C130">
            <v>0</v>
          </cell>
          <cell r="D130">
            <v>2240000</v>
          </cell>
          <cell r="E130">
            <v>3021000</v>
          </cell>
          <cell r="F130">
            <v>157000</v>
          </cell>
          <cell r="G130">
            <v>2129000</v>
          </cell>
          <cell r="H130">
            <v>2046000</v>
          </cell>
          <cell r="I130">
            <v>-2699000</v>
          </cell>
          <cell r="J130">
            <v>2018000</v>
          </cell>
          <cell r="K130">
            <v>1014000</v>
          </cell>
          <cell r="L130">
            <v>2174000</v>
          </cell>
          <cell r="M130">
            <v>1001000</v>
          </cell>
          <cell r="N130">
            <v>-2735000</v>
          </cell>
          <cell r="O130">
            <v>-3001000</v>
          </cell>
          <cell r="P130">
            <v>7365000</v>
          </cell>
          <cell r="Q130">
            <v>7365000</v>
          </cell>
        </row>
        <row r="131">
          <cell r="A131" t="str">
            <v>F41010E</v>
          </cell>
          <cell r="B131" t="str">
            <v>PROVISION FOR DEFERRED INCOME TAXES FED</v>
          </cell>
          <cell r="C131">
            <v>0</v>
          </cell>
          <cell r="D131">
            <v>3705000</v>
          </cell>
          <cell r="E131">
            <v>2476000</v>
          </cell>
          <cell r="F131">
            <v>2660000</v>
          </cell>
          <cell r="G131">
            <v>2501000</v>
          </cell>
          <cell r="H131">
            <v>2064000</v>
          </cell>
          <cell r="I131">
            <v>1404000</v>
          </cell>
          <cell r="J131">
            <v>2915000</v>
          </cell>
          <cell r="K131">
            <v>2614000</v>
          </cell>
          <cell r="L131">
            <v>52733000</v>
          </cell>
          <cell r="M131">
            <v>19136000</v>
          </cell>
          <cell r="N131">
            <v>218796000</v>
          </cell>
          <cell r="O131">
            <v>62516965.770000003</v>
          </cell>
          <cell r="P131">
            <v>373520965.76999998</v>
          </cell>
          <cell r="Q131">
            <v>373520965.76999998</v>
          </cell>
        </row>
        <row r="132">
          <cell r="A132" t="str">
            <v>F41010G</v>
          </cell>
          <cell r="B132" t="str">
            <v>PROVISION FOR DEFERRED INCOME TAXES FED</v>
          </cell>
          <cell r="C132">
            <v>0</v>
          </cell>
          <cell r="D132">
            <v>444000</v>
          </cell>
          <cell r="E132">
            <v>296000</v>
          </cell>
          <cell r="F132">
            <v>320000</v>
          </cell>
          <cell r="G132">
            <v>300000</v>
          </cell>
          <cell r="H132">
            <v>230000</v>
          </cell>
          <cell r="I132">
            <v>301000</v>
          </cell>
          <cell r="J132">
            <v>383000</v>
          </cell>
          <cell r="K132">
            <v>343000</v>
          </cell>
          <cell r="L132">
            <v>26000</v>
          </cell>
          <cell r="M132">
            <v>68000</v>
          </cell>
          <cell r="N132">
            <v>635000</v>
          </cell>
          <cell r="O132">
            <v>129000</v>
          </cell>
          <cell r="P132">
            <v>3475000</v>
          </cell>
          <cell r="Q132">
            <v>3475000</v>
          </cell>
        </row>
        <row r="133">
          <cell r="A133" t="str">
            <v>F41011E</v>
          </cell>
          <cell r="B133" t="str">
            <v>PROVISION FOR DEFERRED INCOME TAXES STA</v>
          </cell>
          <cell r="C133">
            <v>0</v>
          </cell>
          <cell r="D133">
            <v>127000</v>
          </cell>
          <cell r="E133">
            <v>85000</v>
          </cell>
          <cell r="F133">
            <v>91000</v>
          </cell>
          <cell r="G133">
            <v>85000</v>
          </cell>
          <cell r="H133">
            <v>4210772.3099999996</v>
          </cell>
          <cell r="I133">
            <v>85000</v>
          </cell>
          <cell r="J133">
            <v>-4048772.31</v>
          </cell>
          <cell r="K133">
            <v>95000</v>
          </cell>
          <cell r="L133">
            <v>11015000</v>
          </cell>
          <cell r="M133">
            <v>4664000</v>
          </cell>
          <cell r="N133">
            <v>48644000</v>
          </cell>
          <cell r="O133">
            <v>15130687.82</v>
          </cell>
          <cell r="P133">
            <v>80183687.819999993</v>
          </cell>
          <cell r="Q133">
            <v>80183687.819999993</v>
          </cell>
        </row>
        <row r="134">
          <cell r="A134" t="str">
            <v>F41011G</v>
          </cell>
          <cell r="B134" t="str">
            <v>PROVISION FOR DEFERRED INCOME TAXES STA</v>
          </cell>
          <cell r="C134">
            <v>0</v>
          </cell>
          <cell r="D134">
            <v>13000</v>
          </cell>
          <cell r="E134">
            <v>8000</v>
          </cell>
          <cell r="F134">
            <v>9000</v>
          </cell>
          <cell r="G134">
            <v>9000</v>
          </cell>
          <cell r="H134">
            <v>0</v>
          </cell>
          <cell r="I134">
            <v>6000</v>
          </cell>
          <cell r="J134">
            <v>8000</v>
          </cell>
          <cell r="K134">
            <v>7000</v>
          </cell>
          <cell r="L134">
            <v>6000</v>
          </cell>
          <cell r="M134">
            <v>1000</v>
          </cell>
          <cell r="N134">
            <v>303000</v>
          </cell>
          <cell r="O134">
            <v>8000</v>
          </cell>
          <cell r="P134">
            <v>378000</v>
          </cell>
          <cell r="Q134">
            <v>378000</v>
          </cell>
        </row>
        <row r="135">
          <cell r="A135" t="str">
            <v>F41020C</v>
          </cell>
          <cell r="B135" t="str">
            <v>PROVISION FOR DEFERRED INC. TAXES NON O</v>
          </cell>
          <cell r="C135">
            <v>0</v>
          </cell>
          <cell r="D135">
            <v>178000</v>
          </cell>
          <cell r="E135">
            <v>118000</v>
          </cell>
          <cell r="F135">
            <v>128000</v>
          </cell>
          <cell r="G135">
            <v>120000</v>
          </cell>
          <cell r="H135">
            <v>74000</v>
          </cell>
          <cell r="I135">
            <v>117000</v>
          </cell>
          <cell r="J135">
            <v>150000</v>
          </cell>
          <cell r="K135">
            <v>133000</v>
          </cell>
          <cell r="L135">
            <v>101000</v>
          </cell>
          <cell r="M135">
            <v>32000</v>
          </cell>
          <cell r="N135">
            <v>524000</v>
          </cell>
          <cell r="O135">
            <v>2139000</v>
          </cell>
          <cell r="P135">
            <v>3814000</v>
          </cell>
          <cell r="Q135">
            <v>3814000</v>
          </cell>
        </row>
        <row r="136">
          <cell r="A136" t="str">
            <v>F41110E</v>
          </cell>
          <cell r="B136" t="str">
            <v>(LESS) PROVISION FOR DEFERRED INCOME TA</v>
          </cell>
          <cell r="C136">
            <v>0</v>
          </cell>
          <cell r="D136">
            <v>-267000</v>
          </cell>
          <cell r="E136">
            <v>-177000</v>
          </cell>
          <cell r="F136">
            <v>-192000</v>
          </cell>
          <cell r="G136">
            <v>-180000</v>
          </cell>
          <cell r="H136">
            <v>-194000</v>
          </cell>
          <cell r="I136">
            <v>-1049000</v>
          </cell>
          <cell r="J136">
            <v>-4483772.3099999996</v>
          </cell>
          <cell r="K136">
            <v>-292000</v>
          </cell>
          <cell r="L136">
            <v>-30821000</v>
          </cell>
          <cell r="M136">
            <v>-16480000</v>
          </cell>
          <cell r="N136">
            <v>-63547000</v>
          </cell>
          <cell r="O136">
            <v>-4043000</v>
          </cell>
          <cell r="P136">
            <v>-121725772.31</v>
          </cell>
          <cell r="Q136">
            <v>-121725772.31</v>
          </cell>
        </row>
        <row r="137">
          <cell r="A137" t="str">
            <v>F41110G</v>
          </cell>
          <cell r="B137" t="str">
            <v>(LESS) PROVISION FOR DEFERRED INCOME TA</v>
          </cell>
          <cell r="C137">
            <v>0</v>
          </cell>
          <cell r="D137">
            <v>-63000</v>
          </cell>
          <cell r="E137">
            <v>-42000</v>
          </cell>
          <cell r="F137">
            <v>-47000</v>
          </cell>
          <cell r="G137">
            <v>-43000</v>
          </cell>
          <cell r="H137">
            <v>-34000</v>
          </cell>
          <cell r="I137">
            <v>-43000</v>
          </cell>
          <cell r="J137">
            <v>-54000</v>
          </cell>
          <cell r="K137">
            <v>-49000</v>
          </cell>
          <cell r="L137">
            <v>-3456000</v>
          </cell>
          <cell r="M137">
            <v>-43000</v>
          </cell>
          <cell r="N137">
            <v>-9560000</v>
          </cell>
          <cell r="O137">
            <v>-205000</v>
          </cell>
          <cell r="P137">
            <v>-13639000</v>
          </cell>
          <cell r="Q137">
            <v>-13639000</v>
          </cell>
        </row>
        <row r="138">
          <cell r="A138" t="str">
            <v>F41112E</v>
          </cell>
          <cell r="B138" t="str">
            <v>(LESS) PROVISION FOR DEFERRED INCOME TA</v>
          </cell>
          <cell r="C138">
            <v>0</v>
          </cell>
          <cell r="D138">
            <v>-25000</v>
          </cell>
          <cell r="E138">
            <v>-17000</v>
          </cell>
          <cell r="F138">
            <v>-19000</v>
          </cell>
          <cell r="G138">
            <v>4138772.31</v>
          </cell>
          <cell r="H138">
            <v>-4188772.31</v>
          </cell>
          <cell r="I138">
            <v>-21000</v>
          </cell>
          <cell r="J138">
            <v>-27000</v>
          </cell>
          <cell r="K138">
            <v>-23000</v>
          </cell>
          <cell r="L138">
            <v>-8196000</v>
          </cell>
          <cell r="M138">
            <v>-3759000</v>
          </cell>
          <cell r="N138">
            <v>-6501000</v>
          </cell>
          <cell r="O138">
            <v>-963000</v>
          </cell>
          <cell r="P138">
            <v>-19601000</v>
          </cell>
          <cell r="Q138">
            <v>-19601000</v>
          </cell>
        </row>
        <row r="139">
          <cell r="A139" t="str">
            <v>F41112G</v>
          </cell>
          <cell r="B139" t="str">
            <v>(LESS) PROVISION FOR DEFERRED INCOME TA</v>
          </cell>
          <cell r="C139">
            <v>0</v>
          </cell>
          <cell r="D139">
            <v>-25000</v>
          </cell>
          <cell r="E139">
            <v>-17000</v>
          </cell>
          <cell r="F139">
            <v>-19000</v>
          </cell>
          <cell r="G139">
            <v>-17000</v>
          </cell>
          <cell r="H139">
            <v>-44000</v>
          </cell>
          <cell r="I139">
            <v>-21000</v>
          </cell>
          <cell r="J139">
            <v>-28000</v>
          </cell>
          <cell r="K139">
            <v>-26000</v>
          </cell>
          <cell r="L139">
            <v>-160000</v>
          </cell>
          <cell r="M139">
            <v>-11000</v>
          </cell>
          <cell r="N139">
            <v>-2313000</v>
          </cell>
          <cell r="O139">
            <v>-49000</v>
          </cell>
          <cell r="P139">
            <v>-2730000</v>
          </cell>
          <cell r="Q139">
            <v>-2730000</v>
          </cell>
        </row>
        <row r="140">
          <cell r="A140" t="str">
            <v>F41120C</v>
          </cell>
          <cell r="B140" t="str">
            <v>(LESS) PROVISION FOR DEFERRED INCOME TA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-872000</v>
          </cell>
          <cell r="O140">
            <v>-56000</v>
          </cell>
          <cell r="P140">
            <v>-928000</v>
          </cell>
          <cell r="Q140">
            <v>-928000</v>
          </cell>
        </row>
        <row r="141">
          <cell r="A141" t="str">
            <v>F41140E</v>
          </cell>
          <cell r="B141" t="str">
            <v>INVESTMENT TAX CREDIT ADJ.-FED ELECTRIC</v>
          </cell>
          <cell r="C141">
            <v>0</v>
          </cell>
          <cell r="D141">
            <v>-279000</v>
          </cell>
          <cell r="E141">
            <v>-187000</v>
          </cell>
          <cell r="F141">
            <v>-200000</v>
          </cell>
          <cell r="G141">
            <v>-188000</v>
          </cell>
          <cell r="H141">
            <v>-151000</v>
          </cell>
          <cell r="I141">
            <v>-192000</v>
          </cell>
          <cell r="J141">
            <v>-243000</v>
          </cell>
          <cell r="K141">
            <v>-218000</v>
          </cell>
          <cell r="L141">
            <v>-163000</v>
          </cell>
          <cell r="M141">
            <v>-54000</v>
          </cell>
          <cell r="N141">
            <v>-72000</v>
          </cell>
          <cell r="O141">
            <v>-253000</v>
          </cell>
          <cell r="P141">
            <v>-2200000</v>
          </cell>
          <cell r="Q141">
            <v>-2200000</v>
          </cell>
        </row>
        <row r="142">
          <cell r="A142" t="str">
            <v>F41140G</v>
          </cell>
          <cell r="B142" t="str">
            <v>INVESTMENT TAX CREDIT ADJ.-FED GAS</v>
          </cell>
          <cell r="C142">
            <v>0</v>
          </cell>
          <cell r="D142">
            <v>-76000</v>
          </cell>
          <cell r="E142">
            <v>-51000</v>
          </cell>
          <cell r="F142">
            <v>-55000</v>
          </cell>
          <cell r="G142">
            <v>-51000</v>
          </cell>
          <cell r="H142">
            <v>-41000</v>
          </cell>
          <cell r="I142">
            <v>-52000</v>
          </cell>
          <cell r="J142">
            <v>-67000</v>
          </cell>
          <cell r="K142">
            <v>-59000</v>
          </cell>
          <cell r="L142">
            <v>-45000</v>
          </cell>
          <cell r="M142">
            <v>-14000</v>
          </cell>
          <cell r="N142">
            <v>-20000</v>
          </cell>
          <cell r="O142">
            <v>-69000</v>
          </cell>
          <cell r="P142">
            <v>-600000</v>
          </cell>
          <cell r="Q142">
            <v>-600000</v>
          </cell>
        </row>
        <row r="143">
          <cell r="A143" t="str">
            <v>F41160E</v>
          </cell>
          <cell r="B143" t="str">
            <v>GAIN FROM DISP UT PLANT</v>
          </cell>
          <cell r="C143">
            <v>0</v>
          </cell>
          <cell r="D143">
            <v>107.91</v>
          </cell>
          <cell r="E143">
            <v>-201703.76</v>
          </cell>
          <cell r="F143">
            <v>760.15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-23790316.41</v>
          </cell>
          <cell r="M143">
            <v>0</v>
          </cell>
          <cell r="N143">
            <v>-883066.88</v>
          </cell>
          <cell r="O143">
            <v>0</v>
          </cell>
          <cell r="P143">
            <v>-24874218.989999998</v>
          </cell>
          <cell r="Q143">
            <v>-24874218.989999998</v>
          </cell>
        </row>
        <row r="144">
          <cell r="A144" t="str">
            <v>F41170E</v>
          </cell>
          <cell r="B144" t="str">
            <v>LOSSES FROM DISP UT PLANT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70102.990000000005</v>
          </cell>
          <cell r="N144">
            <v>0</v>
          </cell>
          <cell r="O144">
            <v>0</v>
          </cell>
          <cell r="P144">
            <v>70102.990000000005</v>
          </cell>
          <cell r="Q144">
            <v>70102.990000000005</v>
          </cell>
        </row>
        <row r="145">
          <cell r="A145" t="str">
            <v>F41700C</v>
          </cell>
          <cell r="B145" t="str">
            <v>REVENUES FROM NONUTILITY OPERATIONS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46.57</v>
          </cell>
          <cell r="I145">
            <v>-55.18</v>
          </cell>
          <cell r="J145">
            <v>-7528.58</v>
          </cell>
          <cell r="K145">
            <v>0</v>
          </cell>
          <cell r="L145">
            <v>0</v>
          </cell>
          <cell r="M145">
            <v>8000</v>
          </cell>
          <cell r="N145">
            <v>0</v>
          </cell>
          <cell r="O145">
            <v>0</v>
          </cell>
          <cell r="P145">
            <v>462.8100000000004</v>
          </cell>
          <cell r="Q145">
            <v>462.8100000000004</v>
          </cell>
        </row>
        <row r="146">
          <cell r="A146" t="str">
            <v>F41710C</v>
          </cell>
          <cell r="B146" t="str">
            <v>EXPENSES OF NONUTILITY OPERATIONS</v>
          </cell>
          <cell r="C146">
            <v>0</v>
          </cell>
          <cell r="D146">
            <v>12720.57</v>
          </cell>
          <cell r="E146">
            <v>12720.58</v>
          </cell>
          <cell r="F146">
            <v>12720.57</v>
          </cell>
          <cell r="G146">
            <v>14387.5</v>
          </cell>
          <cell r="H146">
            <v>12756.23</v>
          </cell>
          <cell r="I146">
            <v>12756.25</v>
          </cell>
          <cell r="J146">
            <v>12756.22</v>
          </cell>
          <cell r="K146">
            <v>12756.23</v>
          </cell>
          <cell r="L146">
            <v>12756.24</v>
          </cell>
          <cell r="M146">
            <v>12756.23</v>
          </cell>
          <cell r="N146">
            <v>12756.24</v>
          </cell>
          <cell r="O146">
            <v>12756.23</v>
          </cell>
          <cell r="P146">
            <v>154599.09</v>
          </cell>
          <cell r="Q146">
            <v>154599.09</v>
          </cell>
        </row>
        <row r="147">
          <cell r="A147" t="str">
            <v>F41800C</v>
          </cell>
          <cell r="B147" t="str">
            <v>NONOPERATING RENTAL INCOME</v>
          </cell>
          <cell r="C147">
            <v>0</v>
          </cell>
          <cell r="D147">
            <v>-648303.68000000005</v>
          </cell>
          <cell r="E147">
            <v>-27858.84</v>
          </cell>
          <cell r="F147">
            <v>290636.21999999997</v>
          </cell>
          <cell r="G147">
            <v>7594.99</v>
          </cell>
          <cell r="H147">
            <v>-23428.28</v>
          </cell>
          <cell r="I147">
            <v>35750.730000000003</v>
          </cell>
          <cell r="J147">
            <v>-329039.31</v>
          </cell>
          <cell r="K147">
            <v>-159094.38</v>
          </cell>
          <cell r="L147">
            <v>-17847.310000000001</v>
          </cell>
          <cell r="M147">
            <v>-17843.32</v>
          </cell>
          <cell r="N147">
            <v>3659.87</v>
          </cell>
          <cell r="O147">
            <v>-469579.74</v>
          </cell>
          <cell r="P147">
            <v>-1355353.0500000003</v>
          </cell>
          <cell r="Q147">
            <v>-1355353.0500000003</v>
          </cell>
        </row>
        <row r="148">
          <cell r="A148" t="str">
            <v>F41900C</v>
          </cell>
          <cell r="B148" t="str">
            <v>INTEREST AND DIVIDEND INCOME</v>
          </cell>
          <cell r="C148">
            <v>0</v>
          </cell>
          <cell r="D148">
            <v>-5078741.1900000004</v>
          </cell>
          <cell r="E148">
            <v>-4820708.1900000004</v>
          </cell>
          <cell r="F148">
            <v>-5162087</v>
          </cell>
          <cell r="G148">
            <v>-4534583.83</v>
          </cell>
          <cell r="H148">
            <v>-5077380.17</v>
          </cell>
          <cell r="I148">
            <v>-5739349.9400000004</v>
          </cell>
          <cell r="J148">
            <v>-6078605.3200000003</v>
          </cell>
          <cell r="K148">
            <v>-6096566.7999999998</v>
          </cell>
          <cell r="L148">
            <v>-4743858.6100000003</v>
          </cell>
          <cell r="M148">
            <v>-3870176.97</v>
          </cell>
          <cell r="N148">
            <v>-3657485.66</v>
          </cell>
          <cell r="O148">
            <v>-4797818.5599999996</v>
          </cell>
          <cell r="P148">
            <v>-59657362.239999995</v>
          </cell>
          <cell r="Q148">
            <v>-59657362.239999995</v>
          </cell>
        </row>
        <row r="149">
          <cell r="A149" t="str">
            <v>F41910C</v>
          </cell>
          <cell r="B149" t="str">
            <v>ALLOWANCE FOR OTHER FUNDS USED DURING C</v>
          </cell>
          <cell r="C149">
            <v>0</v>
          </cell>
          <cell r="D149">
            <v>-432883.12</v>
          </cell>
          <cell r="E149">
            <v>-392738.49</v>
          </cell>
          <cell r="F149">
            <v>-458417.63</v>
          </cell>
          <cell r="G149">
            <v>-473470.12</v>
          </cell>
          <cell r="H149">
            <v>-497416.11</v>
          </cell>
          <cell r="I149">
            <v>-959278.05</v>
          </cell>
          <cell r="J149">
            <v>-544377.57999999996</v>
          </cell>
          <cell r="K149">
            <v>-547503.25</v>
          </cell>
          <cell r="L149">
            <v>-563134</v>
          </cell>
          <cell r="M149">
            <v>-479845.18</v>
          </cell>
          <cell r="N149">
            <v>-593456.5</v>
          </cell>
          <cell r="O149">
            <v>-663758.14</v>
          </cell>
          <cell r="P149">
            <v>-6606278.169999999</v>
          </cell>
          <cell r="Q149">
            <v>-6606278.169999999</v>
          </cell>
        </row>
        <row r="150">
          <cell r="A150" t="str">
            <v>F42100C</v>
          </cell>
          <cell r="B150" t="str">
            <v>MISCELLANEOUS NONOPERATING INCOME</v>
          </cell>
          <cell r="C150">
            <v>0</v>
          </cell>
          <cell r="D150">
            <v>-900</v>
          </cell>
          <cell r="E150">
            <v>-2828070.22</v>
          </cell>
          <cell r="F150">
            <v>368.87</v>
          </cell>
          <cell r="G150">
            <v>-927307.33</v>
          </cell>
          <cell r="H150">
            <v>-80366.06</v>
          </cell>
          <cell r="I150">
            <v>-58115.97</v>
          </cell>
          <cell r="J150">
            <v>5394.46</v>
          </cell>
          <cell r="K150">
            <v>-81018.100000000006</v>
          </cell>
          <cell r="L150">
            <v>-89507.85</v>
          </cell>
          <cell r="M150">
            <v>-40505.33</v>
          </cell>
          <cell r="N150">
            <v>-492254.91</v>
          </cell>
          <cell r="O150">
            <v>3237.15</v>
          </cell>
          <cell r="P150">
            <v>-4589045.29</v>
          </cell>
          <cell r="Q150">
            <v>-4589045.29</v>
          </cell>
        </row>
        <row r="151">
          <cell r="A151" t="str">
            <v>F42610C</v>
          </cell>
          <cell r="B151" t="str">
            <v>DONATIONS</v>
          </cell>
          <cell r="C151">
            <v>0</v>
          </cell>
          <cell r="D151">
            <v>14144</v>
          </cell>
          <cell r="E151">
            <v>164400.89000000001</v>
          </cell>
          <cell r="F151">
            <v>124218.11</v>
          </cell>
          <cell r="G151">
            <v>187459.8</v>
          </cell>
          <cell r="H151">
            <v>240930.99</v>
          </cell>
          <cell r="I151">
            <v>209207.21</v>
          </cell>
          <cell r="J151">
            <v>185069.7</v>
          </cell>
          <cell r="K151">
            <v>106067.92</v>
          </cell>
          <cell r="L151">
            <v>128159.24</v>
          </cell>
          <cell r="M151">
            <v>89072.76</v>
          </cell>
          <cell r="N151">
            <v>38173.339999999997</v>
          </cell>
          <cell r="O151">
            <v>242068.62</v>
          </cell>
          <cell r="P151">
            <v>1728972.58</v>
          </cell>
          <cell r="Q151">
            <v>1728972.58</v>
          </cell>
        </row>
        <row r="152">
          <cell r="A152" t="str">
            <v>F42620C</v>
          </cell>
          <cell r="B152" t="str">
            <v>LIFE INSURANCE</v>
          </cell>
          <cell r="C152">
            <v>0</v>
          </cell>
          <cell r="D152">
            <v>-98267</v>
          </cell>
          <cell r="E152">
            <v>-98267</v>
          </cell>
          <cell r="F152">
            <v>-98267</v>
          </cell>
          <cell r="G152">
            <v>-98267</v>
          </cell>
          <cell r="H152">
            <v>-98267</v>
          </cell>
          <cell r="I152">
            <v>0</v>
          </cell>
          <cell r="J152">
            <v>-227576</v>
          </cell>
          <cell r="K152">
            <v>-112647</v>
          </cell>
          <cell r="L152">
            <v>-112647</v>
          </cell>
          <cell r="M152">
            <v>-112647</v>
          </cell>
          <cell r="N152">
            <v>-112647</v>
          </cell>
          <cell r="O152">
            <v>-112647</v>
          </cell>
          <cell r="P152">
            <v>-1282146</v>
          </cell>
          <cell r="Q152">
            <v>-1282146</v>
          </cell>
        </row>
        <row r="153">
          <cell r="A153" t="str">
            <v>F42630C</v>
          </cell>
          <cell r="B153" t="str">
            <v>PENALTIES</v>
          </cell>
          <cell r="C153">
            <v>0</v>
          </cell>
          <cell r="D153">
            <v>117.83</v>
          </cell>
          <cell r="E153">
            <v>700.12</v>
          </cell>
          <cell r="F153">
            <v>5456.4</v>
          </cell>
          <cell r="G153">
            <v>750</v>
          </cell>
          <cell r="H153">
            <v>2787.95</v>
          </cell>
          <cell r="I153">
            <v>6856.8</v>
          </cell>
          <cell r="J153">
            <v>771</v>
          </cell>
          <cell r="K153">
            <v>-227.46</v>
          </cell>
          <cell r="L153">
            <v>687.31</v>
          </cell>
          <cell r="M153">
            <v>-426.3</v>
          </cell>
          <cell r="N153">
            <v>257.37</v>
          </cell>
          <cell r="O153">
            <v>-104.8</v>
          </cell>
          <cell r="P153">
            <v>17626.22</v>
          </cell>
          <cell r="Q153">
            <v>17626.22</v>
          </cell>
        </row>
        <row r="154">
          <cell r="A154" t="str">
            <v>F42640C</v>
          </cell>
          <cell r="B154" t="str">
            <v>EXPENDITURES FOR CIVIC  POLITICAL AND 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1666.02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1666.02</v>
          </cell>
          <cell r="Q154">
            <v>1666.02</v>
          </cell>
        </row>
        <row r="155">
          <cell r="A155" t="str">
            <v>F42650C</v>
          </cell>
          <cell r="B155" t="str">
            <v>OTHER DEDUCTIONS</v>
          </cell>
          <cell r="C155">
            <v>0</v>
          </cell>
          <cell r="D155">
            <v>0</v>
          </cell>
          <cell r="E155">
            <v>0</v>
          </cell>
          <cell r="F155">
            <v>4250114.04</v>
          </cell>
          <cell r="G155">
            <v>0</v>
          </cell>
          <cell r="H155">
            <v>-1354.53</v>
          </cell>
          <cell r="I155">
            <v>6450000</v>
          </cell>
          <cell r="J155">
            <v>0</v>
          </cell>
          <cell r="K155">
            <v>0</v>
          </cell>
          <cell r="L155">
            <v>-2698241.78</v>
          </cell>
          <cell r="M155">
            <v>1579.18</v>
          </cell>
          <cell r="N155">
            <v>0</v>
          </cell>
          <cell r="O155">
            <v>1823974</v>
          </cell>
          <cell r="P155">
            <v>9826070.9100000001</v>
          </cell>
          <cell r="Q155">
            <v>9826070.9100000001</v>
          </cell>
        </row>
        <row r="156">
          <cell r="A156" t="str">
            <v>F42700C</v>
          </cell>
          <cell r="B156" t="str">
            <v>INTEREST ON LONG-TERM DEBT</v>
          </cell>
          <cell r="C156">
            <v>0</v>
          </cell>
          <cell r="D156">
            <v>4048729.6</v>
          </cell>
          <cell r="E156">
            <v>3902171.74</v>
          </cell>
          <cell r="F156">
            <v>4128948.32</v>
          </cell>
          <cell r="G156">
            <v>4169458.8</v>
          </cell>
          <cell r="H156">
            <v>4337329.37</v>
          </cell>
          <cell r="I156">
            <v>4068787.26</v>
          </cell>
          <cell r="J156">
            <v>4196384.3499999996</v>
          </cell>
          <cell r="K156">
            <v>4156775.94</v>
          </cell>
          <cell r="L156">
            <v>4153149.56</v>
          </cell>
          <cell r="M156">
            <v>4175950.01</v>
          </cell>
          <cell r="N156">
            <v>4341418.96</v>
          </cell>
          <cell r="O156">
            <v>4100251.27</v>
          </cell>
          <cell r="P156">
            <v>49779355.180000007</v>
          </cell>
          <cell r="Q156">
            <v>49779355.180000007</v>
          </cell>
        </row>
        <row r="157">
          <cell r="A157" t="str">
            <v>F42800C</v>
          </cell>
          <cell r="B157" t="str">
            <v>AMORTIZATION OF DEBT DISC. AND EXPENSE</v>
          </cell>
          <cell r="C157">
            <v>0</v>
          </cell>
          <cell r="D157">
            <v>58832.72</v>
          </cell>
          <cell r="E157">
            <v>58832.72</v>
          </cell>
          <cell r="F157">
            <v>58832.72</v>
          </cell>
          <cell r="G157">
            <v>58832.72</v>
          </cell>
          <cell r="H157">
            <v>58221.49</v>
          </cell>
          <cell r="I157">
            <v>58221.49</v>
          </cell>
          <cell r="J157">
            <v>58221.49</v>
          </cell>
          <cell r="K157">
            <v>58221.49</v>
          </cell>
          <cell r="L157">
            <v>58221.49</v>
          </cell>
          <cell r="M157">
            <v>58221.49</v>
          </cell>
          <cell r="N157">
            <v>58221.49</v>
          </cell>
          <cell r="O157">
            <v>58221.49</v>
          </cell>
          <cell r="P157">
            <v>701102.79999999993</v>
          </cell>
          <cell r="Q157">
            <v>701102.79999999993</v>
          </cell>
        </row>
        <row r="158">
          <cell r="A158" t="str">
            <v>F42810C</v>
          </cell>
          <cell r="B158" t="str">
            <v>AMORTIZATION OF LOSS ON REACQUIRED DEBT</v>
          </cell>
          <cell r="C158">
            <v>0</v>
          </cell>
          <cell r="D158">
            <v>382477.76</v>
          </cell>
          <cell r="E158">
            <v>372636.89</v>
          </cell>
          <cell r="F158">
            <v>372636.89</v>
          </cell>
          <cell r="G158">
            <v>372636.89</v>
          </cell>
          <cell r="H158">
            <v>374872.7</v>
          </cell>
          <cell r="I158">
            <v>374872.7</v>
          </cell>
          <cell r="J158">
            <v>374872.7</v>
          </cell>
          <cell r="K158">
            <v>374872.7</v>
          </cell>
          <cell r="L158">
            <v>374872.7</v>
          </cell>
          <cell r="M158">
            <v>374872.7</v>
          </cell>
          <cell r="N158">
            <v>374872.7</v>
          </cell>
          <cell r="O158">
            <v>374872.7</v>
          </cell>
          <cell r="P158">
            <v>4499370.0300000012</v>
          </cell>
          <cell r="Q158">
            <v>4499370.0300000012</v>
          </cell>
        </row>
        <row r="159">
          <cell r="A159" t="str">
            <v>F42900C</v>
          </cell>
          <cell r="B159" t="str">
            <v>(LESS) AMORT. OF PREMIUM ON DEBT-CREDIT</v>
          </cell>
          <cell r="C159">
            <v>0</v>
          </cell>
          <cell r="D159">
            <v>-2106.09</v>
          </cell>
          <cell r="E159">
            <v>-2106.09</v>
          </cell>
          <cell r="F159">
            <v>-2106.09</v>
          </cell>
          <cell r="G159">
            <v>-2106.09</v>
          </cell>
          <cell r="H159">
            <v>-2106.09</v>
          </cell>
          <cell r="I159">
            <v>-2106.09</v>
          </cell>
          <cell r="J159">
            <v>-2106.09</v>
          </cell>
          <cell r="K159">
            <v>-2106.09</v>
          </cell>
          <cell r="L159">
            <v>-2106.09</v>
          </cell>
          <cell r="M159">
            <v>-2106.09</v>
          </cell>
          <cell r="N159">
            <v>-2106.09</v>
          </cell>
          <cell r="O159">
            <v>-2106.09</v>
          </cell>
          <cell r="P159">
            <v>-25273.08</v>
          </cell>
          <cell r="Q159">
            <v>-25273.08</v>
          </cell>
        </row>
        <row r="160">
          <cell r="A160" t="str">
            <v>F43000C</v>
          </cell>
          <cell r="B160" t="str">
            <v>INTEREST ON DEBT TO ASSOC. COMPANIES</v>
          </cell>
          <cell r="C160">
            <v>0</v>
          </cell>
          <cell r="D160">
            <v>2785954.88</v>
          </cell>
          <cell r="E160">
            <v>2614741.6</v>
          </cell>
          <cell r="F160">
            <v>2683019.9500000002</v>
          </cell>
          <cell r="G160">
            <v>2615552.38</v>
          </cell>
          <cell r="H160">
            <v>2615552.38</v>
          </cell>
          <cell r="I160">
            <v>2516599.29</v>
          </cell>
          <cell r="J160">
            <v>2540255.7999999998</v>
          </cell>
          <cell r="K160">
            <v>2540255.7999999998</v>
          </cell>
          <cell r="L160">
            <v>2526621.59</v>
          </cell>
          <cell r="M160">
            <v>2459796.79</v>
          </cell>
          <cell r="N160">
            <v>2459796.79</v>
          </cell>
          <cell r="O160">
            <v>2522001.4700000002</v>
          </cell>
          <cell r="P160">
            <v>30880148.719999999</v>
          </cell>
          <cell r="Q160">
            <v>30880148.719999999</v>
          </cell>
        </row>
        <row r="161">
          <cell r="A161" t="str">
            <v>F43100C</v>
          </cell>
          <cell r="B161" t="str">
            <v>OTHER INTEREST EXPENSE</v>
          </cell>
          <cell r="C161">
            <v>0</v>
          </cell>
          <cell r="D161">
            <v>5408146.9900000002</v>
          </cell>
          <cell r="E161">
            <v>5459337.2400000002</v>
          </cell>
          <cell r="F161">
            <v>5454076.5999999996</v>
          </cell>
          <cell r="G161">
            <v>5344712.59</v>
          </cell>
          <cell r="H161">
            <v>5379768.21</v>
          </cell>
          <cell r="I161">
            <v>5507105.46</v>
          </cell>
          <cell r="J161">
            <v>5845680.9000000004</v>
          </cell>
          <cell r="K161">
            <v>3858208</v>
          </cell>
          <cell r="L161">
            <v>2271952</v>
          </cell>
          <cell r="M161">
            <v>1779845</v>
          </cell>
          <cell r="N161">
            <v>1253462.04</v>
          </cell>
          <cell r="O161">
            <v>1866009.23</v>
          </cell>
          <cell r="P161">
            <v>49428304.259999998</v>
          </cell>
          <cell r="Q161">
            <v>49428304.259999998</v>
          </cell>
        </row>
        <row r="162">
          <cell r="A162" t="str">
            <v>F43200C</v>
          </cell>
          <cell r="B162" t="str">
            <v>(LESS) ALLOW FOR BORROWED FUNDS USED DU</v>
          </cell>
          <cell r="C162">
            <v>0</v>
          </cell>
          <cell r="D162">
            <v>-152207.32</v>
          </cell>
          <cell r="E162">
            <v>-125450.77</v>
          </cell>
          <cell r="F162">
            <v>-148739.13</v>
          </cell>
          <cell r="G162">
            <v>-184767.22</v>
          </cell>
          <cell r="H162">
            <v>-193595.36</v>
          </cell>
          <cell r="I162">
            <v>25354.78</v>
          </cell>
          <cell r="J162">
            <v>-207642.77</v>
          </cell>
          <cell r="K162">
            <v>-194491.7</v>
          </cell>
          <cell r="L162">
            <v>-207000.53</v>
          </cell>
          <cell r="M162">
            <v>-211725.02</v>
          </cell>
          <cell r="N162">
            <v>-228604.77</v>
          </cell>
          <cell r="O162">
            <v>-294740.88</v>
          </cell>
          <cell r="P162">
            <v>-2123610.69</v>
          </cell>
          <cell r="Q162">
            <v>-2123610.69</v>
          </cell>
        </row>
        <row r="163">
          <cell r="A163" t="str">
            <v>F43701C</v>
          </cell>
          <cell r="B163" t="str">
            <v>DIVIDENDS DECLARED - PREFERRED STOCK (A</v>
          </cell>
          <cell r="C163">
            <v>0</v>
          </cell>
          <cell r="D163">
            <v>548514.03</v>
          </cell>
          <cell r="E163">
            <v>548514.03</v>
          </cell>
          <cell r="F163">
            <v>548514.03</v>
          </cell>
          <cell r="G163">
            <v>548514.03</v>
          </cell>
          <cell r="H163">
            <v>548514.03</v>
          </cell>
          <cell r="I163">
            <v>548514.03</v>
          </cell>
          <cell r="J163">
            <v>548514.03</v>
          </cell>
          <cell r="K163">
            <v>548514.03</v>
          </cell>
          <cell r="L163">
            <v>548514.03</v>
          </cell>
          <cell r="M163">
            <v>548514.03</v>
          </cell>
          <cell r="N163">
            <v>548514.03</v>
          </cell>
          <cell r="O163">
            <v>548514.03</v>
          </cell>
          <cell r="P163">
            <v>6582168.3600000022</v>
          </cell>
          <cell r="Q163">
            <v>6582168.3600000022</v>
          </cell>
        </row>
        <row r="164">
          <cell r="A164" t="str">
            <v>F43800C</v>
          </cell>
          <cell r="B164" t="str">
            <v>DIVIDENDS DECLARED-COMMON STOCK (ACCOUN</v>
          </cell>
          <cell r="C164">
            <v>0</v>
          </cell>
          <cell r="D164">
            <v>0</v>
          </cell>
          <cell r="E164">
            <v>0</v>
          </cell>
          <cell r="F164">
            <v>200000000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200000000</v>
          </cell>
          <cell r="M164">
            <v>0</v>
          </cell>
          <cell r="N164">
            <v>0</v>
          </cell>
          <cell r="O164">
            <v>0</v>
          </cell>
          <cell r="P164">
            <v>400000000</v>
          </cell>
          <cell r="Q164">
            <v>400000000</v>
          </cell>
        </row>
        <row r="165">
          <cell r="A165" t="str">
            <v>F44000C</v>
          </cell>
          <cell r="B165" t="str">
            <v>RESIDENTIAL SALES</v>
          </cell>
          <cell r="C165">
            <v>0</v>
          </cell>
          <cell r="D165">
            <v>-61441629</v>
          </cell>
          <cell r="E165">
            <v>-54959091</v>
          </cell>
          <cell r="F165">
            <v>-52706909</v>
          </cell>
          <cell r="G165">
            <v>-47296931</v>
          </cell>
          <cell r="H165">
            <v>-48798161</v>
          </cell>
          <cell r="I165">
            <v>-66488587</v>
          </cell>
          <cell r="J165">
            <v>-110312920</v>
          </cell>
          <cell r="K165">
            <v>-129402951</v>
          </cell>
          <cell r="L165">
            <v>-82700096</v>
          </cell>
          <cell r="M165">
            <v>-56559698</v>
          </cell>
          <cell r="N165">
            <v>58420285</v>
          </cell>
          <cell r="O165">
            <v>-77552109</v>
          </cell>
          <cell r="P165">
            <v>-729798797</v>
          </cell>
          <cell r="Q165">
            <v>-729798797</v>
          </cell>
        </row>
        <row r="166">
          <cell r="A166" t="str">
            <v>F44200C</v>
          </cell>
          <cell r="B166" t="str">
            <v>COMMERCIAL AND INDUSTRIAL SALES</v>
          </cell>
          <cell r="C166">
            <v>0</v>
          </cell>
          <cell r="D166">
            <v>-53530974</v>
          </cell>
          <cell r="E166">
            <v>-52313797</v>
          </cell>
          <cell r="F166">
            <v>-51604152</v>
          </cell>
          <cell r="G166">
            <v>-49441464</v>
          </cell>
          <cell r="H166">
            <v>-62662841</v>
          </cell>
          <cell r="I166">
            <v>-88397024</v>
          </cell>
          <cell r="J166">
            <v>-153187748</v>
          </cell>
          <cell r="K166">
            <v>-182621489</v>
          </cell>
          <cell r="L166">
            <v>-155263093</v>
          </cell>
          <cell r="M166">
            <v>-97865871</v>
          </cell>
          <cell r="N166">
            <v>11458479</v>
          </cell>
          <cell r="O166">
            <v>-121094659</v>
          </cell>
          <cell r="P166">
            <v>-1056524633</v>
          </cell>
          <cell r="Q166">
            <v>-1056524633</v>
          </cell>
        </row>
        <row r="167">
          <cell r="A167" t="str">
            <v>F44400C</v>
          </cell>
          <cell r="B167" t="str">
            <v>PUBLIC STREET AND HIGHWAY LIGHTING</v>
          </cell>
          <cell r="C167">
            <v>0</v>
          </cell>
          <cell r="D167">
            <v>-551120</v>
          </cell>
          <cell r="E167">
            <v>-540203</v>
          </cell>
          <cell r="F167">
            <v>-604070</v>
          </cell>
          <cell r="G167">
            <v>-464906</v>
          </cell>
          <cell r="H167">
            <v>-525351</v>
          </cell>
          <cell r="I167">
            <v>-357529</v>
          </cell>
          <cell r="J167">
            <v>-966621</v>
          </cell>
          <cell r="K167">
            <v>-532938</v>
          </cell>
          <cell r="L167">
            <v>-819074</v>
          </cell>
          <cell r="M167">
            <v>-702978</v>
          </cell>
          <cell r="N167">
            <v>-585300</v>
          </cell>
          <cell r="O167">
            <v>-894267</v>
          </cell>
          <cell r="P167">
            <v>-7544357</v>
          </cell>
          <cell r="Q167">
            <v>-7544357</v>
          </cell>
        </row>
        <row r="168">
          <cell r="A168" t="str">
            <v>F44700C</v>
          </cell>
          <cell r="B168" t="str">
            <v>SALES FOR RESALE</v>
          </cell>
          <cell r="C168">
            <v>0</v>
          </cell>
          <cell r="D168">
            <v>-121168.75</v>
          </cell>
          <cell r="E168">
            <v>-1060495.27</v>
          </cell>
          <cell r="F168">
            <v>-1737290.6</v>
          </cell>
          <cell r="G168">
            <v>-1407899.56</v>
          </cell>
          <cell r="H168">
            <v>-2487064.4500000002</v>
          </cell>
          <cell r="I168">
            <v>-4134278.07</v>
          </cell>
          <cell r="J168">
            <v>-2286232.56</v>
          </cell>
          <cell r="K168">
            <v>-4579248.38</v>
          </cell>
          <cell r="L168">
            <v>-1913331.13</v>
          </cell>
          <cell r="M168">
            <v>-3695109.37</v>
          </cell>
          <cell r="N168">
            <v>-11437037.560000001</v>
          </cell>
          <cell r="O168">
            <v>-24093341.789999999</v>
          </cell>
          <cell r="P168">
            <v>-58952497.490000002</v>
          </cell>
          <cell r="Q168">
            <v>-58952497.490000002</v>
          </cell>
        </row>
        <row r="169">
          <cell r="A169" t="str">
            <v>F44701C</v>
          </cell>
          <cell r="B169" t="str">
            <v>COST RECOVERY FROM ISO/PX</v>
          </cell>
          <cell r="C169">
            <v>0</v>
          </cell>
          <cell r="D169">
            <v>-21877483.809999999</v>
          </cell>
          <cell r="E169">
            <v>-18701654.390000001</v>
          </cell>
          <cell r="F169">
            <v>-18916632.879999999</v>
          </cell>
          <cell r="G169">
            <v>-18640410.550000001</v>
          </cell>
          <cell r="H169">
            <v>-34325053.659999996</v>
          </cell>
          <cell r="I169">
            <v>-76516171.359999999</v>
          </cell>
          <cell r="J169">
            <v>-73616428.200000003</v>
          </cell>
          <cell r="K169">
            <v>-116030956.08</v>
          </cell>
          <cell r="L169">
            <v>-76303773.030000001</v>
          </cell>
          <cell r="M169">
            <v>-52074348.439999998</v>
          </cell>
          <cell r="N169">
            <v>-68979796.939999998</v>
          </cell>
          <cell r="O169">
            <v>-141299462.08000001</v>
          </cell>
          <cell r="P169">
            <v>-717282171.41999996</v>
          </cell>
          <cell r="Q169">
            <v>-717282171.41999996</v>
          </cell>
        </row>
        <row r="170">
          <cell r="A170" t="str">
            <v>F45100C</v>
          </cell>
          <cell r="B170" t="str">
            <v>MISCELLANEOUS SERVICE REVENUES</v>
          </cell>
          <cell r="C170">
            <v>0</v>
          </cell>
          <cell r="D170">
            <v>-1846161</v>
          </cell>
          <cell r="E170">
            <v>-1767872</v>
          </cell>
          <cell r="F170">
            <v>-1744218</v>
          </cell>
          <cell r="G170">
            <v>-1652290</v>
          </cell>
          <cell r="H170">
            <v>-1842402</v>
          </cell>
          <cell r="I170">
            <v>-2216895</v>
          </cell>
          <cell r="J170">
            <v>-3127585</v>
          </cell>
          <cell r="K170">
            <v>-3138615</v>
          </cell>
          <cell r="L170">
            <v>-2459139</v>
          </cell>
          <cell r="M170">
            <v>-1756933</v>
          </cell>
          <cell r="N170">
            <v>-192259</v>
          </cell>
          <cell r="O170">
            <v>-2587610.41</v>
          </cell>
          <cell r="P170">
            <v>-24331979.41</v>
          </cell>
          <cell r="Q170">
            <v>-24331979.41</v>
          </cell>
        </row>
        <row r="171">
          <cell r="A171" t="str">
            <v>F45400C</v>
          </cell>
          <cell r="B171" t="str">
            <v>RENT FROM ELECTRIC PROPERTY</v>
          </cell>
          <cell r="C171">
            <v>0</v>
          </cell>
          <cell r="D171">
            <v>429.59</v>
          </cell>
          <cell r="E171">
            <v>337.75</v>
          </cell>
          <cell r="F171">
            <v>85.5</v>
          </cell>
          <cell r="G171">
            <v>0</v>
          </cell>
          <cell r="H171">
            <v>128.52000000000001</v>
          </cell>
          <cell r="I171">
            <v>355.27</v>
          </cell>
          <cell r="J171">
            <v>0</v>
          </cell>
          <cell r="K171">
            <v>99.47</v>
          </cell>
          <cell r="L171">
            <v>395.77</v>
          </cell>
          <cell r="M171">
            <v>0</v>
          </cell>
          <cell r="N171">
            <v>0</v>
          </cell>
          <cell r="O171">
            <v>201.28</v>
          </cell>
          <cell r="P171">
            <v>2033.1499999999999</v>
          </cell>
          <cell r="Q171">
            <v>2033.1499999999999</v>
          </cell>
        </row>
        <row r="172">
          <cell r="A172" t="str">
            <v>F45400E</v>
          </cell>
          <cell r="B172" t="str">
            <v>RENT FROM ELECTRIC PROPERTY</v>
          </cell>
          <cell r="C172">
            <v>0</v>
          </cell>
          <cell r="D172">
            <v>-88776.94</v>
          </cell>
          <cell r="E172">
            <v>-1015826.6</v>
          </cell>
          <cell r="F172">
            <v>-108840.72</v>
          </cell>
          <cell r="G172">
            <v>-34039.699999999997</v>
          </cell>
          <cell r="H172">
            <v>-68278.59</v>
          </cell>
          <cell r="I172">
            <v>-62311.29</v>
          </cell>
          <cell r="J172">
            <v>-55047.41</v>
          </cell>
          <cell r="K172">
            <v>-54181.94</v>
          </cell>
          <cell r="L172">
            <v>-243060.69</v>
          </cell>
          <cell r="M172">
            <v>-48262.42</v>
          </cell>
          <cell r="N172">
            <v>-359324.23</v>
          </cell>
          <cell r="O172">
            <v>-225040.4</v>
          </cell>
          <cell r="P172">
            <v>-2362990.9299999997</v>
          </cell>
          <cell r="Q172">
            <v>-2362990.9299999997</v>
          </cell>
        </row>
        <row r="173">
          <cell r="A173" t="str">
            <v>F45600C</v>
          </cell>
          <cell r="B173" t="str">
            <v>OTHER ELECTRIC REVENUES</v>
          </cell>
          <cell r="C173">
            <v>0</v>
          </cell>
          <cell r="D173">
            <v>5619218.9199999999</v>
          </cell>
          <cell r="E173">
            <v>-5217005.43</v>
          </cell>
          <cell r="F173">
            <v>-10085124.189999999</v>
          </cell>
          <cell r="G173">
            <v>-8769159.2300000004</v>
          </cell>
          <cell r="H173">
            <v>-26876092.809999999</v>
          </cell>
          <cell r="I173">
            <v>-57245608.909999996</v>
          </cell>
          <cell r="J173">
            <v>55364828.479999997</v>
          </cell>
          <cell r="K173">
            <v>70669610.780000001</v>
          </cell>
          <cell r="L173">
            <v>89106980.299999997</v>
          </cell>
          <cell r="M173">
            <v>-29105860.440000001</v>
          </cell>
          <cell r="N173">
            <v>-272078382.61000001</v>
          </cell>
          <cell r="O173">
            <v>-83249940.310000002</v>
          </cell>
          <cell r="P173">
            <v>-271866535.45000005</v>
          </cell>
          <cell r="Q173">
            <v>-271866535.45000005</v>
          </cell>
        </row>
        <row r="174">
          <cell r="A174" t="str">
            <v>F45601C</v>
          </cell>
          <cell r="B174" t="str">
            <v>OTHER ELECTRIC REVENUES</v>
          </cell>
          <cell r="C174">
            <v>0</v>
          </cell>
          <cell r="D174">
            <v>1249586.3</v>
          </cell>
          <cell r="E174">
            <v>-1241929.27</v>
          </cell>
          <cell r="F174">
            <v>-865964.18</v>
          </cell>
          <cell r="G174">
            <v>-777543.44</v>
          </cell>
          <cell r="H174">
            <v>-911526.7</v>
          </cell>
          <cell r="I174">
            <v>-792086.91</v>
          </cell>
          <cell r="J174">
            <v>-811901.84</v>
          </cell>
          <cell r="K174">
            <v>-608689.13</v>
          </cell>
          <cell r="L174">
            <v>-769581</v>
          </cell>
          <cell r="M174">
            <v>-532357.06999999995</v>
          </cell>
          <cell r="N174">
            <v>-941974.21</v>
          </cell>
          <cell r="O174">
            <v>-780506.79</v>
          </cell>
          <cell r="P174">
            <v>-7784474.2400000002</v>
          </cell>
          <cell r="Q174">
            <v>-7784474.2400000002</v>
          </cell>
        </row>
        <row r="175">
          <cell r="A175" t="str">
            <v>F48000C</v>
          </cell>
          <cell r="B175" t="str">
            <v>RESIDENTIAL SALES</v>
          </cell>
          <cell r="C175">
            <v>0</v>
          </cell>
          <cell r="D175">
            <v>-35216767</v>
          </cell>
          <cell r="E175">
            <v>-28855861</v>
          </cell>
          <cell r="F175">
            <v>-30598177</v>
          </cell>
          <cell r="G175">
            <v>-20863356</v>
          </cell>
          <cell r="H175">
            <v>-16577725</v>
          </cell>
          <cell r="I175">
            <v>-15389440</v>
          </cell>
          <cell r="J175">
            <v>-15547334</v>
          </cell>
          <cell r="K175">
            <v>-13544354</v>
          </cell>
          <cell r="L175">
            <v>-13913336</v>
          </cell>
          <cell r="M175">
            <v>-16527717</v>
          </cell>
          <cell r="N175">
            <v>-27200020</v>
          </cell>
          <cell r="O175">
            <v>-44758231</v>
          </cell>
          <cell r="P175">
            <v>-278992318</v>
          </cell>
          <cell r="Q175">
            <v>-278992318</v>
          </cell>
        </row>
        <row r="176">
          <cell r="A176" t="str">
            <v>F48100C</v>
          </cell>
          <cell r="B176" t="str">
            <v>COMMERCIAL AND INDUSTRIAL SALES</v>
          </cell>
          <cell r="C176">
            <v>0</v>
          </cell>
          <cell r="D176">
            <v>-12336714</v>
          </cell>
          <cell r="E176">
            <v>-10666023</v>
          </cell>
          <cell r="F176">
            <v>-11614070</v>
          </cell>
          <cell r="G176">
            <v>-10385139</v>
          </cell>
          <cell r="H176">
            <v>-8915054</v>
          </cell>
          <cell r="I176">
            <v>-8877786</v>
          </cell>
          <cell r="J176">
            <v>-10570645</v>
          </cell>
          <cell r="K176">
            <v>-10364074</v>
          </cell>
          <cell r="L176">
            <v>-10576497</v>
          </cell>
          <cell r="M176">
            <v>-11813343</v>
          </cell>
          <cell r="N176">
            <v>-13828257</v>
          </cell>
          <cell r="O176">
            <v>-18876375</v>
          </cell>
          <cell r="P176">
            <v>-138823977</v>
          </cell>
          <cell r="Q176">
            <v>-138823977</v>
          </cell>
        </row>
        <row r="177">
          <cell r="A177" t="str">
            <v>F48800C</v>
          </cell>
          <cell r="B177" t="str">
            <v>MISCELLANEOUS SERVICE REVENUES</v>
          </cell>
          <cell r="C177">
            <v>0</v>
          </cell>
          <cell r="D177">
            <v>-403386</v>
          </cell>
          <cell r="E177">
            <v>-367123</v>
          </cell>
          <cell r="F177">
            <v>-375608</v>
          </cell>
          <cell r="G177">
            <v>-326666</v>
          </cell>
          <cell r="H177">
            <v>-296609</v>
          </cell>
          <cell r="I177">
            <v>-300752</v>
          </cell>
          <cell r="J177">
            <v>-344626</v>
          </cell>
          <cell r="K177">
            <v>-311014</v>
          </cell>
          <cell r="L177">
            <v>-328929</v>
          </cell>
          <cell r="M177">
            <v>-316334</v>
          </cell>
          <cell r="N177">
            <v>-360186</v>
          </cell>
          <cell r="O177">
            <v>-480560</v>
          </cell>
          <cell r="P177">
            <v>-4211793</v>
          </cell>
          <cell r="Q177">
            <v>-4211793</v>
          </cell>
        </row>
        <row r="178">
          <cell r="A178" t="str">
            <v>F48900C</v>
          </cell>
          <cell r="B178" t="str">
            <v>REV. FROM TRANS. OF GAS OF OTHERS</v>
          </cell>
          <cell r="C178">
            <v>0</v>
          </cell>
          <cell r="D178">
            <v>-2360991</v>
          </cell>
          <cell r="E178">
            <v>-2409560</v>
          </cell>
          <cell r="F178">
            <v>-2348195</v>
          </cell>
          <cell r="G178">
            <v>-2283544</v>
          </cell>
          <cell r="H178">
            <v>-1981266</v>
          </cell>
          <cell r="I178">
            <v>-2734936</v>
          </cell>
          <cell r="J178">
            <v>-2342918</v>
          </cell>
          <cell r="K178">
            <v>-4258286</v>
          </cell>
          <cell r="L178">
            <v>-5178746</v>
          </cell>
          <cell r="M178">
            <v>-4196116</v>
          </cell>
          <cell r="N178">
            <v>-4042889</v>
          </cell>
          <cell r="O178">
            <v>-6759433</v>
          </cell>
          <cell r="P178">
            <v>-40896880</v>
          </cell>
          <cell r="Q178">
            <v>-40896880</v>
          </cell>
        </row>
        <row r="179">
          <cell r="A179" t="str">
            <v>F49300C</v>
          </cell>
          <cell r="B179" t="str">
            <v>RENT FROM GAS PROPERTY</v>
          </cell>
          <cell r="C179">
            <v>0</v>
          </cell>
          <cell r="D179">
            <v>-2531.06</v>
          </cell>
          <cell r="E179">
            <v>-2531.06</v>
          </cell>
          <cell r="F179">
            <v>-2531.06</v>
          </cell>
          <cell r="G179">
            <v>-2531.06</v>
          </cell>
          <cell r="H179">
            <v>-2531.06</v>
          </cell>
          <cell r="I179">
            <v>-2531.06</v>
          </cell>
          <cell r="J179">
            <v>-2531.06</v>
          </cell>
          <cell r="K179">
            <v>-2131.06</v>
          </cell>
          <cell r="L179">
            <v>-2131.06</v>
          </cell>
          <cell r="M179">
            <v>-2131.02</v>
          </cell>
          <cell r="N179">
            <v>-2131.0300000000002</v>
          </cell>
          <cell r="O179">
            <v>-2158.0300000000002</v>
          </cell>
          <cell r="P179">
            <v>-28399.62</v>
          </cell>
          <cell r="Q179">
            <v>-28399.62</v>
          </cell>
        </row>
        <row r="180">
          <cell r="A180" t="str">
            <v>F49500C</v>
          </cell>
          <cell r="B180" t="str">
            <v>OTHER GAS REVENUES</v>
          </cell>
          <cell r="C180">
            <v>0</v>
          </cell>
          <cell r="D180">
            <v>12409744.27</v>
          </cell>
          <cell r="E180">
            <v>823419.01</v>
          </cell>
          <cell r="F180">
            <v>1577057.22</v>
          </cell>
          <cell r="G180">
            <v>-6254956.6799999997</v>
          </cell>
          <cell r="H180">
            <v>-1517958.96</v>
          </cell>
          <cell r="I180">
            <v>-4005245.84</v>
          </cell>
          <cell r="J180">
            <v>-8007211.8399999999</v>
          </cell>
          <cell r="K180">
            <v>7607793.4900000002</v>
          </cell>
          <cell r="L180">
            <v>1819578.55</v>
          </cell>
          <cell r="M180">
            <v>-5261009.03</v>
          </cell>
          <cell r="N180">
            <v>2357431.9500000002</v>
          </cell>
          <cell r="O180">
            <v>-25925523.670000002</v>
          </cell>
          <cell r="P180">
            <v>-24376881.530000001</v>
          </cell>
          <cell r="Q180">
            <v>-24376881.530000001</v>
          </cell>
        </row>
        <row r="181">
          <cell r="A181" t="str">
            <v>F49500G</v>
          </cell>
          <cell r="B181" t="str">
            <v>OTHER GAS REVENUES</v>
          </cell>
          <cell r="C181">
            <v>0</v>
          </cell>
          <cell r="D181">
            <v>0</v>
          </cell>
          <cell r="E181">
            <v>0</v>
          </cell>
          <cell r="F181">
            <v>-3171.98</v>
          </cell>
          <cell r="G181">
            <v>0</v>
          </cell>
          <cell r="H181">
            <v>86.7</v>
          </cell>
          <cell r="I181">
            <v>0</v>
          </cell>
          <cell r="J181">
            <v>-159.63</v>
          </cell>
          <cell r="K181">
            <v>-280.38</v>
          </cell>
          <cell r="L181">
            <v>0</v>
          </cell>
          <cell r="M181">
            <v>0</v>
          </cell>
          <cell r="N181">
            <v>0</v>
          </cell>
          <cell r="O181">
            <v>-196.25</v>
          </cell>
          <cell r="P181">
            <v>-3721.5400000000004</v>
          </cell>
          <cell r="Q181">
            <v>-3721.5400000000004</v>
          </cell>
        </row>
        <row r="182">
          <cell r="A182" t="str">
            <v>F50000E</v>
          </cell>
          <cell r="B182" t="str">
            <v>OPERATION SUPERVISION AND ENGINEERING</v>
          </cell>
          <cell r="C182">
            <v>0</v>
          </cell>
          <cell r="D182">
            <v>-23361.68</v>
          </cell>
          <cell r="E182">
            <v>54621.04</v>
          </cell>
          <cell r="F182">
            <v>2894.35</v>
          </cell>
          <cell r="G182">
            <v>40132.67</v>
          </cell>
          <cell r="H182">
            <v>4528.8999999999996</v>
          </cell>
          <cell r="I182">
            <v>88147.64</v>
          </cell>
          <cell r="J182">
            <v>176713.34</v>
          </cell>
          <cell r="K182">
            <v>6159.32</v>
          </cell>
          <cell r="L182">
            <v>2596.08</v>
          </cell>
          <cell r="M182">
            <v>118013.06</v>
          </cell>
          <cell r="N182">
            <v>3532.16</v>
          </cell>
          <cell r="O182">
            <v>1218.82</v>
          </cell>
          <cell r="P182">
            <v>475195.7</v>
          </cell>
          <cell r="Q182">
            <v>475195.7</v>
          </cell>
        </row>
        <row r="183">
          <cell r="A183" t="str">
            <v>F50010E</v>
          </cell>
          <cell r="B183" t="str">
            <v>OPERATION SUPERVISION AND ENGINEERING</v>
          </cell>
          <cell r="C183">
            <v>0</v>
          </cell>
          <cell r="D183">
            <v>8703.7800000000007</v>
          </cell>
          <cell r="E183">
            <v>-5094.2700000000004</v>
          </cell>
          <cell r="F183">
            <v>0</v>
          </cell>
          <cell r="G183">
            <v>0</v>
          </cell>
          <cell r="H183">
            <v>0</v>
          </cell>
          <cell r="I183">
            <v>78.09</v>
          </cell>
          <cell r="J183">
            <v>0</v>
          </cell>
          <cell r="K183">
            <v>0</v>
          </cell>
          <cell r="L183">
            <v>0</v>
          </cell>
          <cell r="M183">
            <v>12.68</v>
          </cell>
          <cell r="N183">
            <v>0</v>
          </cell>
          <cell r="O183">
            <v>9628.92</v>
          </cell>
          <cell r="P183">
            <v>13329.2</v>
          </cell>
          <cell r="Q183">
            <v>13329.2</v>
          </cell>
        </row>
        <row r="184">
          <cell r="A184" t="str">
            <v>F50040E</v>
          </cell>
          <cell r="B184" t="str">
            <v>OPERATION SUPERVISION AND ENGINEERING</v>
          </cell>
          <cell r="C184">
            <v>0</v>
          </cell>
          <cell r="D184">
            <v>0</v>
          </cell>
          <cell r="E184">
            <v>179.1</v>
          </cell>
          <cell r="F184">
            <v>-172.52</v>
          </cell>
          <cell r="G184">
            <v>0</v>
          </cell>
          <cell r="H184">
            <v>31.09</v>
          </cell>
          <cell r="I184">
            <v>0</v>
          </cell>
          <cell r="J184">
            <v>242.82</v>
          </cell>
          <cell r="K184">
            <v>0</v>
          </cell>
          <cell r="L184">
            <v>791.3</v>
          </cell>
          <cell r="M184">
            <v>35.299999999999997</v>
          </cell>
          <cell r="N184">
            <v>0</v>
          </cell>
          <cell r="O184">
            <v>0</v>
          </cell>
          <cell r="P184">
            <v>1107.0899999999999</v>
          </cell>
          <cell r="Q184">
            <v>1107.0899999999999</v>
          </cell>
        </row>
        <row r="185">
          <cell r="A185" t="str">
            <v>F50060E</v>
          </cell>
          <cell r="B185" t="str">
            <v>OPERATION SUPERVISION AND ENGINEERING</v>
          </cell>
          <cell r="C185">
            <v>0</v>
          </cell>
          <cell r="D185">
            <v>3141.15</v>
          </cell>
          <cell r="E185">
            <v>4978.1099999999997</v>
          </cell>
          <cell r="F185">
            <v>3897.27</v>
          </cell>
          <cell r="G185">
            <v>-617.62</v>
          </cell>
          <cell r="H185">
            <v>1689.62</v>
          </cell>
          <cell r="I185">
            <v>482.44</v>
          </cell>
          <cell r="J185">
            <v>680.64</v>
          </cell>
          <cell r="K185">
            <v>1253.96</v>
          </cell>
          <cell r="L185">
            <v>1198.03</v>
          </cell>
          <cell r="M185">
            <v>1464.11</v>
          </cell>
          <cell r="N185">
            <v>988.28</v>
          </cell>
          <cell r="O185">
            <v>-859.12</v>
          </cell>
          <cell r="P185">
            <v>18296.87</v>
          </cell>
          <cell r="Q185">
            <v>18296.87</v>
          </cell>
        </row>
        <row r="186">
          <cell r="A186" t="str">
            <v>F50070E</v>
          </cell>
          <cell r="B186" t="str">
            <v>OPERATION SUPERVISION AND ENGINEERING</v>
          </cell>
          <cell r="C186">
            <v>0</v>
          </cell>
          <cell r="D186">
            <v>3576.65</v>
          </cell>
          <cell r="E186">
            <v>4575.6499999999996</v>
          </cell>
          <cell r="F186">
            <v>3664.94</v>
          </cell>
          <cell r="G186">
            <v>3125.85</v>
          </cell>
          <cell r="H186">
            <v>3883.44</v>
          </cell>
          <cell r="I186">
            <v>1356.5</v>
          </cell>
          <cell r="J186">
            <v>2362.5500000000002</v>
          </cell>
          <cell r="K186">
            <v>3118.39</v>
          </cell>
          <cell r="L186">
            <v>2674.83</v>
          </cell>
          <cell r="M186">
            <v>3667.78</v>
          </cell>
          <cell r="N186">
            <v>2317.8000000000002</v>
          </cell>
          <cell r="O186">
            <v>5043.75</v>
          </cell>
          <cell r="P186">
            <v>39368.129999999997</v>
          </cell>
          <cell r="Q186">
            <v>39368.129999999997</v>
          </cell>
        </row>
        <row r="187">
          <cell r="A187" t="str">
            <v>F50100E</v>
          </cell>
          <cell r="B187" t="str">
            <v>FUEL</v>
          </cell>
          <cell r="C187">
            <v>0</v>
          </cell>
          <cell r="D187">
            <v>0</v>
          </cell>
          <cell r="E187">
            <v>655952.35</v>
          </cell>
          <cell r="F187">
            <v>89.25</v>
          </cell>
          <cell r="G187">
            <v>1657.03</v>
          </cell>
          <cell r="H187">
            <v>68</v>
          </cell>
          <cell r="I187">
            <v>26625.18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684391.81</v>
          </cell>
          <cell r="Q187">
            <v>684391.81</v>
          </cell>
        </row>
        <row r="188">
          <cell r="A188" t="str">
            <v>F50140E</v>
          </cell>
          <cell r="B188" t="str">
            <v>FUEL</v>
          </cell>
          <cell r="C188">
            <v>0</v>
          </cell>
          <cell r="D188">
            <v>0</v>
          </cell>
          <cell r="E188">
            <v>1191.8599999999999</v>
          </cell>
          <cell r="F188">
            <v>212.97</v>
          </cell>
          <cell r="G188">
            <v>0</v>
          </cell>
          <cell r="H188">
            <v>285.82</v>
          </cell>
          <cell r="I188">
            <v>470.18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2160.83</v>
          </cell>
          <cell r="Q188">
            <v>2160.83</v>
          </cell>
        </row>
        <row r="189">
          <cell r="A189" t="str">
            <v>F50200E</v>
          </cell>
          <cell r="B189" t="str">
            <v>STEAM EXPENSES</v>
          </cell>
          <cell r="C189">
            <v>0</v>
          </cell>
          <cell r="D189">
            <v>225.8</v>
          </cell>
          <cell r="E189">
            <v>11.06</v>
          </cell>
          <cell r="F189">
            <v>-64.19</v>
          </cell>
          <cell r="G189">
            <v>156.13999999999999</v>
          </cell>
          <cell r="H189">
            <v>0</v>
          </cell>
          <cell r="I189">
            <v>33.950000000000003</v>
          </cell>
          <cell r="J189">
            <v>37.68</v>
          </cell>
          <cell r="K189">
            <v>31.67</v>
          </cell>
          <cell r="L189">
            <v>65</v>
          </cell>
          <cell r="M189">
            <v>98.98</v>
          </cell>
          <cell r="N189">
            <v>0</v>
          </cell>
          <cell r="O189">
            <v>90.5</v>
          </cell>
          <cell r="P189">
            <v>686.59</v>
          </cell>
          <cell r="Q189">
            <v>686.59</v>
          </cell>
        </row>
        <row r="190">
          <cell r="A190" t="str">
            <v>F50210E</v>
          </cell>
          <cell r="B190" t="str">
            <v>STEAM EXPENSES</v>
          </cell>
          <cell r="C190">
            <v>0</v>
          </cell>
          <cell r="D190">
            <v>78.94</v>
          </cell>
          <cell r="E190">
            <v>0</v>
          </cell>
          <cell r="F190">
            <v>0</v>
          </cell>
          <cell r="G190">
            <v>118.39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197.32999999999998</v>
          </cell>
          <cell r="Q190">
            <v>197.32999999999998</v>
          </cell>
        </row>
        <row r="191">
          <cell r="A191" t="str">
            <v>F50500E</v>
          </cell>
          <cell r="B191" t="str">
            <v>ELECTRIC EXPENSES</v>
          </cell>
          <cell r="C191">
            <v>0</v>
          </cell>
          <cell r="D191">
            <v>2035.04</v>
          </cell>
          <cell r="E191">
            <v>3668.63</v>
          </cell>
          <cell r="F191">
            <v>2884.34</v>
          </cell>
          <cell r="G191">
            <v>2169.0700000000002</v>
          </cell>
          <cell r="H191">
            <v>3192.71</v>
          </cell>
          <cell r="I191">
            <v>1205.17</v>
          </cell>
          <cell r="J191">
            <v>2029.09</v>
          </cell>
          <cell r="K191">
            <v>2306.54</v>
          </cell>
          <cell r="L191">
            <v>1526.48</v>
          </cell>
          <cell r="M191">
            <v>2791.42</v>
          </cell>
          <cell r="N191">
            <v>1409.82</v>
          </cell>
          <cell r="O191">
            <v>3089.77</v>
          </cell>
          <cell r="P191">
            <v>28308.079999999998</v>
          </cell>
          <cell r="Q191">
            <v>28308.079999999998</v>
          </cell>
        </row>
        <row r="192">
          <cell r="A192" t="str">
            <v>F50510E</v>
          </cell>
          <cell r="B192" t="str">
            <v>ELECTRIC EXPENSES</v>
          </cell>
          <cell r="C192">
            <v>0</v>
          </cell>
          <cell r="D192">
            <v>312.97000000000003</v>
          </cell>
          <cell r="E192">
            <v>422.64</v>
          </cell>
          <cell r="F192">
            <v>331.5</v>
          </cell>
          <cell r="G192">
            <v>501.08</v>
          </cell>
          <cell r="H192">
            <v>480.04</v>
          </cell>
          <cell r="I192">
            <v>21.77</v>
          </cell>
          <cell r="J192">
            <v>223.24</v>
          </cell>
          <cell r="K192">
            <v>432.96</v>
          </cell>
          <cell r="L192">
            <v>361.26</v>
          </cell>
          <cell r="M192">
            <v>492.29</v>
          </cell>
          <cell r="N192">
            <v>332.06</v>
          </cell>
          <cell r="O192">
            <v>403.98</v>
          </cell>
          <cell r="P192">
            <v>4315.79</v>
          </cell>
          <cell r="Q192">
            <v>4315.79</v>
          </cell>
        </row>
        <row r="193">
          <cell r="A193" t="str">
            <v>F50540E</v>
          </cell>
          <cell r="B193" t="str">
            <v>ELECTRIC EXPENSES</v>
          </cell>
          <cell r="C193">
            <v>0</v>
          </cell>
          <cell r="D193">
            <v>3125.84</v>
          </cell>
          <cell r="E193">
            <v>4122.9799999999996</v>
          </cell>
          <cell r="F193">
            <v>2946.37</v>
          </cell>
          <cell r="G193">
            <v>3388.22</v>
          </cell>
          <cell r="H193">
            <v>3447.73</v>
          </cell>
          <cell r="I193">
            <v>2013.64</v>
          </cell>
          <cell r="J193">
            <v>1811.01</v>
          </cell>
          <cell r="K193">
            <v>2175.9299999999998</v>
          </cell>
          <cell r="L193">
            <v>1871.43</v>
          </cell>
          <cell r="M193">
            <v>2523.34</v>
          </cell>
          <cell r="N193">
            <v>1551.31</v>
          </cell>
          <cell r="O193">
            <v>8743.8799999999992</v>
          </cell>
          <cell r="P193">
            <v>37721.68</v>
          </cell>
          <cell r="Q193">
            <v>37721.68</v>
          </cell>
        </row>
        <row r="194">
          <cell r="A194" t="str">
            <v>F50560E</v>
          </cell>
          <cell r="B194" t="str">
            <v>ELECTRIC EXPENSES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-8130.15</v>
          </cell>
          <cell r="P194">
            <v>-8130.15</v>
          </cell>
          <cell r="Q194">
            <v>-8130.15</v>
          </cell>
        </row>
        <row r="195">
          <cell r="A195" t="str">
            <v>F50600E</v>
          </cell>
          <cell r="B195" t="str">
            <v>MISCELLANEOUS STEAM POWER EXPENSES</v>
          </cell>
          <cell r="C195">
            <v>0</v>
          </cell>
          <cell r="D195">
            <v>19588.13</v>
          </cell>
          <cell r="E195">
            <v>110057.82</v>
          </cell>
          <cell r="F195">
            <v>28104.97</v>
          </cell>
          <cell r="G195">
            <v>58428.28</v>
          </cell>
          <cell r="H195">
            <v>23486.39</v>
          </cell>
          <cell r="I195">
            <v>4229.79</v>
          </cell>
          <cell r="J195">
            <v>2151.5700000000002</v>
          </cell>
          <cell r="K195">
            <v>-2230.85</v>
          </cell>
          <cell r="L195">
            <v>7966.09</v>
          </cell>
          <cell r="M195">
            <v>2987.3</v>
          </cell>
          <cell r="N195">
            <v>2182.38</v>
          </cell>
          <cell r="O195">
            <v>1747.99</v>
          </cell>
          <cell r="P195">
            <v>258699.86000000002</v>
          </cell>
          <cell r="Q195">
            <v>258699.86000000002</v>
          </cell>
        </row>
        <row r="196">
          <cell r="A196" t="str">
            <v>F50700E</v>
          </cell>
          <cell r="B196" t="str">
            <v>RENTS</v>
          </cell>
          <cell r="C196">
            <v>0</v>
          </cell>
          <cell r="D196">
            <v>13053</v>
          </cell>
          <cell r="E196">
            <v>5095.8500000000004</v>
          </cell>
          <cell r="F196">
            <v>21033</v>
          </cell>
          <cell r="G196">
            <v>13067</v>
          </cell>
          <cell r="H196">
            <v>38484</v>
          </cell>
          <cell r="I196">
            <v>15294</v>
          </cell>
          <cell r="J196">
            <v>13009</v>
          </cell>
          <cell r="K196">
            <v>13009</v>
          </cell>
          <cell r="L196">
            <v>13009</v>
          </cell>
          <cell r="M196">
            <v>13009</v>
          </cell>
          <cell r="N196">
            <v>13009</v>
          </cell>
          <cell r="O196">
            <v>13009</v>
          </cell>
          <cell r="P196">
            <v>184080.85</v>
          </cell>
          <cell r="Q196">
            <v>184080.85</v>
          </cell>
        </row>
        <row r="197">
          <cell r="A197" t="str">
            <v>F51000E</v>
          </cell>
          <cell r="B197" t="str">
            <v>MAINTENANCE SUPERVISION AND ENGINEERING</v>
          </cell>
          <cell r="C197">
            <v>0</v>
          </cell>
          <cell r="D197">
            <v>111.91</v>
          </cell>
          <cell r="E197">
            <v>0</v>
          </cell>
          <cell r="F197">
            <v>28055.75</v>
          </cell>
          <cell r="G197">
            <v>-26665.65</v>
          </cell>
          <cell r="H197">
            <v>1159.29</v>
          </cell>
          <cell r="I197">
            <v>33.67</v>
          </cell>
          <cell r="J197">
            <v>79.37</v>
          </cell>
          <cell r="K197">
            <v>167.02</v>
          </cell>
          <cell r="L197">
            <v>97.33</v>
          </cell>
          <cell r="M197">
            <v>142.81</v>
          </cell>
          <cell r="N197">
            <v>25.16</v>
          </cell>
          <cell r="O197">
            <v>78.48</v>
          </cell>
          <cell r="P197">
            <v>3285.1399999999981</v>
          </cell>
          <cell r="Q197">
            <v>3285.1399999999981</v>
          </cell>
        </row>
        <row r="198">
          <cell r="A198" t="str">
            <v>F51010E</v>
          </cell>
          <cell r="B198" t="str">
            <v>MAINTENANCE SUPERVISION AND ENGINEERING</v>
          </cell>
          <cell r="C198">
            <v>0</v>
          </cell>
          <cell r="D198">
            <v>7104.31</v>
          </cell>
          <cell r="E198">
            <v>-3007.6</v>
          </cell>
          <cell r="F198">
            <v>2178.3200000000002</v>
          </cell>
          <cell r="G198">
            <v>1662.13</v>
          </cell>
          <cell r="H198">
            <v>1582.1</v>
          </cell>
          <cell r="I198">
            <v>1491.17</v>
          </cell>
          <cell r="J198">
            <v>1836.65</v>
          </cell>
          <cell r="K198">
            <v>1700.82</v>
          </cell>
          <cell r="L198">
            <v>1691.28</v>
          </cell>
          <cell r="M198">
            <v>1686.46</v>
          </cell>
          <cell r="N198">
            <v>1577.53</v>
          </cell>
          <cell r="O198">
            <v>10938.85</v>
          </cell>
          <cell r="P198">
            <v>30442.019999999997</v>
          </cell>
          <cell r="Q198">
            <v>30442.019999999997</v>
          </cell>
        </row>
        <row r="199">
          <cell r="A199" t="str">
            <v>F51020E</v>
          </cell>
          <cell r="B199" t="str">
            <v>MAINTENANCE SUPERVISION AND ENGINEERING</v>
          </cell>
          <cell r="C199">
            <v>0</v>
          </cell>
          <cell r="D199">
            <v>226.71</v>
          </cell>
          <cell r="E199">
            <v>193.92</v>
          </cell>
          <cell r="F199">
            <v>161.6</v>
          </cell>
          <cell r="G199">
            <v>161.6</v>
          </cell>
          <cell r="H199">
            <v>267.2</v>
          </cell>
          <cell r="I199">
            <v>2768.24</v>
          </cell>
          <cell r="J199">
            <v>429.12</v>
          </cell>
          <cell r="K199">
            <v>670.92</v>
          </cell>
          <cell r="L199">
            <v>625.12</v>
          </cell>
          <cell r="M199">
            <v>484</v>
          </cell>
          <cell r="N199">
            <v>313.83999999999997</v>
          </cell>
          <cell r="O199">
            <v>-961</v>
          </cell>
          <cell r="P199">
            <v>5341.2699999999995</v>
          </cell>
          <cell r="Q199">
            <v>5341.2699999999995</v>
          </cell>
        </row>
        <row r="200">
          <cell r="A200" t="str">
            <v>F51100E</v>
          </cell>
          <cell r="B200" t="str">
            <v>MAINTENANCE OF STRUCTURES</v>
          </cell>
          <cell r="C200">
            <v>0</v>
          </cell>
          <cell r="D200">
            <v>-63901.760000000002</v>
          </cell>
          <cell r="E200">
            <v>5601.73</v>
          </cell>
          <cell r="F200">
            <v>13491.29</v>
          </cell>
          <cell r="G200">
            <v>23688.78</v>
          </cell>
          <cell r="H200">
            <v>19192.41</v>
          </cell>
          <cell r="I200">
            <v>3383.13</v>
          </cell>
          <cell r="J200">
            <v>-15997.47</v>
          </cell>
          <cell r="K200">
            <v>-235.48</v>
          </cell>
          <cell r="L200">
            <v>14656.06</v>
          </cell>
          <cell r="M200">
            <v>11745.84</v>
          </cell>
          <cell r="N200">
            <v>14814.94</v>
          </cell>
          <cell r="O200">
            <v>16158.6</v>
          </cell>
          <cell r="P200">
            <v>42598.07</v>
          </cell>
          <cell r="Q200">
            <v>42598.07</v>
          </cell>
        </row>
        <row r="201">
          <cell r="A201" t="str">
            <v>F51200E</v>
          </cell>
          <cell r="B201" t="str">
            <v>MAINTENANCE OF BOILER PLANT</v>
          </cell>
          <cell r="C201">
            <v>0</v>
          </cell>
          <cell r="D201">
            <v>39.78</v>
          </cell>
          <cell r="E201">
            <v>88.7</v>
          </cell>
          <cell r="F201">
            <v>11167.01</v>
          </cell>
          <cell r="G201">
            <v>7044.36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245.51</v>
          </cell>
          <cell r="P201">
            <v>18585.359999999997</v>
          </cell>
          <cell r="Q201">
            <v>18585.359999999997</v>
          </cell>
        </row>
        <row r="202">
          <cell r="A202" t="str">
            <v>F51300E</v>
          </cell>
          <cell r="B202" t="str">
            <v>MAINTENANCE OF ELECTRIC PLANT</v>
          </cell>
          <cell r="C202">
            <v>0</v>
          </cell>
          <cell r="D202">
            <v>0</v>
          </cell>
          <cell r="E202">
            <v>240.2</v>
          </cell>
          <cell r="F202">
            <v>10.94</v>
          </cell>
          <cell r="G202">
            <v>47.28</v>
          </cell>
          <cell r="H202">
            <v>0</v>
          </cell>
          <cell r="I202">
            <v>0</v>
          </cell>
          <cell r="J202">
            <v>0</v>
          </cell>
          <cell r="K202">
            <v>-41976.42</v>
          </cell>
          <cell r="L202">
            <v>0</v>
          </cell>
          <cell r="M202">
            <v>0</v>
          </cell>
          <cell r="N202">
            <v>543.9</v>
          </cell>
          <cell r="O202">
            <v>1176</v>
          </cell>
          <cell r="P202">
            <v>-39958.1</v>
          </cell>
          <cell r="Q202">
            <v>-39958.1</v>
          </cell>
        </row>
        <row r="203">
          <cell r="A203" t="str">
            <v>F51320E</v>
          </cell>
          <cell r="B203" t="str">
            <v>MAINTENANCE OF ELECTRIC PLANT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525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525</v>
          </cell>
          <cell r="Q203">
            <v>525</v>
          </cell>
        </row>
        <row r="204">
          <cell r="A204" t="str">
            <v>F51400E</v>
          </cell>
          <cell r="B204" t="str">
            <v>MAINTENANCE OF MISCELLANEOUS STEAM PLAN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53.6</v>
          </cell>
          <cell r="H204">
            <v>26.8</v>
          </cell>
          <cell r="I204">
            <v>0</v>
          </cell>
          <cell r="J204">
            <v>0</v>
          </cell>
          <cell r="K204">
            <v>58.04</v>
          </cell>
          <cell r="L204">
            <v>-15.73</v>
          </cell>
          <cell r="M204">
            <v>0</v>
          </cell>
          <cell r="N204">
            <v>26.8</v>
          </cell>
          <cell r="O204">
            <v>86.4</v>
          </cell>
          <cell r="P204">
            <v>235.91</v>
          </cell>
          <cell r="Q204">
            <v>235.91</v>
          </cell>
        </row>
        <row r="205">
          <cell r="A205" t="str">
            <v>F51700E</v>
          </cell>
          <cell r="B205" t="str">
            <v>OPERATION SUPERVISION AND ENGINEERING</v>
          </cell>
          <cell r="C205">
            <v>0</v>
          </cell>
          <cell r="D205">
            <v>1657913.45</v>
          </cell>
          <cell r="E205">
            <v>2168543.09</v>
          </cell>
          <cell r="F205">
            <v>1179145.76</v>
          </cell>
          <cell r="G205">
            <v>461787.08</v>
          </cell>
          <cell r="H205">
            <v>1025362.02</v>
          </cell>
          <cell r="I205">
            <v>1339941.94</v>
          </cell>
          <cell r="J205">
            <v>982753.34</v>
          </cell>
          <cell r="K205">
            <v>1117134.53</v>
          </cell>
          <cell r="L205">
            <v>969091.08</v>
          </cell>
          <cell r="M205">
            <v>1268005.8899999999</v>
          </cell>
          <cell r="N205">
            <v>1571005.99</v>
          </cell>
          <cell r="O205">
            <v>-1842938.17</v>
          </cell>
          <cell r="P205">
            <v>11897746</v>
          </cell>
          <cell r="Q205">
            <v>11897746</v>
          </cell>
        </row>
        <row r="206">
          <cell r="A206" t="str">
            <v>F51800E</v>
          </cell>
          <cell r="B206" t="str">
            <v>FUEL</v>
          </cell>
          <cell r="C206">
            <v>0</v>
          </cell>
          <cell r="D206">
            <v>1523872.23</v>
          </cell>
          <cell r="E206">
            <v>1541355.09</v>
          </cell>
          <cell r="F206">
            <v>1656518.25</v>
          </cell>
          <cell r="G206">
            <v>1724390.77</v>
          </cell>
          <cell r="H206">
            <v>1772790.69</v>
          </cell>
          <cell r="I206">
            <v>1713301.73</v>
          </cell>
          <cell r="J206">
            <v>1772306.13</v>
          </cell>
          <cell r="K206">
            <v>1754976.22</v>
          </cell>
          <cell r="L206">
            <v>1694421.42</v>
          </cell>
          <cell r="M206">
            <v>951698.7</v>
          </cell>
          <cell r="N206">
            <v>1045448.94</v>
          </cell>
          <cell r="O206">
            <v>1379054.32</v>
          </cell>
          <cell r="P206">
            <v>18530134.490000002</v>
          </cell>
          <cell r="Q206">
            <v>18530134.490000002</v>
          </cell>
        </row>
        <row r="207">
          <cell r="A207" t="str">
            <v>F51900E</v>
          </cell>
          <cell r="B207" t="str">
            <v>COOLANTS AND WATER</v>
          </cell>
          <cell r="C207">
            <v>0</v>
          </cell>
          <cell r="D207">
            <v>11594.8</v>
          </cell>
          <cell r="E207">
            <v>12333.53</v>
          </cell>
          <cell r="F207">
            <v>5032.0600000000004</v>
          </cell>
          <cell r="G207">
            <v>19943.13</v>
          </cell>
          <cell r="H207">
            <v>10656.04</v>
          </cell>
          <cell r="I207">
            <v>5369.68</v>
          </cell>
          <cell r="J207">
            <v>8237.23</v>
          </cell>
          <cell r="K207">
            <v>13183.66</v>
          </cell>
          <cell r="L207">
            <v>1916.89</v>
          </cell>
          <cell r="M207">
            <v>13015.51</v>
          </cell>
          <cell r="N207">
            <v>15731.64</v>
          </cell>
          <cell r="O207">
            <v>10745.73</v>
          </cell>
          <cell r="P207">
            <v>127759.9</v>
          </cell>
          <cell r="Q207">
            <v>127759.9</v>
          </cell>
        </row>
        <row r="208">
          <cell r="A208" t="str">
            <v>F52000E</v>
          </cell>
          <cell r="B208" t="str">
            <v>STEAM EXPENSES</v>
          </cell>
          <cell r="C208">
            <v>0</v>
          </cell>
          <cell r="D208">
            <v>716129.2</v>
          </cell>
          <cell r="E208">
            <v>1327641.56</v>
          </cell>
          <cell r="F208">
            <v>689610.94</v>
          </cell>
          <cell r="G208">
            <v>228066.62</v>
          </cell>
          <cell r="H208">
            <v>314017.71000000002</v>
          </cell>
          <cell r="I208">
            <v>387141.8</v>
          </cell>
          <cell r="J208">
            <v>591080.56000000006</v>
          </cell>
          <cell r="K208">
            <v>526445.1</v>
          </cell>
          <cell r="L208">
            <v>722196.12</v>
          </cell>
          <cell r="M208">
            <v>636911.96</v>
          </cell>
          <cell r="N208">
            <v>525339.43000000005</v>
          </cell>
          <cell r="O208">
            <v>478125.18</v>
          </cell>
          <cell r="P208">
            <v>7142706.1799999997</v>
          </cell>
          <cell r="Q208">
            <v>7142706.1799999997</v>
          </cell>
        </row>
        <row r="209">
          <cell r="A209" t="str">
            <v>F52300E</v>
          </cell>
          <cell r="B209" t="str">
            <v>ELECTRIC EXPENSES</v>
          </cell>
          <cell r="C209">
            <v>0</v>
          </cell>
          <cell r="D209">
            <v>229938.48</v>
          </cell>
          <cell r="E209">
            <v>160436.10999999999</v>
          </cell>
          <cell r="F209">
            <v>192499.31</v>
          </cell>
          <cell r="G209">
            <v>163975.82999999999</v>
          </cell>
          <cell r="H209">
            <v>141805.20000000001</v>
          </cell>
          <cell r="I209">
            <v>162591.62</v>
          </cell>
          <cell r="J209">
            <v>181050.18</v>
          </cell>
          <cell r="K209">
            <v>151496.37</v>
          </cell>
          <cell r="L209">
            <v>181820.2</v>
          </cell>
          <cell r="M209">
            <v>89860.58</v>
          </cell>
          <cell r="N209">
            <v>141022.75</v>
          </cell>
          <cell r="O209">
            <v>343056.65</v>
          </cell>
          <cell r="P209">
            <v>2139553.2799999998</v>
          </cell>
          <cell r="Q209">
            <v>2139553.2799999998</v>
          </cell>
        </row>
        <row r="210">
          <cell r="A210" t="str">
            <v>F52400E</v>
          </cell>
          <cell r="B210" t="str">
            <v>MISCELLANEOUS NUCLEAR POWER EXPENSES</v>
          </cell>
          <cell r="C210">
            <v>0</v>
          </cell>
          <cell r="D210">
            <v>2038658.34</v>
          </cell>
          <cell r="E210">
            <v>1647961.1</v>
          </cell>
          <cell r="F210">
            <v>100610.95</v>
          </cell>
          <cell r="G210">
            <v>1484101.2</v>
          </cell>
          <cell r="H210">
            <v>1587885.12</v>
          </cell>
          <cell r="I210">
            <v>1360933.8</v>
          </cell>
          <cell r="J210">
            <v>1840281.9</v>
          </cell>
          <cell r="K210">
            <v>1465022.53</v>
          </cell>
          <cell r="L210">
            <v>1228495.8400000001</v>
          </cell>
          <cell r="M210">
            <v>2100082.6800000002</v>
          </cell>
          <cell r="N210">
            <v>1289283.2</v>
          </cell>
          <cell r="O210">
            <v>3264145.3</v>
          </cell>
          <cell r="P210">
            <v>19407461.959999997</v>
          </cell>
          <cell r="Q210">
            <v>19407461.959999997</v>
          </cell>
        </row>
        <row r="211">
          <cell r="A211" t="str">
            <v>F52500E</v>
          </cell>
          <cell r="B211" t="str">
            <v>RENTS</v>
          </cell>
          <cell r="C211">
            <v>0</v>
          </cell>
          <cell r="D211">
            <v>-141.46</v>
          </cell>
          <cell r="E211">
            <v>17859.28</v>
          </cell>
          <cell r="F211">
            <v>28539.53</v>
          </cell>
          <cell r="G211">
            <v>-3686.63</v>
          </cell>
          <cell r="H211">
            <v>11633.18</v>
          </cell>
          <cell r="I211">
            <v>28559.73</v>
          </cell>
          <cell r="J211">
            <v>11601.02</v>
          </cell>
          <cell r="K211">
            <v>11614.34</v>
          </cell>
          <cell r="L211">
            <v>28540.89</v>
          </cell>
          <cell r="M211">
            <v>10736.25</v>
          </cell>
          <cell r="N211">
            <v>11735.54</v>
          </cell>
          <cell r="O211">
            <v>100782.43</v>
          </cell>
          <cell r="P211">
            <v>257774.1</v>
          </cell>
          <cell r="Q211">
            <v>257774.1</v>
          </cell>
        </row>
        <row r="212">
          <cell r="A212" t="str">
            <v>F52800E</v>
          </cell>
          <cell r="B212" t="str">
            <v>MAINTENANCE SUPERVISION AND ENGINEERING</v>
          </cell>
          <cell r="C212">
            <v>0</v>
          </cell>
          <cell r="D212">
            <v>306721.84000000003</v>
          </cell>
          <cell r="E212">
            <v>1285775.99</v>
          </cell>
          <cell r="F212">
            <v>246132.4</v>
          </cell>
          <cell r="G212">
            <v>-34791.089999999997</v>
          </cell>
          <cell r="H212">
            <v>304267.09999999998</v>
          </cell>
          <cell r="I212">
            <v>420102.36</v>
          </cell>
          <cell r="J212">
            <v>472856.6</v>
          </cell>
          <cell r="K212">
            <v>325309.48</v>
          </cell>
          <cell r="L212">
            <v>531253.67000000004</v>
          </cell>
          <cell r="M212">
            <v>362278.12</v>
          </cell>
          <cell r="N212">
            <v>1451173.27</v>
          </cell>
          <cell r="O212">
            <v>726516.28</v>
          </cell>
          <cell r="P212">
            <v>6397596.0200000005</v>
          </cell>
          <cell r="Q212">
            <v>6397596.0200000005</v>
          </cell>
        </row>
        <row r="213">
          <cell r="A213" t="str">
            <v>F52900E</v>
          </cell>
          <cell r="B213" t="str">
            <v>MAINTENANCE OF STRUCTURES</v>
          </cell>
          <cell r="C213">
            <v>0</v>
          </cell>
          <cell r="D213">
            <v>179294.85</v>
          </cell>
          <cell r="E213">
            <v>336955.13</v>
          </cell>
          <cell r="F213">
            <v>151590.29999999999</v>
          </cell>
          <cell r="G213">
            <v>209092.64</v>
          </cell>
          <cell r="H213">
            <v>139670.59</v>
          </cell>
          <cell r="I213">
            <v>136693.04</v>
          </cell>
          <cell r="J213">
            <v>224817.68</v>
          </cell>
          <cell r="K213">
            <v>236351.63</v>
          </cell>
          <cell r="L213">
            <v>227524.12</v>
          </cell>
          <cell r="M213">
            <v>166311</v>
          </cell>
          <cell r="N213">
            <v>387890.92</v>
          </cell>
          <cell r="O213">
            <v>1041633.32</v>
          </cell>
          <cell r="P213">
            <v>3437825.2199999997</v>
          </cell>
          <cell r="Q213">
            <v>3437825.2199999997</v>
          </cell>
        </row>
        <row r="214">
          <cell r="A214" t="str">
            <v>F53000E</v>
          </cell>
          <cell r="B214" t="str">
            <v>MAINTENANCE OF REACTOR PLANT EQUIPMENT</v>
          </cell>
          <cell r="C214">
            <v>0</v>
          </cell>
          <cell r="D214">
            <v>572762.28</v>
          </cell>
          <cell r="E214">
            <v>628120.97</v>
          </cell>
          <cell r="F214">
            <v>268143.19</v>
          </cell>
          <cell r="G214">
            <v>43224.91</v>
          </cell>
          <cell r="H214">
            <v>179553.28</v>
          </cell>
          <cell r="I214">
            <v>332953.65000000002</v>
          </cell>
          <cell r="J214">
            <v>361496.68</v>
          </cell>
          <cell r="K214">
            <v>342764.95</v>
          </cell>
          <cell r="L214">
            <v>408326.51</v>
          </cell>
          <cell r="M214">
            <v>552665.68000000005</v>
          </cell>
          <cell r="N214">
            <v>716779.1</v>
          </cell>
          <cell r="O214">
            <v>2698115.94</v>
          </cell>
          <cell r="P214">
            <v>7104907.1400000006</v>
          </cell>
          <cell r="Q214">
            <v>7104907.1400000006</v>
          </cell>
        </row>
        <row r="215">
          <cell r="A215" t="str">
            <v>F53100E</v>
          </cell>
          <cell r="B215" t="str">
            <v>MAINTENANCE OF ELECTRIC PLANT</v>
          </cell>
          <cell r="C215">
            <v>0</v>
          </cell>
          <cell r="D215">
            <v>404696.85</v>
          </cell>
          <cell r="E215">
            <v>295914.8</v>
          </cell>
          <cell r="F215">
            <v>194465.61</v>
          </cell>
          <cell r="G215">
            <v>242813.68</v>
          </cell>
          <cell r="H215">
            <v>214194.2</v>
          </cell>
          <cell r="I215">
            <v>178817.77</v>
          </cell>
          <cell r="J215">
            <v>217529.96</v>
          </cell>
          <cell r="K215">
            <v>209180.23</v>
          </cell>
          <cell r="L215">
            <v>239443.13</v>
          </cell>
          <cell r="M215">
            <v>25643.78</v>
          </cell>
          <cell r="N215">
            <v>216175.38</v>
          </cell>
          <cell r="O215">
            <v>1289266.53</v>
          </cell>
          <cell r="P215">
            <v>3728141.92</v>
          </cell>
          <cell r="Q215">
            <v>3728141.92</v>
          </cell>
        </row>
        <row r="216">
          <cell r="A216" t="str">
            <v>F53200E</v>
          </cell>
          <cell r="B216" t="str">
            <v>MAINTENANCE OF MISCELLANEOUS NUCLEAR PL</v>
          </cell>
          <cell r="C216">
            <v>0</v>
          </cell>
          <cell r="D216">
            <v>702351.52</v>
          </cell>
          <cell r="E216">
            <v>2659673.39</v>
          </cell>
          <cell r="F216">
            <v>316311.27</v>
          </cell>
          <cell r="G216">
            <v>-1123141.3899999999</v>
          </cell>
          <cell r="H216">
            <v>70398.55</v>
          </cell>
          <cell r="I216">
            <v>471932.85</v>
          </cell>
          <cell r="J216">
            <v>572345.43999999994</v>
          </cell>
          <cell r="K216">
            <v>948294.51</v>
          </cell>
          <cell r="L216">
            <v>1700584.11</v>
          </cell>
          <cell r="M216">
            <v>1911587.71</v>
          </cell>
          <cell r="N216">
            <v>817966.14</v>
          </cell>
          <cell r="O216">
            <v>-553279.34</v>
          </cell>
          <cell r="P216">
            <v>8495024.7599999998</v>
          </cell>
          <cell r="Q216">
            <v>8495024.7599999998</v>
          </cell>
        </row>
        <row r="217">
          <cell r="A217" t="str">
            <v>F54600E</v>
          </cell>
          <cell r="B217" t="str">
            <v>OPERATION SUPERVISION AND ENGINEERING</v>
          </cell>
          <cell r="C217">
            <v>0</v>
          </cell>
          <cell r="D217">
            <v>0</v>
          </cell>
          <cell r="E217">
            <v>0</v>
          </cell>
          <cell r="F217">
            <v>50.72</v>
          </cell>
          <cell r="G217">
            <v>584.66999999999996</v>
          </cell>
          <cell r="H217">
            <v>218.22</v>
          </cell>
          <cell r="I217">
            <v>552.83000000000004</v>
          </cell>
          <cell r="J217">
            <v>619.17999999999995</v>
          </cell>
          <cell r="K217">
            <v>971.58</v>
          </cell>
          <cell r="L217">
            <v>82.48</v>
          </cell>
          <cell r="M217">
            <v>644.44000000000005</v>
          </cell>
          <cell r="N217">
            <v>69.319999999999993</v>
          </cell>
          <cell r="O217">
            <v>56</v>
          </cell>
          <cell r="P217">
            <v>3849.44</v>
          </cell>
          <cell r="Q217">
            <v>3849.44</v>
          </cell>
        </row>
        <row r="218">
          <cell r="A218" t="str">
            <v>F54700E</v>
          </cell>
          <cell r="B218" t="str">
            <v>FUEL</v>
          </cell>
          <cell r="C218">
            <v>0</v>
          </cell>
          <cell r="D218">
            <v>0</v>
          </cell>
          <cell r="E218">
            <v>0</v>
          </cell>
          <cell r="F218">
            <v>168.19</v>
          </cell>
          <cell r="G218">
            <v>745.1</v>
          </cell>
          <cell r="H218">
            <v>185.72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1099.01</v>
          </cell>
          <cell r="Q218">
            <v>1099.01</v>
          </cell>
        </row>
        <row r="219">
          <cell r="A219" t="str">
            <v>F54900E</v>
          </cell>
          <cell r="B219" t="str">
            <v>MISCELLANEOUS OTHER POWER GENERATION EX</v>
          </cell>
          <cell r="C219">
            <v>0</v>
          </cell>
          <cell r="D219">
            <v>4167.43</v>
          </cell>
          <cell r="E219">
            <v>4455.4399999999996</v>
          </cell>
          <cell r="F219">
            <v>3625.85</v>
          </cell>
          <cell r="G219">
            <v>-11002.18</v>
          </cell>
          <cell r="H219">
            <v>19570.05</v>
          </cell>
          <cell r="I219">
            <v>-16319.78</v>
          </cell>
          <cell r="J219">
            <v>6807.78</v>
          </cell>
          <cell r="K219">
            <v>4103.76</v>
          </cell>
          <cell r="L219">
            <v>9556.08</v>
          </cell>
          <cell r="M219">
            <v>620.86</v>
          </cell>
          <cell r="N219">
            <v>1616.06</v>
          </cell>
          <cell r="O219">
            <v>0</v>
          </cell>
          <cell r="P219">
            <v>27201.35</v>
          </cell>
          <cell r="Q219">
            <v>27201.35</v>
          </cell>
        </row>
        <row r="220">
          <cell r="A220" t="str">
            <v>F55300E</v>
          </cell>
          <cell r="B220" t="str">
            <v>MAINTENANCE OF GENERATING AND ELECTRIC</v>
          </cell>
          <cell r="C220">
            <v>0</v>
          </cell>
          <cell r="D220">
            <v>315179.78000000003</v>
          </cell>
          <cell r="E220">
            <v>266.61</v>
          </cell>
          <cell r="F220">
            <v>146.65</v>
          </cell>
          <cell r="G220">
            <v>-873.85</v>
          </cell>
          <cell r="H220">
            <v>68.540000000000006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92.81</v>
          </cell>
          <cell r="P220">
            <v>314880.54000000004</v>
          </cell>
          <cell r="Q220">
            <v>314880.54000000004</v>
          </cell>
        </row>
        <row r="221">
          <cell r="A221" t="str">
            <v>F55500E</v>
          </cell>
          <cell r="B221" t="str">
            <v>PURCHASED POWER</v>
          </cell>
          <cell r="C221">
            <v>0</v>
          </cell>
          <cell r="D221">
            <v>15895299.98</v>
          </cell>
          <cell r="E221">
            <v>16565112.390000001</v>
          </cell>
          <cell r="F221">
            <v>17047682.989999998</v>
          </cell>
          <cell r="G221">
            <v>15707132.890000001</v>
          </cell>
          <cell r="H221">
            <v>18895118.420000002</v>
          </cell>
          <cell r="I221">
            <v>22378964.73</v>
          </cell>
          <cell r="J221">
            <v>26035654.039999999</v>
          </cell>
          <cell r="K221">
            <v>27727482.579999998</v>
          </cell>
          <cell r="L221">
            <v>25418705.879999999</v>
          </cell>
          <cell r="M221">
            <v>28417367.949999999</v>
          </cell>
          <cell r="N221">
            <v>19145698.210000001</v>
          </cell>
          <cell r="O221">
            <v>24021595.77</v>
          </cell>
          <cell r="P221">
            <v>257255815.82999998</v>
          </cell>
          <cell r="Q221">
            <v>257255815.82999998</v>
          </cell>
        </row>
        <row r="222">
          <cell r="A222" t="str">
            <v>F55501E</v>
          </cell>
          <cell r="B222" t="str">
            <v>PX POWER</v>
          </cell>
          <cell r="C222">
            <v>0</v>
          </cell>
          <cell r="D222">
            <v>40423265.009999998</v>
          </cell>
          <cell r="E222">
            <v>37128481.57</v>
          </cell>
          <cell r="F222">
            <v>39427705.960000001</v>
          </cell>
          <cell r="G222">
            <v>42194307.840000004</v>
          </cell>
          <cell r="H222">
            <v>79900437.870000005</v>
          </cell>
          <cell r="I222">
            <v>194232110.15000001</v>
          </cell>
          <cell r="J222">
            <v>176812997.88999999</v>
          </cell>
          <cell r="K222">
            <v>268417371.74000001</v>
          </cell>
          <cell r="L222">
            <v>187147741.44</v>
          </cell>
          <cell r="M222">
            <v>132613815.55</v>
          </cell>
          <cell r="N222">
            <v>197410188.13999999</v>
          </cell>
          <cell r="O222">
            <v>326109204.73000002</v>
          </cell>
          <cell r="P222">
            <v>1721817627.8899999</v>
          </cell>
          <cell r="Q222">
            <v>1721817627.8899999</v>
          </cell>
        </row>
        <row r="223">
          <cell r="A223" t="str">
            <v>F55600E</v>
          </cell>
          <cell r="B223" t="str">
            <v>SYSTEM CONTROL AND LOAD DISPATCHING</v>
          </cell>
          <cell r="C223">
            <v>0</v>
          </cell>
          <cell r="D223">
            <v>88255.65</v>
          </cell>
          <cell r="E223">
            <v>107142.05</v>
          </cell>
          <cell r="F223">
            <v>99784.960000000006</v>
          </cell>
          <cell r="G223">
            <v>79820.929999999993</v>
          </cell>
          <cell r="H223">
            <v>103000.53</v>
          </cell>
          <cell r="I223">
            <v>69160.05</v>
          </cell>
          <cell r="J223">
            <v>78210.070000000007</v>
          </cell>
          <cell r="K223">
            <v>90256.19</v>
          </cell>
          <cell r="L223">
            <v>98500.27</v>
          </cell>
          <cell r="M223">
            <v>102171.17</v>
          </cell>
          <cell r="N223">
            <v>87916.94</v>
          </cell>
          <cell r="O223">
            <v>76353.63</v>
          </cell>
          <cell r="P223">
            <v>1080572.44</v>
          </cell>
          <cell r="Q223">
            <v>1080572.44</v>
          </cell>
        </row>
        <row r="224">
          <cell r="A224" t="str">
            <v>F55700E</v>
          </cell>
          <cell r="B224" t="str">
            <v>OTHER EXPENSES</v>
          </cell>
          <cell r="C224">
            <v>0</v>
          </cell>
          <cell r="D224">
            <v>3525110.86</v>
          </cell>
          <cell r="E224">
            <v>481690.28</v>
          </cell>
          <cell r="F224">
            <v>386818.43</v>
          </cell>
          <cell r="G224">
            <v>609208.56999999995</v>
          </cell>
          <cell r="H224">
            <v>655174.42000000004</v>
          </cell>
          <cell r="I224">
            <v>415852.45</v>
          </cell>
          <cell r="J224">
            <v>449193.09</v>
          </cell>
          <cell r="K224">
            <v>458562.23</v>
          </cell>
          <cell r="L224">
            <v>421377.07</v>
          </cell>
          <cell r="M224">
            <v>409426.3</v>
          </cell>
          <cell r="N224">
            <v>514452.56</v>
          </cell>
          <cell r="O224">
            <v>442449.7</v>
          </cell>
          <cell r="P224">
            <v>8769315.959999999</v>
          </cell>
          <cell r="Q224">
            <v>8769315.959999999</v>
          </cell>
        </row>
        <row r="225">
          <cell r="A225" t="str">
            <v>F55720E</v>
          </cell>
          <cell r="B225" t="str">
            <v>OTHER EXPENSES</v>
          </cell>
          <cell r="C225">
            <v>0</v>
          </cell>
          <cell r="D225">
            <v>30579.16</v>
          </cell>
          <cell r="E225">
            <v>27051.64</v>
          </cell>
          <cell r="F225">
            <v>21722.74</v>
          </cell>
          <cell r="G225">
            <v>28575.439999999999</v>
          </cell>
          <cell r="H225">
            <v>31197.759999999998</v>
          </cell>
          <cell r="I225">
            <v>27948.26</v>
          </cell>
          <cell r="J225">
            <v>33657.99</v>
          </cell>
          <cell r="K225">
            <v>56068.6</v>
          </cell>
          <cell r="L225">
            <v>33382.080000000002</v>
          </cell>
          <cell r="M225">
            <v>42174.71</v>
          </cell>
          <cell r="N225">
            <v>33079.99</v>
          </cell>
          <cell r="O225">
            <v>36774.71</v>
          </cell>
          <cell r="P225">
            <v>402213.08000000007</v>
          </cell>
          <cell r="Q225">
            <v>402213.08000000007</v>
          </cell>
        </row>
        <row r="226">
          <cell r="A226" t="str">
            <v>F55780E</v>
          </cell>
          <cell r="B226" t="str">
            <v>OTHER EXPENSES</v>
          </cell>
          <cell r="C226">
            <v>0</v>
          </cell>
          <cell r="D226">
            <v>44831.839999999997</v>
          </cell>
          <cell r="E226">
            <v>28761.01</v>
          </cell>
          <cell r="F226">
            <v>24752.75</v>
          </cell>
          <cell r="G226">
            <v>26411</v>
          </cell>
          <cell r="H226">
            <v>26635.77</v>
          </cell>
          <cell r="I226">
            <v>17035.27</v>
          </cell>
          <cell r="J226">
            <v>20029.43</v>
          </cell>
          <cell r="K226">
            <v>20974.03</v>
          </cell>
          <cell r="L226">
            <v>18567.12</v>
          </cell>
          <cell r="M226">
            <v>22075.01</v>
          </cell>
          <cell r="N226">
            <v>17816.37</v>
          </cell>
          <cell r="O226">
            <v>18061.38</v>
          </cell>
          <cell r="P226">
            <v>285950.98</v>
          </cell>
          <cell r="Q226">
            <v>285950.98</v>
          </cell>
        </row>
        <row r="227">
          <cell r="A227" t="str">
            <v>F55790E</v>
          </cell>
          <cell r="B227" t="str">
            <v>OTHER EXPENSES-PX ADMIN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6275.54</v>
          </cell>
          <cell r="I227">
            <v>126057.79</v>
          </cell>
          <cell r="J227">
            <v>0</v>
          </cell>
          <cell r="K227">
            <v>0</v>
          </cell>
          <cell r="L227">
            <v>0</v>
          </cell>
          <cell r="M227">
            <v>34888.46</v>
          </cell>
          <cell r="N227">
            <v>58938.16</v>
          </cell>
          <cell r="O227">
            <v>25767.25</v>
          </cell>
          <cell r="P227">
            <v>251927.19999999998</v>
          </cell>
          <cell r="Q227">
            <v>251927.19999999998</v>
          </cell>
        </row>
        <row r="228">
          <cell r="A228" t="str">
            <v>F56000E</v>
          </cell>
          <cell r="B228" t="str">
            <v>OPERATION SUPERVISION AND ENGINEERING</v>
          </cell>
          <cell r="C228">
            <v>0</v>
          </cell>
          <cell r="D228">
            <v>13353.72</v>
          </cell>
          <cell r="E228">
            <v>4463.28</v>
          </cell>
          <cell r="F228">
            <v>2828.23</v>
          </cell>
          <cell r="G228">
            <v>15053.44</v>
          </cell>
          <cell r="H228">
            <v>6506.74</v>
          </cell>
          <cell r="I228">
            <v>21900.94</v>
          </cell>
          <cell r="J228">
            <v>973.49</v>
          </cell>
          <cell r="K228">
            <v>4007.79</v>
          </cell>
          <cell r="L228">
            <v>395.86</v>
          </cell>
          <cell r="M228">
            <v>1774.16</v>
          </cell>
          <cell r="N228">
            <v>62788.75</v>
          </cell>
          <cell r="O228">
            <v>2284.85</v>
          </cell>
          <cell r="P228">
            <v>136331.25</v>
          </cell>
          <cell r="Q228">
            <v>136331.25</v>
          </cell>
        </row>
        <row r="229">
          <cell r="A229" t="str">
            <v>F56010E</v>
          </cell>
          <cell r="B229" t="str">
            <v>OPERATION SUPERVISION AND ENGINEERING</v>
          </cell>
          <cell r="C229">
            <v>0</v>
          </cell>
          <cell r="D229">
            <v>101900.27</v>
          </cell>
          <cell r="E229">
            <v>141766.12</v>
          </cell>
          <cell r="F229">
            <v>109241.05</v>
          </cell>
          <cell r="G229">
            <v>116872.32000000001</v>
          </cell>
          <cell r="H229">
            <v>138433.17000000001</v>
          </cell>
          <cell r="I229">
            <v>133198.66</v>
          </cell>
          <cell r="J229">
            <v>160126.01999999999</v>
          </cell>
          <cell r="K229">
            <v>184976.99</v>
          </cell>
          <cell r="L229">
            <v>152819.64000000001</v>
          </cell>
          <cell r="M229">
            <v>183931.04</v>
          </cell>
          <cell r="N229">
            <v>157993.9</v>
          </cell>
          <cell r="O229">
            <v>203021.05</v>
          </cell>
          <cell r="P229">
            <v>1784280.2300000002</v>
          </cell>
          <cell r="Q229">
            <v>1784280.2300000002</v>
          </cell>
        </row>
        <row r="230">
          <cell r="A230" t="str">
            <v>F56020E</v>
          </cell>
          <cell r="B230" t="str">
            <v>OPERATION SUPERVISION AND ENGINEERING</v>
          </cell>
          <cell r="C230">
            <v>0</v>
          </cell>
          <cell r="D230">
            <v>23351.72</v>
          </cell>
          <cell r="E230">
            <v>30924.57</v>
          </cell>
          <cell r="F230">
            <v>26790.76</v>
          </cell>
          <cell r="G230">
            <v>24840.83</v>
          </cell>
          <cell r="H230">
            <v>34452.65</v>
          </cell>
          <cell r="I230">
            <v>23971.35</v>
          </cell>
          <cell r="J230">
            <v>25228.03</v>
          </cell>
          <cell r="K230">
            <v>31611.22</v>
          </cell>
          <cell r="L230">
            <v>29219.53</v>
          </cell>
          <cell r="M230">
            <v>34355.06</v>
          </cell>
          <cell r="N230">
            <v>24786.37</v>
          </cell>
          <cell r="O230">
            <v>26256.09</v>
          </cell>
          <cell r="P230">
            <v>335788.18</v>
          </cell>
          <cell r="Q230">
            <v>335788.18</v>
          </cell>
        </row>
        <row r="231">
          <cell r="A231" t="str">
            <v>F56100E</v>
          </cell>
          <cell r="B231" t="str">
            <v>LOAD DISPATCHING</v>
          </cell>
          <cell r="C231">
            <v>0</v>
          </cell>
          <cell r="D231">
            <v>170497.57</v>
          </cell>
          <cell r="E231">
            <v>232461.05</v>
          </cell>
          <cell r="F231">
            <v>234832.43</v>
          </cell>
          <cell r="G231">
            <v>170422.05</v>
          </cell>
          <cell r="H231">
            <v>220248.44</v>
          </cell>
          <cell r="I231">
            <v>162101.04999999999</v>
          </cell>
          <cell r="J231">
            <v>155578.29999999999</v>
          </cell>
          <cell r="K231">
            <v>211523.45</v>
          </cell>
          <cell r="L231">
            <v>166445.26</v>
          </cell>
          <cell r="M231">
            <v>236830.41</v>
          </cell>
          <cell r="N231">
            <v>195497.27</v>
          </cell>
          <cell r="O231">
            <v>222403.29</v>
          </cell>
          <cell r="P231">
            <v>2378840.5699999998</v>
          </cell>
          <cell r="Q231">
            <v>2378840.5699999998</v>
          </cell>
        </row>
        <row r="232">
          <cell r="A232" t="str">
            <v>F56200E</v>
          </cell>
          <cell r="B232" t="str">
            <v>STATION EXPENSES</v>
          </cell>
          <cell r="C232">
            <v>0</v>
          </cell>
          <cell r="D232">
            <v>976.55</v>
          </cell>
          <cell r="E232">
            <v>950.77</v>
          </cell>
          <cell r="F232">
            <v>2715.96</v>
          </cell>
          <cell r="G232">
            <v>1076.08</v>
          </cell>
          <cell r="H232">
            <v>1125.8699999999999</v>
          </cell>
          <cell r="I232">
            <v>1696.23</v>
          </cell>
          <cell r="J232">
            <v>1125.8699999999999</v>
          </cell>
          <cell r="K232">
            <v>2865.67</v>
          </cell>
          <cell r="L232">
            <v>2113.8000000000002</v>
          </cell>
          <cell r="M232">
            <v>514.4</v>
          </cell>
          <cell r="N232">
            <v>852.1</v>
          </cell>
          <cell r="O232">
            <v>2006.14</v>
          </cell>
          <cell r="P232">
            <v>18019.439999999999</v>
          </cell>
          <cell r="Q232">
            <v>18019.439999999999</v>
          </cell>
        </row>
        <row r="233">
          <cell r="A233" t="str">
            <v>F56210E</v>
          </cell>
          <cell r="B233" t="str">
            <v>STATION EXPENSES</v>
          </cell>
          <cell r="C233">
            <v>0</v>
          </cell>
          <cell r="D233">
            <v>7349.93</v>
          </cell>
          <cell r="E233">
            <v>11346.64</v>
          </cell>
          <cell r="F233">
            <v>11090.17</v>
          </cell>
          <cell r="G233">
            <v>10750.61</v>
          </cell>
          <cell r="H233">
            <v>11165.16</v>
          </cell>
          <cell r="I233">
            <v>12578.53</v>
          </cell>
          <cell r="J233">
            <v>12702.67</v>
          </cell>
          <cell r="K233">
            <v>14283.8</v>
          </cell>
          <cell r="L233">
            <v>7951.38</v>
          </cell>
          <cell r="M233">
            <v>8543.1299999999992</v>
          </cell>
          <cell r="N233">
            <v>13238.39</v>
          </cell>
          <cell r="O233">
            <v>14337.32</v>
          </cell>
          <cell r="P233">
            <v>135337.73000000001</v>
          </cell>
          <cell r="Q233">
            <v>135337.73000000001</v>
          </cell>
        </row>
        <row r="234">
          <cell r="A234" t="str">
            <v>F56300E</v>
          </cell>
          <cell r="B234" t="str">
            <v>OVERHEAD LINE EXPENSES</v>
          </cell>
          <cell r="C234">
            <v>0</v>
          </cell>
          <cell r="D234">
            <v>1961.09</v>
          </cell>
          <cell r="E234">
            <v>2919.43</v>
          </cell>
          <cell r="F234">
            <v>1943.41</v>
          </cell>
          <cell r="G234">
            <v>2735.87</v>
          </cell>
          <cell r="H234">
            <v>6911.75</v>
          </cell>
          <cell r="I234">
            <v>3308.93</v>
          </cell>
          <cell r="J234">
            <v>2441.3000000000002</v>
          </cell>
          <cell r="K234">
            <v>36809.22</v>
          </cell>
          <cell r="L234">
            <v>-15409.24</v>
          </cell>
          <cell r="M234">
            <v>4409.32</v>
          </cell>
          <cell r="N234">
            <v>329.15</v>
          </cell>
          <cell r="O234">
            <v>2580.02</v>
          </cell>
          <cell r="P234">
            <v>50940.25</v>
          </cell>
          <cell r="Q234">
            <v>50940.25</v>
          </cell>
        </row>
        <row r="235">
          <cell r="A235" t="str">
            <v>F56310E</v>
          </cell>
          <cell r="B235" t="str">
            <v>OVERHEAD LINE EXPENSES</v>
          </cell>
          <cell r="C235">
            <v>0</v>
          </cell>
          <cell r="D235">
            <v>29015.95</v>
          </cell>
          <cell r="E235">
            <v>23658.799999999999</v>
          </cell>
          <cell r="F235">
            <v>41182.29</v>
          </cell>
          <cell r="G235">
            <v>33717.5</v>
          </cell>
          <cell r="H235">
            <v>37326.870000000003</v>
          </cell>
          <cell r="I235">
            <v>37617.339999999997</v>
          </cell>
          <cell r="J235">
            <v>33630.239999999998</v>
          </cell>
          <cell r="K235">
            <v>10970.08</v>
          </cell>
          <cell r="L235">
            <v>62593.78</v>
          </cell>
          <cell r="M235">
            <v>49898.35</v>
          </cell>
          <cell r="N235">
            <v>33772</v>
          </cell>
          <cell r="O235">
            <v>27042.5</v>
          </cell>
          <cell r="P235">
            <v>420425.69999999995</v>
          </cell>
          <cell r="Q235">
            <v>420425.69999999995</v>
          </cell>
        </row>
        <row r="236">
          <cell r="A236" t="str">
            <v>F56320E</v>
          </cell>
          <cell r="B236" t="str">
            <v>OVERHEAD LINE EXPENSES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61.44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61.44</v>
          </cell>
          <cell r="Q236">
            <v>61.44</v>
          </cell>
        </row>
        <row r="237">
          <cell r="A237" t="str">
            <v>F56400E</v>
          </cell>
          <cell r="B237" t="str">
            <v>UNDERGROUND LINE EXPENSES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99.06</v>
          </cell>
          <cell r="J237">
            <v>0</v>
          </cell>
          <cell r="K237">
            <v>798.59</v>
          </cell>
          <cell r="L237">
            <v>33.840000000000003</v>
          </cell>
          <cell r="M237">
            <v>0</v>
          </cell>
          <cell r="N237">
            <v>0</v>
          </cell>
          <cell r="O237">
            <v>22.69</v>
          </cell>
          <cell r="P237">
            <v>954.18000000000018</v>
          </cell>
          <cell r="Q237">
            <v>954.18000000000018</v>
          </cell>
        </row>
        <row r="238">
          <cell r="A238" t="str">
            <v>F56500E</v>
          </cell>
          <cell r="B238" t="str">
            <v>TRANSMISSION OF ELECTRICITY BY OTHERS</v>
          </cell>
          <cell r="C238">
            <v>0</v>
          </cell>
          <cell r="D238">
            <v>534341.64</v>
          </cell>
          <cell r="E238">
            <v>613787.19999999995</v>
          </cell>
          <cell r="F238">
            <v>607105.82999999996</v>
          </cell>
          <cell r="G238">
            <v>597783.82999999996</v>
          </cell>
          <cell r="H238">
            <v>568134.52</v>
          </cell>
          <cell r="I238">
            <v>570664.82999999996</v>
          </cell>
          <cell r="J238">
            <v>596204.09</v>
          </cell>
          <cell r="K238">
            <v>596676.44999999995</v>
          </cell>
          <cell r="L238">
            <v>542799.68000000005</v>
          </cell>
          <cell r="M238">
            <v>513665.26</v>
          </cell>
          <cell r="N238">
            <v>514302.83</v>
          </cell>
          <cell r="O238">
            <v>514172.46</v>
          </cell>
          <cell r="P238">
            <v>6769638.6199999992</v>
          </cell>
          <cell r="Q238">
            <v>6769638.6199999992</v>
          </cell>
        </row>
        <row r="239">
          <cell r="A239" t="str">
            <v>F56600E</v>
          </cell>
          <cell r="B239" t="str">
            <v>MISCELLANEOUS TRANSMISSION EXPENSES</v>
          </cell>
          <cell r="C239">
            <v>0</v>
          </cell>
          <cell r="D239">
            <v>3987272.91</v>
          </cell>
          <cell r="E239">
            <v>5246668.07</v>
          </cell>
          <cell r="F239">
            <v>7384421.4400000004</v>
          </cell>
          <cell r="G239">
            <v>5638178.1699999999</v>
          </cell>
          <cell r="H239">
            <v>4785391.4400000004</v>
          </cell>
          <cell r="I239">
            <v>4089071.75</v>
          </cell>
          <cell r="J239">
            <v>2226701.77</v>
          </cell>
          <cell r="K239">
            <v>-12747419.279999999</v>
          </cell>
          <cell r="L239">
            <v>3145175.92</v>
          </cell>
          <cell r="M239">
            <v>5871980.9699999997</v>
          </cell>
          <cell r="N239">
            <v>5775577.3300000001</v>
          </cell>
          <cell r="O239">
            <v>5000102.97</v>
          </cell>
          <cell r="P239">
            <v>40403123.460000001</v>
          </cell>
          <cell r="Q239">
            <v>40403123.460000001</v>
          </cell>
        </row>
        <row r="240">
          <cell r="A240" t="str">
            <v>F56620E</v>
          </cell>
          <cell r="B240" t="str">
            <v>MISCELLANEOUS TRANSMISSION EXPENSES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37.71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37.71</v>
          </cell>
          <cell r="Q240">
            <v>37.71</v>
          </cell>
        </row>
        <row r="241">
          <cell r="A241" t="str">
            <v>F56700E</v>
          </cell>
          <cell r="B241" t="str">
            <v>RENTS</v>
          </cell>
          <cell r="C241">
            <v>0</v>
          </cell>
          <cell r="D241">
            <v>464.93</v>
          </cell>
          <cell r="E241">
            <v>413170.93</v>
          </cell>
          <cell r="F241">
            <v>38823.019999999997</v>
          </cell>
          <cell r="G241">
            <v>838.06</v>
          </cell>
          <cell r="H241">
            <v>19252.84</v>
          </cell>
          <cell r="I241">
            <v>332.54</v>
          </cell>
          <cell r="J241">
            <v>405967.5</v>
          </cell>
          <cell r="K241">
            <v>14040</v>
          </cell>
          <cell r="L241">
            <v>2940.4</v>
          </cell>
          <cell r="M241">
            <v>29962.37</v>
          </cell>
          <cell r="N241">
            <v>29908.5</v>
          </cell>
          <cell r="O241">
            <v>1058.8800000000001</v>
          </cell>
          <cell r="P241">
            <v>956759.97000000009</v>
          </cell>
          <cell r="Q241">
            <v>956759.97000000009</v>
          </cell>
        </row>
        <row r="242">
          <cell r="A242" t="str">
            <v>F56800E</v>
          </cell>
          <cell r="B242" t="str">
            <v>MAINTENANCE SUPERVISION AND ENGINEERING</v>
          </cell>
          <cell r="C242">
            <v>0</v>
          </cell>
          <cell r="D242">
            <v>0</v>
          </cell>
          <cell r="E242">
            <v>336.45</v>
          </cell>
          <cell r="F242">
            <v>1636.55</v>
          </cell>
          <cell r="G242">
            <v>-206.33</v>
          </cell>
          <cell r="H242">
            <v>29165.88</v>
          </cell>
          <cell r="I242">
            <v>3362.58</v>
          </cell>
          <cell r="J242">
            <v>753.93</v>
          </cell>
          <cell r="K242">
            <v>7536.92</v>
          </cell>
          <cell r="L242">
            <v>2208.85</v>
          </cell>
          <cell r="M242">
            <v>6627.7</v>
          </cell>
          <cell r="N242">
            <v>5383.95</v>
          </cell>
          <cell r="O242">
            <v>5659.49</v>
          </cell>
          <cell r="P242">
            <v>62465.969999999994</v>
          </cell>
          <cell r="Q242">
            <v>62465.969999999994</v>
          </cell>
        </row>
        <row r="243">
          <cell r="A243" t="str">
            <v>F56810E</v>
          </cell>
          <cell r="B243" t="str">
            <v>MAINTENANCE SUPERVISION AND ENGINEERING</v>
          </cell>
          <cell r="C243">
            <v>0</v>
          </cell>
          <cell r="D243">
            <v>12732.21</v>
          </cell>
          <cell r="E243">
            <v>16178.26</v>
          </cell>
          <cell r="F243">
            <v>11486.74</v>
          </cell>
          <cell r="G243">
            <v>12551.45</v>
          </cell>
          <cell r="H243">
            <v>15628.37</v>
          </cell>
          <cell r="I243">
            <v>14363.96</v>
          </cell>
          <cell r="J243">
            <v>17620.03</v>
          </cell>
          <cell r="K243">
            <v>27908.57</v>
          </cell>
          <cell r="L243">
            <v>23806.34</v>
          </cell>
          <cell r="M243">
            <v>25201.34</v>
          </cell>
          <cell r="N243">
            <v>20983.33</v>
          </cell>
          <cell r="O243">
            <v>22948.12</v>
          </cell>
          <cell r="P243">
            <v>221408.71999999997</v>
          </cell>
          <cell r="Q243">
            <v>221408.71999999997</v>
          </cell>
        </row>
        <row r="244">
          <cell r="A244" t="str">
            <v>F56820E</v>
          </cell>
          <cell r="B244" t="str">
            <v>MAINTENANCE SUPERVISION AND ENGINEERING</v>
          </cell>
          <cell r="C244">
            <v>0</v>
          </cell>
          <cell r="D244">
            <v>10.69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10.69</v>
          </cell>
          <cell r="Q244">
            <v>10.69</v>
          </cell>
        </row>
        <row r="245">
          <cell r="A245" t="str">
            <v>F56900E</v>
          </cell>
          <cell r="B245" t="str">
            <v>MAINTENANCE OF STRUCTURES</v>
          </cell>
          <cell r="C245">
            <v>0</v>
          </cell>
          <cell r="D245">
            <v>116.9</v>
          </cell>
          <cell r="E245">
            <v>1186.9100000000001</v>
          </cell>
          <cell r="F245">
            <v>-421.43</v>
          </cell>
          <cell r="G245">
            <v>546.6</v>
          </cell>
          <cell r="H245">
            <v>2</v>
          </cell>
          <cell r="I245">
            <v>0</v>
          </cell>
          <cell r="J245">
            <v>108.99</v>
          </cell>
          <cell r="K245">
            <v>52</v>
          </cell>
          <cell r="L245">
            <v>36.1</v>
          </cell>
          <cell r="M245">
            <v>0</v>
          </cell>
          <cell r="N245">
            <v>61.6</v>
          </cell>
          <cell r="O245">
            <v>0</v>
          </cell>
          <cell r="P245">
            <v>1689.6699999999998</v>
          </cell>
          <cell r="Q245">
            <v>1689.6699999999998</v>
          </cell>
        </row>
        <row r="246">
          <cell r="A246" t="str">
            <v>F57000E</v>
          </cell>
          <cell r="B246" t="str">
            <v>MAINTENANCE OF STATION EQUIPMENT</v>
          </cell>
          <cell r="C246">
            <v>0</v>
          </cell>
          <cell r="D246">
            <v>21009.200000000001</v>
          </cell>
          <cell r="E246">
            <v>37025.11</v>
          </cell>
          <cell r="F246">
            <v>32553.54</v>
          </cell>
          <cell r="G246">
            <v>20978.11</v>
          </cell>
          <cell r="H246">
            <v>38978.44</v>
          </cell>
          <cell r="I246">
            <v>23285.54</v>
          </cell>
          <cell r="J246">
            <v>33578.68</v>
          </cell>
          <cell r="K246">
            <v>34636.629999999997</v>
          </cell>
          <cell r="L246">
            <v>43022.97</v>
          </cell>
          <cell r="M246">
            <v>2755.38</v>
          </cell>
          <cell r="N246">
            <v>83902.66</v>
          </cell>
          <cell r="O246">
            <v>38668.43</v>
          </cell>
          <cell r="P246">
            <v>410394.69</v>
          </cell>
          <cell r="Q246">
            <v>410394.69</v>
          </cell>
        </row>
        <row r="247">
          <cell r="A247" t="str">
            <v>F57010E</v>
          </cell>
          <cell r="B247" t="str">
            <v>MAINTENANCE OF STATION EQUIPMENT</v>
          </cell>
          <cell r="C247">
            <v>0</v>
          </cell>
          <cell r="D247">
            <v>89927.43</v>
          </cell>
          <cell r="E247">
            <v>105925.56</v>
          </cell>
          <cell r="F247">
            <v>77006.61</v>
          </cell>
          <cell r="G247">
            <v>67983</v>
          </cell>
          <cell r="H247">
            <v>133490.32</v>
          </cell>
          <cell r="I247">
            <v>81734.22</v>
          </cell>
          <cell r="J247">
            <v>100997.53</v>
          </cell>
          <cell r="K247">
            <v>147219.07</v>
          </cell>
          <cell r="L247">
            <v>184353.99</v>
          </cell>
          <cell r="M247">
            <v>172692.91</v>
          </cell>
          <cell r="N247">
            <v>94312.71</v>
          </cell>
          <cell r="O247">
            <v>89056.38</v>
          </cell>
          <cell r="P247">
            <v>1344699.73</v>
          </cell>
          <cell r="Q247">
            <v>1344699.73</v>
          </cell>
        </row>
        <row r="248">
          <cell r="A248" t="str">
            <v>F57020E</v>
          </cell>
          <cell r="B248" t="str">
            <v>MAINTENANCE OF STATION EQUIPMENT</v>
          </cell>
          <cell r="C248">
            <v>0</v>
          </cell>
          <cell r="D248">
            <v>5977.51</v>
          </cell>
          <cell r="E248">
            <v>13787.4</v>
          </cell>
          <cell r="F248">
            <v>14766.79</v>
          </cell>
          <cell r="G248">
            <v>13827.62</v>
          </cell>
          <cell r="H248">
            <v>19092.7</v>
          </cell>
          <cell r="I248">
            <v>17927.88</v>
          </cell>
          <cell r="J248">
            <v>6646.68</v>
          </cell>
          <cell r="K248">
            <v>20327.16</v>
          </cell>
          <cell r="L248">
            <v>15751.79</v>
          </cell>
          <cell r="M248">
            <v>15645.19</v>
          </cell>
          <cell r="N248">
            <v>13452.31</v>
          </cell>
          <cell r="O248">
            <v>13215.03</v>
          </cell>
          <cell r="P248">
            <v>170418.06000000003</v>
          </cell>
          <cell r="Q248">
            <v>170418.06000000003</v>
          </cell>
        </row>
        <row r="249">
          <cell r="A249" t="str">
            <v>F57050E</v>
          </cell>
          <cell r="B249" t="str">
            <v>MAINTENANCE OF STATION EQUIPMENT</v>
          </cell>
          <cell r="C249">
            <v>0</v>
          </cell>
          <cell r="D249">
            <v>793.93</v>
          </cell>
          <cell r="E249">
            <v>0</v>
          </cell>
          <cell r="F249">
            <v>423</v>
          </cell>
          <cell r="G249">
            <v>0</v>
          </cell>
          <cell r="H249">
            <v>0</v>
          </cell>
          <cell r="I249">
            <v>0</v>
          </cell>
          <cell r="J249">
            <v>518.16</v>
          </cell>
          <cell r="K249">
            <v>0</v>
          </cell>
          <cell r="L249">
            <v>1445.97</v>
          </cell>
          <cell r="M249">
            <v>0</v>
          </cell>
          <cell r="N249">
            <v>698.48</v>
          </cell>
          <cell r="O249">
            <v>0</v>
          </cell>
          <cell r="P249">
            <v>3879.5399999999995</v>
          </cell>
          <cell r="Q249">
            <v>3879.5399999999995</v>
          </cell>
        </row>
        <row r="250">
          <cell r="A250" t="str">
            <v>F57060E</v>
          </cell>
          <cell r="B250" t="str">
            <v>MAINTENANCE OF STATION EQUIPMENT</v>
          </cell>
          <cell r="C250">
            <v>0</v>
          </cell>
          <cell r="D250">
            <v>2767.48</v>
          </cell>
          <cell r="E250">
            <v>1750.38</v>
          </cell>
          <cell r="F250">
            <v>958.92</v>
          </cell>
          <cell r="G250">
            <v>19364.43</v>
          </cell>
          <cell r="H250">
            <v>15481.42</v>
          </cell>
          <cell r="I250">
            <v>217.21</v>
          </cell>
          <cell r="J250">
            <v>744.1</v>
          </cell>
          <cell r="K250">
            <v>0</v>
          </cell>
          <cell r="L250">
            <v>534.09</v>
          </cell>
          <cell r="M250">
            <v>2508.1</v>
          </cell>
          <cell r="N250">
            <v>16202.82</v>
          </cell>
          <cell r="O250">
            <v>890.25</v>
          </cell>
          <cell r="P250">
            <v>61419.19999999999</v>
          </cell>
          <cell r="Q250">
            <v>61419.19999999999</v>
          </cell>
        </row>
        <row r="251">
          <cell r="A251" t="str">
            <v>F57070E</v>
          </cell>
          <cell r="B251" t="str">
            <v>MAINTENANCE OF STATION EQUIPMENT</v>
          </cell>
          <cell r="C251">
            <v>0</v>
          </cell>
          <cell r="D251">
            <v>12195.11</v>
          </cell>
          <cell r="E251">
            <v>1480.04</v>
          </cell>
          <cell r="F251">
            <v>4057.61</v>
          </cell>
          <cell r="G251">
            <v>256.85000000000002</v>
          </cell>
          <cell r="H251">
            <v>-87.87</v>
          </cell>
          <cell r="I251">
            <v>197.25</v>
          </cell>
          <cell r="J251">
            <v>1548.9</v>
          </cell>
          <cell r="K251">
            <v>484.91</v>
          </cell>
          <cell r="L251">
            <v>630.49</v>
          </cell>
          <cell r="M251">
            <v>37618.589999999997</v>
          </cell>
          <cell r="N251">
            <v>2197.79</v>
          </cell>
          <cell r="O251">
            <v>337</v>
          </cell>
          <cell r="P251">
            <v>60916.670000000006</v>
          </cell>
          <cell r="Q251">
            <v>60916.670000000006</v>
          </cell>
        </row>
        <row r="252">
          <cell r="A252" t="str">
            <v>F57100E</v>
          </cell>
          <cell r="B252" t="str">
            <v>MAINTENANCE OF OVERHEAD LINES</v>
          </cell>
          <cell r="C252">
            <v>0</v>
          </cell>
          <cell r="D252">
            <v>60032.84</v>
          </cell>
          <cell r="E252">
            <v>81153.509999999995</v>
          </cell>
          <cell r="F252">
            <v>36747.760000000002</v>
          </cell>
          <cell r="G252">
            <v>92064.37</v>
          </cell>
          <cell r="H252">
            <v>139132.15</v>
          </cell>
          <cell r="I252">
            <v>195714.43</v>
          </cell>
          <cell r="J252">
            <v>95298.74</v>
          </cell>
          <cell r="K252">
            <v>160235.23000000001</v>
          </cell>
          <cell r="L252">
            <v>141800.74</v>
          </cell>
          <cell r="M252">
            <v>90432.4</v>
          </cell>
          <cell r="N252">
            <v>96086.79</v>
          </cell>
          <cell r="O252">
            <v>93370.23</v>
          </cell>
          <cell r="P252">
            <v>1282069.19</v>
          </cell>
          <cell r="Q252">
            <v>1282069.19</v>
          </cell>
        </row>
        <row r="253">
          <cell r="A253" t="str">
            <v>F57110E</v>
          </cell>
          <cell r="B253" t="str">
            <v>MAINTENANCE OF OVERHEAD LINES</v>
          </cell>
          <cell r="C253">
            <v>0</v>
          </cell>
          <cell r="D253">
            <v>16755.96</v>
          </cell>
          <cell r="E253">
            <v>18191.599999999999</v>
          </cell>
          <cell r="F253">
            <v>10707.46</v>
          </cell>
          <cell r="G253">
            <v>27363.41</v>
          </cell>
          <cell r="H253">
            <v>28982.54</v>
          </cell>
          <cell r="I253">
            <v>15938.15</v>
          </cell>
          <cell r="J253">
            <v>9474.93</v>
          </cell>
          <cell r="K253">
            <v>30247.64</v>
          </cell>
          <cell r="L253">
            <v>10242.61</v>
          </cell>
          <cell r="M253">
            <v>69658.89</v>
          </cell>
          <cell r="N253">
            <v>18936.22</v>
          </cell>
          <cell r="O253">
            <v>13294.9</v>
          </cell>
          <cell r="P253">
            <v>269794.31</v>
          </cell>
          <cell r="Q253">
            <v>269794.31</v>
          </cell>
        </row>
        <row r="254">
          <cell r="A254" t="str">
            <v>F57120E</v>
          </cell>
          <cell r="B254" t="str">
            <v>MAINTENANCE OF OVERHEAD LINES</v>
          </cell>
          <cell r="C254">
            <v>0</v>
          </cell>
          <cell r="D254">
            <v>-90945.78</v>
          </cell>
          <cell r="E254">
            <v>4651.58</v>
          </cell>
          <cell r="F254">
            <v>13454.45</v>
          </cell>
          <cell r="G254">
            <v>6268.36</v>
          </cell>
          <cell r="H254">
            <v>5966.78</v>
          </cell>
          <cell r="I254">
            <v>41630.79</v>
          </cell>
          <cell r="J254">
            <v>36041.29</v>
          </cell>
          <cell r="K254">
            <v>73977.2</v>
          </cell>
          <cell r="L254">
            <v>53049.8</v>
          </cell>
          <cell r="M254">
            <v>35815.39</v>
          </cell>
          <cell r="N254">
            <v>29773.55</v>
          </cell>
          <cell r="O254">
            <v>133821.43</v>
          </cell>
          <cell r="P254">
            <v>343504.83999999997</v>
          </cell>
          <cell r="Q254">
            <v>343504.83999999997</v>
          </cell>
        </row>
        <row r="255">
          <cell r="A255" t="str">
            <v>F57130E</v>
          </cell>
          <cell r="B255" t="str">
            <v>MAINTENANCE OF OVERHEAD LINES</v>
          </cell>
          <cell r="C255">
            <v>0</v>
          </cell>
          <cell r="D255">
            <v>59307.71</v>
          </cell>
          <cell r="E255">
            <v>92509.15</v>
          </cell>
          <cell r="F255">
            <v>57476.959999999999</v>
          </cell>
          <cell r="G255">
            <v>77705.740000000005</v>
          </cell>
          <cell r="H255">
            <v>91521.96</v>
          </cell>
          <cell r="I255">
            <v>75285.509999999995</v>
          </cell>
          <cell r="J255">
            <v>74035.320000000007</v>
          </cell>
          <cell r="K255">
            <v>108251.46</v>
          </cell>
          <cell r="L255">
            <v>78622.5</v>
          </cell>
          <cell r="M255">
            <v>108044.03</v>
          </cell>
          <cell r="N255">
            <v>76364.56</v>
          </cell>
          <cell r="O255">
            <v>78780.350000000006</v>
          </cell>
          <cell r="P255">
            <v>977905.25000000012</v>
          </cell>
          <cell r="Q255">
            <v>977905.25000000012</v>
          </cell>
        </row>
        <row r="256">
          <cell r="A256" t="str">
            <v>F57170E</v>
          </cell>
          <cell r="B256" t="str">
            <v>MAINTENANCE OF OVERHEAD LINES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2975</v>
          </cell>
          <cell r="K256">
            <v>0</v>
          </cell>
          <cell r="L256">
            <v>-1700</v>
          </cell>
          <cell r="M256">
            <v>1072.3399999999999</v>
          </cell>
          <cell r="N256">
            <v>0</v>
          </cell>
          <cell r="O256">
            <v>2604.33</v>
          </cell>
          <cell r="P256">
            <v>4951.67</v>
          </cell>
          <cell r="Q256">
            <v>4951.67</v>
          </cell>
        </row>
        <row r="257">
          <cell r="A257" t="str">
            <v>F57180E</v>
          </cell>
          <cell r="B257" t="str">
            <v>MAINTENANCE OF OVERHEAD LINES</v>
          </cell>
          <cell r="C257">
            <v>0</v>
          </cell>
          <cell r="D257">
            <v>10978.44</v>
          </cell>
          <cell r="E257">
            <v>9543</v>
          </cell>
          <cell r="F257">
            <v>5461.93</v>
          </cell>
          <cell r="G257">
            <v>1494.91</v>
          </cell>
          <cell r="H257">
            <v>11881.71</v>
          </cell>
          <cell r="I257">
            <v>6658.92</v>
          </cell>
          <cell r="J257">
            <v>4641.46</v>
          </cell>
          <cell r="K257">
            <v>3329.05</v>
          </cell>
          <cell r="L257">
            <v>692.55</v>
          </cell>
          <cell r="M257">
            <v>0</v>
          </cell>
          <cell r="N257">
            <v>155.46</v>
          </cell>
          <cell r="O257">
            <v>0</v>
          </cell>
          <cell r="P257">
            <v>54837.430000000008</v>
          </cell>
          <cell r="Q257">
            <v>54837.430000000008</v>
          </cell>
        </row>
        <row r="258">
          <cell r="A258" t="str">
            <v>F57190E</v>
          </cell>
          <cell r="B258" t="str">
            <v>MAINTENANCE OF OVERHEAD LINES</v>
          </cell>
          <cell r="C258">
            <v>0</v>
          </cell>
          <cell r="D258">
            <v>62.95</v>
          </cell>
          <cell r="E258">
            <v>859.14</v>
          </cell>
          <cell r="F258">
            <v>0</v>
          </cell>
          <cell r="G258">
            <v>0</v>
          </cell>
          <cell r="H258">
            <v>0</v>
          </cell>
          <cell r="I258">
            <v>59.6</v>
          </cell>
          <cell r="J258">
            <v>0</v>
          </cell>
          <cell r="K258">
            <v>299.7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1281.3900000000001</v>
          </cell>
          <cell r="Q258">
            <v>1281.3900000000001</v>
          </cell>
        </row>
        <row r="259">
          <cell r="A259" t="str">
            <v>F57200E</v>
          </cell>
          <cell r="B259" t="str">
            <v>MAINTENANCE OF UNDERGROUND LINES</v>
          </cell>
          <cell r="C259">
            <v>0</v>
          </cell>
          <cell r="D259">
            <v>10394.799999999999</v>
          </cell>
          <cell r="E259">
            <v>340.91</v>
          </cell>
          <cell r="F259">
            <v>538.72</v>
          </cell>
          <cell r="G259">
            <v>732.35</v>
          </cell>
          <cell r="H259">
            <v>618.21</v>
          </cell>
          <cell r="I259">
            <v>745.55</v>
          </cell>
          <cell r="J259">
            <v>401.78</v>
          </cell>
          <cell r="K259">
            <v>454.01</v>
          </cell>
          <cell r="L259">
            <v>1321.79</v>
          </cell>
          <cell r="M259">
            <v>972.75</v>
          </cell>
          <cell r="N259">
            <v>434.25</v>
          </cell>
          <cell r="O259">
            <v>14243.05</v>
          </cell>
          <cell r="P259">
            <v>31198.17</v>
          </cell>
          <cell r="Q259">
            <v>31198.17</v>
          </cell>
        </row>
        <row r="260">
          <cell r="A260" t="str">
            <v>F57300E</v>
          </cell>
          <cell r="B260" t="str">
            <v>MAINTENANCE OF MISCELLANEOUS TRANSMISSI</v>
          </cell>
          <cell r="C260">
            <v>0</v>
          </cell>
          <cell r="D260">
            <v>-15.18</v>
          </cell>
          <cell r="E260">
            <v>87.28</v>
          </cell>
          <cell r="F260">
            <v>1254.01</v>
          </cell>
          <cell r="G260">
            <v>831.19</v>
          </cell>
          <cell r="H260">
            <v>2704.82</v>
          </cell>
          <cell r="I260">
            <v>246.38</v>
          </cell>
          <cell r="J260">
            <v>857.19</v>
          </cell>
          <cell r="K260">
            <v>182.63</v>
          </cell>
          <cell r="L260">
            <v>3492.94</v>
          </cell>
          <cell r="M260">
            <v>828</v>
          </cell>
          <cell r="N260">
            <v>353.59</v>
          </cell>
          <cell r="O260">
            <v>2823.22</v>
          </cell>
          <cell r="P260">
            <v>13646.07</v>
          </cell>
          <cell r="Q260">
            <v>13646.07</v>
          </cell>
        </row>
        <row r="261">
          <cell r="A261" t="str">
            <v>F58000E</v>
          </cell>
          <cell r="B261" t="str">
            <v>OPERATION SUPERVISION AND ENGINEERING</v>
          </cell>
          <cell r="C261">
            <v>0</v>
          </cell>
          <cell r="D261">
            <v>425078.05</v>
          </cell>
          <cell r="E261">
            <v>524648.75</v>
          </cell>
          <cell r="F261">
            <v>418279.32</v>
          </cell>
          <cell r="G261">
            <v>337827.76</v>
          </cell>
          <cell r="H261">
            <v>651301.11</v>
          </cell>
          <cell r="I261">
            <v>327631.18</v>
          </cell>
          <cell r="J261">
            <v>330113.12</v>
          </cell>
          <cell r="K261">
            <v>575709.14</v>
          </cell>
          <cell r="L261">
            <v>404921.39</v>
          </cell>
          <cell r="M261">
            <v>621841.82999999996</v>
          </cell>
          <cell r="N261">
            <v>462601.25</v>
          </cell>
          <cell r="O261">
            <v>486107.21</v>
          </cell>
          <cell r="P261">
            <v>5566060.1100000003</v>
          </cell>
          <cell r="Q261">
            <v>5566060.1100000003</v>
          </cell>
        </row>
        <row r="262">
          <cell r="A262" t="str">
            <v>F58010E</v>
          </cell>
          <cell r="B262" t="str">
            <v>OPERATION SUPERVISION AND ENGINEERING</v>
          </cell>
          <cell r="C262">
            <v>0</v>
          </cell>
          <cell r="D262">
            <v>75051.78</v>
          </cell>
          <cell r="E262">
            <v>76830.53</v>
          </cell>
          <cell r="F262">
            <v>81029.38</v>
          </cell>
          <cell r="G262">
            <v>70925.070000000007</v>
          </cell>
          <cell r="H262">
            <v>119025</v>
          </cell>
          <cell r="I262">
            <v>190137.19</v>
          </cell>
          <cell r="J262">
            <v>91852.49</v>
          </cell>
          <cell r="K262">
            <v>135477.35</v>
          </cell>
          <cell r="L262">
            <v>110811.6</v>
          </cell>
          <cell r="M262">
            <v>170947.45</v>
          </cell>
          <cell r="N262">
            <v>129360.14</v>
          </cell>
          <cell r="O262">
            <v>211338.26</v>
          </cell>
          <cell r="P262">
            <v>1462786.2399999998</v>
          </cell>
          <cell r="Q262">
            <v>1462786.2399999998</v>
          </cell>
        </row>
        <row r="263">
          <cell r="A263" t="str">
            <v>F58020E</v>
          </cell>
          <cell r="B263" t="str">
            <v>OPERATION SUPERVISION AND ENGINEERING</v>
          </cell>
          <cell r="C263">
            <v>0</v>
          </cell>
          <cell r="D263">
            <v>66694.16</v>
          </cell>
          <cell r="E263">
            <v>70742.06</v>
          </cell>
          <cell r="F263">
            <v>69163.240000000005</v>
          </cell>
          <cell r="G263">
            <v>75106.59</v>
          </cell>
          <cell r="H263">
            <v>78454.990000000005</v>
          </cell>
          <cell r="I263">
            <v>94353.58</v>
          </cell>
          <cell r="J263">
            <v>101914.04</v>
          </cell>
          <cell r="K263">
            <v>92881.42</v>
          </cell>
          <cell r="L263">
            <v>75889.36</v>
          </cell>
          <cell r="M263">
            <v>103634.97</v>
          </cell>
          <cell r="N263">
            <v>12348.85</v>
          </cell>
          <cell r="O263">
            <v>82297.259999999995</v>
          </cell>
          <cell r="P263">
            <v>923480.52</v>
          </cell>
          <cell r="Q263">
            <v>923480.52</v>
          </cell>
        </row>
        <row r="264">
          <cell r="A264" t="str">
            <v>F58040E</v>
          </cell>
          <cell r="B264" t="str">
            <v>OPERATION SUPERVISION AND ENGINEERING</v>
          </cell>
          <cell r="C264">
            <v>0</v>
          </cell>
          <cell r="D264">
            <v>2283.83</v>
          </cell>
          <cell r="E264">
            <v>2185.4699999999998</v>
          </cell>
          <cell r="F264">
            <v>2248.4899999999998</v>
          </cell>
          <cell r="G264">
            <v>2290.4499999999998</v>
          </cell>
          <cell r="H264">
            <v>1916.02</v>
          </cell>
          <cell r="I264">
            <v>1920.19</v>
          </cell>
          <cell r="J264">
            <v>1486.88</v>
          </cell>
          <cell r="K264">
            <v>2499.6799999999998</v>
          </cell>
          <cell r="L264">
            <v>2196.75</v>
          </cell>
          <cell r="M264">
            <v>2400.02</v>
          </cell>
          <cell r="N264">
            <v>2306.5500000000002</v>
          </cell>
          <cell r="O264">
            <v>1938.66</v>
          </cell>
          <cell r="P264">
            <v>25672.989999999998</v>
          </cell>
          <cell r="Q264">
            <v>25672.989999999998</v>
          </cell>
        </row>
        <row r="265">
          <cell r="A265" t="str">
            <v>F58100E</v>
          </cell>
          <cell r="B265" t="str">
            <v>LOAD DISPATCHING</v>
          </cell>
          <cell r="C265">
            <v>0</v>
          </cell>
          <cell r="D265">
            <v>88673.7</v>
          </cell>
          <cell r="E265">
            <v>109851.6</v>
          </cell>
          <cell r="F265">
            <v>94299.11</v>
          </cell>
          <cell r="G265">
            <v>103617.43</v>
          </cell>
          <cell r="H265">
            <v>111466.69</v>
          </cell>
          <cell r="I265">
            <v>67809.31</v>
          </cell>
          <cell r="J265">
            <v>72288.490000000005</v>
          </cell>
          <cell r="K265">
            <v>96982.13</v>
          </cell>
          <cell r="L265">
            <v>74462.960000000006</v>
          </cell>
          <cell r="M265">
            <v>100875.91</v>
          </cell>
          <cell r="N265">
            <v>81325.899999999994</v>
          </cell>
          <cell r="O265">
            <v>81578.67</v>
          </cell>
          <cell r="P265">
            <v>1083231.8999999999</v>
          </cell>
          <cell r="Q265">
            <v>1083231.8999999999</v>
          </cell>
        </row>
        <row r="266">
          <cell r="A266" t="str">
            <v>F58200E</v>
          </cell>
          <cell r="B266" t="str">
            <v>STATION EXPENSES</v>
          </cell>
          <cell r="C266">
            <v>0</v>
          </cell>
          <cell r="D266">
            <v>95096.4</v>
          </cell>
          <cell r="E266">
            <v>59837.24</v>
          </cell>
          <cell r="F266">
            <v>64211.72</v>
          </cell>
          <cell r="G266">
            <v>59330.93</v>
          </cell>
          <cell r="H266">
            <v>91869.95</v>
          </cell>
          <cell r="I266">
            <v>92156.31</v>
          </cell>
          <cell r="J266">
            <v>134971.84</v>
          </cell>
          <cell r="K266">
            <v>77004.509999999995</v>
          </cell>
          <cell r="L266">
            <v>74882.009999999995</v>
          </cell>
          <cell r="M266">
            <v>57993.89</v>
          </cell>
          <cell r="N266">
            <v>56409.54</v>
          </cell>
          <cell r="O266">
            <v>72013.39</v>
          </cell>
          <cell r="P266">
            <v>935777.7300000001</v>
          </cell>
          <cell r="Q266">
            <v>935777.7300000001</v>
          </cell>
        </row>
        <row r="267">
          <cell r="A267" t="str">
            <v>F58210E</v>
          </cell>
          <cell r="B267" t="str">
            <v>STATION EXPENSES</v>
          </cell>
          <cell r="C267">
            <v>0</v>
          </cell>
          <cell r="D267">
            <v>71836.91</v>
          </cell>
          <cell r="E267">
            <v>82969.539999999994</v>
          </cell>
          <cell r="F267">
            <v>82503.72</v>
          </cell>
          <cell r="G267">
            <v>78765.39</v>
          </cell>
          <cell r="H267">
            <v>87618.57</v>
          </cell>
          <cell r="I267">
            <v>76139.929999999993</v>
          </cell>
          <cell r="J267">
            <v>69282.320000000007</v>
          </cell>
          <cell r="K267">
            <v>84345.18</v>
          </cell>
          <cell r="L267">
            <v>78079.95</v>
          </cell>
          <cell r="M267">
            <v>96098.45</v>
          </cell>
          <cell r="N267">
            <v>73436.78</v>
          </cell>
          <cell r="O267">
            <v>79705.960000000006</v>
          </cell>
          <cell r="P267">
            <v>960782.7</v>
          </cell>
          <cell r="Q267">
            <v>960782.7</v>
          </cell>
        </row>
        <row r="268">
          <cell r="A268" t="str">
            <v>F58220E</v>
          </cell>
          <cell r="B268" t="str">
            <v>STATION EXPENSES</v>
          </cell>
          <cell r="C268">
            <v>0</v>
          </cell>
          <cell r="D268">
            <v>61.64</v>
          </cell>
          <cell r="E268">
            <v>48.78</v>
          </cell>
          <cell r="F268">
            <v>104.02</v>
          </cell>
          <cell r="G268">
            <v>1584.98</v>
          </cell>
          <cell r="H268">
            <v>260.41000000000003</v>
          </cell>
          <cell r="I268">
            <v>1860.85</v>
          </cell>
          <cell r="J268">
            <v>183.49</v>
          </cell>
          <cell r="K268">
            <v>383.14</v>
          </cell>
          <cell r="L268">
            <v>209.68</v>
          </cell>
          <cell r="M268">
            <v>0</v>
          </cell>
          <cell r="N268">
            <v>652.16</v>
          </cell>
          <cell r="O268">
            <v>677.5</v>
          </cell>
          <cell r="P268">
            <v>6026.6500000000005</v>
          </cell>
          <cell r="Q268">
            <v>6026.6500000000005</v>
          </cell>
        </row>
        <row r="269">
          <cell r="A269" t="str">
            <v>F58230E</v>
          </cell>
          <cell r="B269" t="str">
            <v>STATION EXPENSES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185.95</v>
          </cell>
          <cell r="P269">
            <v>185.95</v>
          </cell>
          <cell r="Q269">
            <v>185.95</v>
          </cell>
        </row>
        <row r="270">
          <cell r="A270" t="str">
            <v>F58240E</v>
          </cell>
          <cell r="B270" t="str">
            <v>STATION EXPENSES</v>
          </cell>
          <cell r="C270">
            <v>0</v>
          </cell>
          <cell r="D270">
            <v>0</v>
          </cell>
          <cell r="E270">
            <v>70.69</v>
          </cell>
          <cell r="F270">
            <v>0</v>
          </cell>
          <cell r="G270">
            <v>0</v>
          </cell>
          <cell r="H270">
            <v>145.65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18.54</v>
          </cell>
          <cell r="N270">
            <v>0</v>
          </cell>
          <cell r="O270">
            <v>12.2</v>
          </cell>
          <cell r="P270">
            <v>247.07999999999998</v>
          </cell>
          <cell r="Q270">
            <v>247.07999999999998</v>
          </cell>
        </row>
        <row r="271">
          <cell r="A271" t="str">
            <v>F58250E</v>
          </cell>
          <cell r="B271" t="str">
            <v>STATION EXPENSES</v>
          </cell>
          <cell r="C271">
            <v>0</v>
          </cell>
          <cell r="D271">
            <v>857.97</v>
          </cell>
          <cell r="E271">
            <v>1160.8900000000001</v>
          </cell>
          <cell r="F271">
            <v>859.57</v>
          </cell>
          <cell r="G271">
            <v>1363.25</v>
          </cell>
          <cell r="H271">
            <v>2010.66</v>
          </cell>
          <cell r="I271">
            <v>1409.14</v>
          </cell>
          <cell r="J271">
            <v>1828.36</v>
          </cell>
          <cell r="K271">
            <v>2377.67</v>
          </cell>
          <cell r="L271">
            <v>1271.8900000000001</v>
          </cell>
          <cell r="M271">
            <v>1620.4</v>
          </cell>
          <cell r="N271">
            <v>1337.11</v>
          </cell>
          <cell r="O271">
            <v>1270.6199999999999</v>
          </cell>
          <cell r="P271">
            <v>17367.53</v>
          </cell>
          <cell r="Q271">
            <v>17367.53</v>
          </cell>
        </row>
        <row r="272">
          <cell r="A272" t="str">
            <v>F58270E</v>
          </cell>
          <cell r="B272" t="str">
            <v>STATION EXPENSES</v>
          </cell>
          <cell r="C272">
            <v>0</v>
          </cell>
          <cell r="D272">
            <v>52224.58</v>
          </cell>
          <cell r="E272">
            <v>120819.94</v>
          </cell>
          <cell r="F272">
            <v>331671.76</v>
          </cell>
          <cell r="G272">
            <v>-210714.1</v>
          </cell>
          <cell r="H272">
            <v>100313.66</v>
          </cell>
          <cell r="I272">
            <v>111444.61</v>
          </cell>
          <cell r="J272">
            <v>55414.91</v>
          </cell>
          <cell r="K272">
            <v>122616.19</v>
          </cell>
          <cell r="L272">
            <v>99323.54</v>
          </cell>
          <cell r="M272">
            <v>91606.720000000001</v>
          </cell>
          <cell r="N272">
            <v>150819.35</v>
          </cell>
          <cell r="O272">
            <v>156858.64000000001</v>
          </cell>
          <cell r="P272">
            <v>1182399.8</v>
          </cell>
          <cell r="Q272">
            <v>1182399.8</v>
          </cell>
        </row>
        <row r="273">
          <cell r="A273" t="str">
            <v>F58300E</v>
          </cell>
          <cell r="B273" t="str">
            <v>OVERHEAD LINE EXPENSES</v>
          </cell>
          <cell r="C273">
            <v>0</v>
          </cell>
          <cell r="D273">
            <v>50312.72</v>
          </cell>
          <cell r="E273">
            <v>79107.02</v>
          </cell>
          <cell r="F273">
            <v>82626.84</v>
          </cell>
          <cell r="G273">
            <v>83290.7</v>
          </cell>
          <cell r="H273">
            <v>92342.73</v>
          </cell>
          <cell r="I273">
            <v>54342.41</v>
          </cell>
          <cell r="J273">
            <v>67107.289999999994</v>
          </cell>
          <cell r="K273">
            <v>99768.15</v>
          </cell>
          <cell r="L273">
            <v>205557.41</v>
          </cell>
          <cell r="M273">
            <v>94833.75</v>
          </cell>
          <cell r="N273">
            <v>87656.18</v>
          </cell>
          <cell r="O273">
            <v>72992.990000000005</v>
          </cell>
          <cell r="P273">
            <v>1069938.19</v>
          </cell>
          <cell r="Q273">
            <v>1069938.19</v>
          </cell>
        </row>
        <row r="274">
          <cell r="A274" t="str">
            <v>F58310E</v>
          </cell>
          <cell r="B274" t="str">
            <v>OVERHEAD LINE EXPENSES</v>
          </cell>
          <cell r="C274">
            <v>0</v>
          </cell>
          <cell r="D274">
            <v>54782.94</v>
          </cell>
          <cell r="E274">
            <v>56742.39</v>
          </cell>
          <cell r="F274">
            <v>51935.6</v>
          </cell>
          <cell r="G274">
            <v>64768.85</v>
          </cell>
          <cell r="H274">
            <v>94098.76</v>
          </cell>
          <cell r="I274">
            <v>61770.720000000001</v>
          </cell>
          <cell r="J274">
            <v>66118.53</v>
          </cell>
          <cell r="K274">
            <v>128950.78</v>
          </cell>
          <cell r="L274">
            <v>86415.01</v>
          </cell>
          <cell r="M274">
            <v>85731.82</v>
          </cell>
          <cell r="N274">
            <v>63409.24</v>
          </cell>
          <cell r="O274">
            <v>60822.17</v>
          </cell>
          <cell r="P274">
            <v>875546.81000000017</v>
          </cell>
          <cell r="Q274">
            <v>875546.81000000017</v>
          </cell>
        </row>
        <row r="275">
          <cell r="A275" t="str">
            <v>F58330E</v>
          </cell>
          <cell r="B275" t="str">
            <v>OVERHEAD LINE EXPENSES</v>
          </cell>
          <cell r="C275">
            <v>0</v>
          </cell>
          <cell r="D275">
            <v>-49168.34</v>
          </cell>
          <cell r="E275">
            <v>3433.14</v>
          </cell>
          <cell r="F275">
            <v>1088.18</v>
          </cell>
          <cell r="G275">
            <v>-103478.65</v>
          </cell>
          <cell r="H275">
            <v>-49307.34</v>
          </cell>
          <cell r="I275">
            <v>-39712.11</v>
          </cell>
          <cell r="J275">
            <v>-14109.6</v>
          </cell>
          <cell r="K275">
            <v>-29106.77</v>
          </cell>
          <cell r="L275">
            <v>-43630.21</v>
          </cell>
          <cell r="M275">
            <v>-118619.68</v>
          </cell>
          <cell r="N275">
            <v>-44700.24</v>
          </cell>
          <cell r="O275">
            <v>-32147.84</v>
          </cell>
          <cell r="P275">
            <v>-519459.46</v>
          </cell>
          <cell r="Q275">
            <v>-519459.46</v>
          </cell>
        </row>
        <row r="276">
          <cell r="A276" t="str">
            <v>F58350E</v>
          </cell>
          <cell r="B276" t="str">
            <v>OVERHEAD LINE EXPENSES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121.28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121.28</v>
          </cell>
          <cell r="Q276">
            <v>121.28</v>
          </cell>
        </row>
        <row r="277">
          <cell r="A277" t="str">
            <v>F58360E</v>
          </cell>
          <cell r="B277" t="str">
            <v>OVERHEAD LINE EXPENSES</v>
          </cell>
          <cell r="C277">
            <v>0</v>
          </cell>
          <cell r="D277">
            <v>1194.45</v>
          </cell>
          <cell r="E277">
            <v>1844.15</v>
          </cell>
          <cell r="F277">
            <v>1145.23</v>
          </cell>
          <cell r="G277">
            <v>1584.05</v>
          </cell>
          <cell r="H277">
            <v>2191.79</v>
          </cell>
          <cell r="I277">
            <v>1531.24</v>
          </cell>
          <cell r="J277">
            <v>1750.4</v>
          </cell>
          <cell r="K277">
            <v>1847.82</v>
          </cell>
          <cell r="L277">
            <v>1329.05</v>
          </cell>
          <cell r="M277">
            <v>1568.46</v>
          </cell>
          <cell r="N277">
            <v>1397.54</v>
          </cell>
          <cell r="O277">
            <v>1406.11</v>
          </cell>
          <cell r="P277">
            <v>18790.29</v>
          </cell>
          <cell r="Q277">
            <v>18790.29</v>
          </cell>
        </row>
        <row r="278">
          <cell r="A278" t="str">
            <v>F58400E</v>
          </cell>
          <cell r="B278" t="str">
            <v>UNDERGROUND LINE EXPENSES</v>
          </cell>
          <cell r="C278">
            <v>0</v>
          </cell>
          <cell r="D278">
            <v>95119.64</v>
          </cell>
          <cell r="E278">
            <v>168872.9</v>
          </cell>
          <cell r="F278">
            <v>165791.89000000001</v>
          </cell>
          <cell r="G278">
            <v>188786.4</v>
          </cell>
          <cell r="H278">
            <v>183608.97</v>
          </cell>
          <cell r="I278">
            <v>209003.36</v>
          </cell>
          <cell r="J278">
            <v>182978.48</v>
          </cell>
          <cell r="K278">
            <v>249805.93</v>
          </cell>
          <cell r="L278">
            <v>195526.54</v>
          </cell>
          <cell r="M278">
            <v>240974.3</v>
          </cell>
          <cell r="N278">
            <v>172871.66</v>
          </cell>
          <cell r="O278">
            <v>229760.19</v>
          </cell>
          <cell r="P278">
            <v>2283100.2599999998</v>
          </cell>
          <cell r="Q278">
            <v>2283100.2599999998</v>
          </cell>
        </row>
        <row r="279">
          <cell r="A279" t="str">
            <v>F58410E</v>
          </cell>
          <cell r="B279" t="str">
            <v>UNDERGROUND LINE EXPENSES</v>
          </cell>
          <cell r="C279">
            <v>0</v>
          </cell>
          <cell r="D279">
            <v>52867.360000000001</v>
          </cell>
          <cell r="E279">
            <v>30563.69</v>
          </cell>
          <cell r="F279">
            <v>35137.96</v>
          </cell>
          <cell r="G279">
            <v>31035.1</v>
          </cell>
          <cell r="H279">
            <v>31829.82</v>
          </cell>
          <cell r="I279">
            <v>28630.16</v>
          </cell>
          <cell r="J279">
            <v>27845.71</v>
          </cell>
          <cell r="K279">
            <v>88739.14</v>
          </cell>
          <cell r="L279">
            <v>60282.07</v>
          </cell>
          <cell r="M279">
            <v>43980.82</v>
          </cell>
          <cell r="N279">
            <v>39388.959999999999</v>
          </cell>
          <cell r="O279">
            <v>36306.85</v>
          </cell>
          <cell r="P279">
            <v>506607.64</v>
          </cell>
          <cell r="Q279">
            <v>506607.64</v>
          </cell>
        </row>
        <row r="280">
          <cell r="A280" t="str">
            <v>F58420E</v>
          </cell>
          <cell r="B280" t="str">
            <v>UNDERGROUND LINE EXPENSES</v>
          </cell>
          <cell r="C280">
            <v>0</v>
          </cell>
          <cell r="D280">
            <v>-47402.2</v>
          </cell>
          <cell r="E280">
            <v>5569.11</v>
          </cell>
          <cell r="F280">
            <v>5737.6</v>
          </cell>
          <cell r="G280">
            <v>-253402.61</v>
          </cell>
          <cell r="H280">
            <v>-89973.16</v>
          </cell>
          <cell r="I280">
            <v>-94184.91</v>
          </cell>
          <cell r="J280">
            <v>-112253.49</v>
          </cell>
          <cell r="K280">
            <v>-101907.49</v>
          </cell>
          <cell r="L280">
            <v>-161692.23000000001</v>
          </cell>
          <cell r="M280">
            <v>-109910.56</v>
          </cell>
          <cell r="N280">
            <v>-130460.77</v>
          </cell>
          <cell r="O280">
            <v>-108942.67</v>
          </cell>
          <cell r="P280">
            <v>-1198823.3799999999</v>
          </cell>
          <cell r="Q280">
            <v>-1198823.3799999999</v>
          </cell>
        </row>
        <row r="281">
          <cell r="A281" t="str">
            <v>F58430E</v>
          </cell>
          <cell r="B281" t="str">
            <v>UNDERGROUND LINE EXPENSES</v>
          </cell>
          <cell r="C281">
            <v>0</v>
          </cell>
          <cell r="D281">
            <v>0</v>
          </cell>
          <cell r="E281">
            <v>0</v>
          </cell>
          <cell r="F281">
            <v>2793.76</v>
          </cell>
          <cell r="G281">
            <v>6432.76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9226.52</v>
          </cell>
          <cell r="Q281">
            <v>9226.52</v>
          </cell>
        </row>
        <row r="282">
          <cell r="A282" t="str">
            <v>F58440E</v>
          </cell>
          <cell r="B282" t="str">
            <v>UNDERGROUND LINE EXPENSES</v>
          </cell>
          <cell r="C282">
            <v>0</v>
          </cell>
          <cell r="D282">
            <v>0</v>
          </cell>
          <cell r="E282">
            <v>91.26</v>
          </cell>
          <cell r="F282">
            <v>339.95</v>
          </cell>
          <cell r="G282">
            <v>0</v>
          </cell>
          <cell r="H282">
            <v>0</v>
          </cell>
          <cell r="I282">
            <v>0</v>
          </cell>
          <cell r="J282">
            <v>13.88</v>
          </cell>
          <cell r="K282">
            <v>400.24</v>
          </cell>
          <cell r="L282">
            <v>265.89999999999998</v>
          </cell>
          <cell r="M282">
            <v>49.85</v>
          </cell>
          <cell r="N282">
            <v>339.12</v>
          </cell>
          <cell r="O282">
            <v>0</v>
          </cell>
          <cell r="P282">
            <v>1500.1999999999998</v>
          </cell>
          <cell r="Q282">
            <v>1500.1999999999998</v>
          </cell>
        </row>
        <row r="283">
          <cell r="A283" t="str">
            <v>F58450E</v>
          </cell>
          <cell r="B283" t="str">
            <v>UNDERGROUND LINE EXPENSES</v>
          </cell>
          <cell r="C283">
            <v>0</v>
          </cell>
          <cell r="D283">
            <v>1052.4100000000001</v>
          </cell>
          <cell r="E283">
            <v>1079.76</v>
          </cell>
          <cell r="F283">
            <v>922.86</v>
          </cell>
          <cell r="G283">
            <v>2065.39</v>
          </cell>
          <cell r="H283">
            <v>2752.96</v>
          </cell>
          <cell r="I283">
            <v>1641.46</v>
          </cell>
          <cell r="J283">
            <v>2125.6</v>
          </cell>
          <cell r="K283">
            <v>2472.77</v>
          </cell>
          <cell r="L283">
            <v>1977.18</v>
          </cell>
          <cell r="M283">
            <v>2205.35</v>
          </cell>
          <cell r="N283">
            <v>1944.44</v>
          </cell>
          <cell r="O283">
            <v>1870.03</v>
          </cell>
          <cell r="P283">
            <v>22110.21</v>
          </cell>
          <cell r="Q283">
            <v>22110.21</v>
          </cell>
        </row>
        <row r="284">
          <cell r="A284" t="str">
            <v>F58460E</v>
          </cell>
          <cell r="B284" t="str">
            <v>UNDERGROUND LINE EXPENSES</v>
          </cell>
          <cell r="C284">
            <v>0</v>
          </cell>
          <cell r="D284">
            <v>112432.41</v>
          </cell>
          <cell r="E284">
            <v>108309.04</v>
          </cell>
          <cell r="F284">
            <v>99164.01</v>
          </cell>
          <cell r="G284">
            <v>121338.79</v>
          </cell>
          <cell r="H284">
            <v>158119.32</v>
          </cell>
          <cell r="I284">
            <v>78621.64</v>
          </cell>
          <cell r="J284">
            <v>103770.52</v>
          </cell>
          <cell r="K284">
            <v>111105.24</v>
          </cell>
          <cell r="L284">
            <v>89171.23</v>
          </cell>
          <cell r="M284">
            <v>106199.4</v>
          </cell>
          <cell r="N284">
            <v>104879.24</v>
          </cell>
          <cell r="O284">
            <v>136460.37</v>
          </cell>
          <cell r="P284">
            <v>1329571.21</v>
          </cell>
          <cell r="Q284">
            <v>1329571.21</v>
          </cell>
        </row>
        <row r="285">
          <cell r="A285" t="str">
            <v>F58500E</v>
          </cell>
          <cell r="B285" t="str">
            <v>STREET LIGHTING AND SIGNAL SYSTEM EXPEN</v>
          </cell>
          <cell r="C285">
            <v>0</v>
          </cell>
          <cell r="D285">
            <v>1781.63</v>
          </cell>
          <cell r="E285">
            <v>1629.27</v>
          </cell>
          <cell r="F285">
            <v>4975.9799999999996</v>
          </cell>
          <cell r="G285">
            <v>1146.33</v>
          </cell>
          <cell r="H285">
            <v>9179.33</v>
          </cell>
          <cell r="I285">
            <v>7093.09</v>
          </cell>
          <cell r="J285">
            <v>2840.51</v>
          </cell>
          <cell r="K285">
            <v>3107.22</v>
          </cell>
          <cell r="L285">
            <v>3521.74</v>
          </cell>
          <cell r="M285">
            <v>2661.32</v>
          </cell>
          <cell r="N285">
            <v>2012.48</v>
          </cell>
          <cell r="O285">
            <v>7974.58</v>
          </cell>
          <cell r="P285">
            <v>47923.48</v>
          </cell>
          <cell r="Q285">
            <v>47923.48</v>
          </cell>
        </row>
        <row r="286">
          <cell r="A286" t="str">
            <v>F58510E</v>
          </cell>
          <cell r="B286" t="str">
            <v>STREET LIGHTING AND SIGNAL SYSTEM EXPEN</v>
          </cell>
          <cell r="C286">
            <v>0</v>
          </cell>
          <cell r="D286">
            <v>37957.25</v>
          </cell>
          <cell r="E286">
            <v>50815.74</v>
          </cell>
          <cell r="F286">
            <v>32533.37</v>
          </cell>
          <cell r="G286">
            <v>54690.43</v>
          </cell>
          <cell r="H286">
            <v>37250.92</v>
          </cell>
          <cell r="I286">
            <v>37292.28</v>
          </cell>
          <cell r="J286">
            <v>25378.17</v>
          </cell>
          <cell r="K286">
            <v>35733.81</v>
          </cell>
          <cell r="L286">
            <v>27612.959999999999</v>
          </cell>
          <cell r="M286">
            <v>37369.699999999997</v>
          </cell>
          <cell r="N286">
            <v>21962.52</v>
          </cell>
          <cell r="O286">
            <v>48317.919999999998</v>
          </cell>
          <cell r="P286">
            <v>446915.07</v>
          </cell>
          <cell r="Q286">
            <v>446915.07</v>
          </cell>
        </row>
        <row r="287">
          <cell r="A287" t="str">
            <v>F58540E</v>
          </cell>
          <cell r="B287" t="str">
            <v>STREET LIGHTING AND SIGNAL SYSTEM EXPEN</v>
          </cell>
          <cell r="C287">
            <v>0</v>
          </cell>
          <cell r="D287">
            <v>1347.64</v>
          </cell>
          <cell r="E287">
            <v>897.78</v>
          </cell>
          <cell r="F287">
            <v>882.9</v>
          </cell>
          <cell r="G287">
            <v>2200.11</v>
          </cell>
          <cell r="H287">
            <v>1230.79</v>
          </cell>
          <cell r="I287">
            <v>3550.23</v>
          </cell>
          <cell r="J287">
            <v>3255.52</v>
          </cell>
          <cell r="K287">
            <v>3474.83</v>
          </cell>
          <cell r="L287">
            <v>2986.65</v>
          </cell>
          <cell r="M287">
            <v>3088.01</v>
          </cell>
          <cell r="N287">
            <v>3578.03</v>
          </cell>
          <cell r="O287">
            <v>5075.95</v>
          </cell>
          <cell r="P287">
            <v>31568.440000000006</v>
          </cell>
          <cell r="Q287">
            <v>31568.440000000006</v>
          </cell>
        </row>
        <row r="288">
          <cell r="A288" t="str">
            <v>F58560E</v>
          </cell>
          <cell r="B288" t="str">
            <v>STREET LIGHTING AND SIGNAL SYSTEM EXPEN</v>
          </cell>
          <cell r="C288">
            <v>0</v>
          </cell>
          <cell r="D288">
            <v>-2486.7399999999998</v>
          </cell>
          <cell r="E288">
            <v>111.06</v>
          </cell>
          <cell r="F288">
            <v>2099.21</v>
          </cell>
          <cell r="G288">
            <v>-2087.9</v>
          </cell>
          <cell r="H288">
            <v>-2279.91</v>
          </cell>
          <cell r="I288">
            <v>-1361.73</v>
          </cell>
          <cell r="J288">
            <v>-2.59</v>
          </cell>
          <cell r="K288">
            <v>1218.1500000000001</v>
          </cell>
          <cell r="L288">
            <v>-603.34</v>
          </cell>
          <cell r="M288">
            <v>649.03</v>
          </cell>
          <cell r="N288">
            <v>73.31</v>
          </cell>
          <cell r="O288">
            <v>2416.41</v>
          </cell>
          <cell r="P288">
            <v>-2255.0400000000009</v>
          </cell>
          <cell r="Q288">
            <v>-2255.0400000000009</v>
          </cell>
        </row>
        <row r="289">
          <cell r="A289" t="str">
            <v>F58600E</v>
          </cell>
          <cell r="B289" t="str">
            <v>METER EXPENSES</v>
          </cell>
          <cell r="C289">
            <v>0</v>
          </cell>
          <cell r="D289">
            <v>75714.28</v>
          </cell>
          <cell r="E289">
            <v>80086.41</v>
          </cell>
          <cell r="F289">
            <v>56783.05</v>
          </cell>
          <cell r="G289">
            <v>51546.080000000002</v>
          </cell>
          <cell r="H289">
            <v>-5314.35</v>
          </cell>
          <cell r="I289">
            <v>77348.27</v>
          </cell>
          <cell r="J289">
            <v>66865.649999999994</v>
          </cell>
          <cell r="K289">
            <v>92083.87</v>
          </cell>
          <cell r="L289">
            <v>82873.210000000006</v>
          </cell>
          <cell r="M289">
            <v>176628.87</v>
          </cell>
          <cell r="N289">
            <v>91952.2</v>
          </cell>
          <cell r="O289">
            <v>136621.79</v>
          </cell>
          <cell r="P289">
            <v>983189.33</v>
          </cell>
          <cell r="Q289">
            <v>983189.33</v>
          </cell>
        </row>
        <row r="290">
          <cell r="A290" t="str">
            <v>F58610E</v>
          </cell>
          <cell r="B290" t="str">
            <v>METER EXPENSES</v>
          </cell>
          <cell r="C290">
            <v>0</v>
          </cell>
          <cell r="D290">
            <v>22246.720000000001</v>
          </cell>
          <cell r="E290">
            <v>22658.9</v>
          </cell>
          <cell r="F290">
            <v>21854.83</v>
          </cell>
          <cell r="G290">
            <v>22125.84</v>
          </cell>
          <cell r="H290">
            <v>22216.36</v>
          </cell>
          <cell r="I290">
            <v>17207.04</v>
          </cell>
          <cell r="J290">
            <v>16435.47</v>
          </cell>
          <cell r="K290">
            <v>23591.09</v>
          </cell>
          <cell r="L290">
            <v>19746.349999999999</v>
          </cell>
          <cell r="M290">
            <v>44212.26</v>
          </cell>
          <cell r="N290">
            <v>19055.52</v>
          </cell>
          <cell r="O290">
            <v>20743.04</v>
          </cell>
          <cell r="P290">
            <v>272093.42</v>
          </cell>
          <cell r="Q290">
            <v>272093.42</v>
          </cell>
        </row>
        <row r="291">
          <cell r="A291" t="str">
            <v>F58620E</v>
          </cell>
          <cell r="B291" t="str">
            <v>METER EXPENSES</v>
          </cell>
          <cell r="C291">
            <v>0</v>
          </cell>
          <cell r="D291">
            <v>20237.080000000002</v>
          </cell>
          <cell r="E291">
            <v>29948.92</v>
          </cell>
          <cell r="F291">
            <v>21784.5</v>
          </cell>
          <cell r="G291">
            <v>20756.02</v>
          </cell>
          <cell r="H291">
            <v>25206.22</v>
          </cell>
          <cell r="I291">
            <v>35926.54</v>
          </cell>
          <cell r="J291">
            <v>18986.59</v>
          </cell>
          <cell r="K291">
            <v>26514.5</v>
          </cell>
          <cell r="L291">
            <v>16700.09</v>
          </cell>
          <cell r="M291">
            <v>22680.49</v>
          </cell>
          <cell r="N291">
            <v>14824.16</v>
          </cell>
          <cell r="O291">
            <v>15563.57</v>
          </cell>
          <cell r="P291">
            <v>269128.68</v>
          </cell>
          <cell r="Q291">
            <v>269128.68</v>
          </cell>
        </row>
        <row r="292">
          <cell r="A292" t="str">
            <v>F58630E</v>
          </cell>
          <cell r="B292" t="str">
            <v>METER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120.03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120.03</v>
          </cell>
          <cell r="Q292">
            <v>120.03</v>
          </cell>
        </row>
        <row r="293">
          <cell r="A293" t="str">
            <v>F58640E</v>
          </cell>
          <cell r="B293" t="str">
            <v>METER EXPENSES</v>
          </cell>
          <cell r="C293">
            <v>0</v>
          </cell>
          <cell r="D293">
            <v>136254.04</v>
          </cell>
          <cell r="E293">
            <v>157556.69</v>
          </cell>
          <cell r="F293">
            <v>137963.98000000001</v>
          </cell>
          <cell r="G293">
            <v>135680.13</v>
          </cell>
          <cell r="H293">
            <v>162895.84</v>
          </cell>
          <cell r="I293">
            <v>134276</v>
          </cell>
          <cell r="J293">
            <v>134319.97</v>
          </cell>
          <cell r="K293">
            <v>168055.21</v>
          </cell>
          <cell r="L293">
            <v>149656.78</v>
          </cell>
          <cell r="M293">
            <v>154893.56</v>
          </cell>
          <cell r="N293">
            <v>108586.23</v>
          </cell>
          <cell r="O293">
            <v>140662.19</v>
          </cell>
          <cell r="P293">
            <v>1720800.6199999999</v>
          </cell>
          <cell r="Q293">
            <v>1720800.6199999999</v>
          </cell>
        </row>
        <row r="294">
          <cell r="A294" t="str">
            <v>F58650E</v>
          </cell>
          <cell r="B294" t="str">
            <v>METER EXPENSES</v>
          </cell>
          <cell r="C294">
            <v>0</v>
          </cell>
          <cell r="D294">
            <v>38.6</v>
          </cell>
          <cell r="E294">
            <v>147.84</v>
          </cell>
          <cell r="F294">
            <v>0</v>
          </cell>
          <cell r="G294">
            <v>37.25</v>
          </cell>
          <cell r="H294">
            <v>36.42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260.11</v>
          </cell>
          <cell r="Q294">
            <v>260.11</v>
          </cell>
        </row>
        <row r="295">
          <cell r="A295" t="str">
            <v>F58700E</v>
          </cell>
          <cell r="B295" t="str">
            <v>CUSTOMER INSTALLATIONS EXPENSES</v>
          </cell>
          <cell r="C295">
            <v>0</v>
          </cell>
          <cell r="D295">
            <v>59347.1</v>
          </cell>
          <cell r="E295">
            <v>67282.84</v>
          </cell>
          <cell r="F295">
            <v>45391.87</v>
          </cell>
          <cell r="G295">
            <v>48734.66</v>
          </cell>
          <cell r="H295">
            <v>61802.080000000002</v>
          </cell>
          <cell r="I295">
            <v>47956.14</v>
          </cell>
          <cell r="J295">
            <v>44446.080000000002</v>
          </cell>
          <cell r="K295">
            <v>54122.93</v>
          </cell>
          <cell r="L295">
            <v>52031.09</v>
          </cell>
          <cell r="M295">
            <v>64031.71</v>
          </cell>
          <cell r="N295">
            <v>52339.73</v>
          </cell>
          <cell r="O295">
            <v>49573.98</v>
          </cell>
          <cell r="P295">
            <v>647060.21</v>
          </cell>
          <cell r="Q295">
            <v>647060.21</v>
          </cell>
        </row>
        <row r="296">
          <cell r="A296" t="str">
            <v>F58710E</v>
          </cell>
          <cell r="B296" t="str">
            <v>CUSTOMER INSTALLATIONS EXPENSES</v>
          </cell>
          <cell r="C296">
            <v>0</v>
          </cell>
          <cell r="D296">
            <v>1068.78</v>
          </cell>
          <cell r="E296">
            <v>4934.5600000000004</v>
          </cell>
          <cell r="F296">
            <v>2618.4499999999998</v>
          </cell>
          <cell r="G296">
            <v>1863.54</v>
          </cell>
          <cell r="H296">
            <v>864.8</v>
          </cell>
          <cell r="I296">
            <v>1243.76</v>
          </cell>
          <cell r="J296">
            <v>638.47</v>
          </cell>
          <cell r="K296">
            <v>1086.47</v>
          </cell>
          <cell r="L296">
            <v>1343.01</v>
          </cell>
          <cell r="M296">
            <v>1807.99</v>
          </cell>
          <cell r="N296">
            <v>1877.53</v>
          </cell>
          <cell r="O296">
            <v>1570.04</v>
          </cell>
          <cell r="P296">
            <v>20917.400000000001</v>
          </cell>
          <cell r="Q296">
            <v>20917.400000000001</v>
          </cell>
        </row>
        <row r="297">
          <cell r="A297" t="str">
            <v>F58720E</v>
          </cell>
          <cell r="B297" t="str">
            <v>CUSTOMER INSTALLATIONS EXPENSES</v>
          </cell>
          <cell r="C297">
            <v>0</v>
          </cell>
          <cell r="D297">
            <v>129516.22</v>
          </cell>
          <cell r="E297">
            <v>136263.57</v>
          </cell>
          <cell r="F297">
            <v>126415.32</v>
          </cell>
          <cell r="G297">
            <v>116799.69</v>
          </cell>
          <cell r="H297">
            <v>135284.68</v>
          </cell>
          <cell r="I297">
            <v>111689.01</v>
          </cell>
          <cell r="J297">
            <v>110996.5</v>
          </cell>
          <cell r="K297">
            <v>143107.89000000001</v>
          </cell>
          <cell r="L297">
            <v>119419.26</v>
          </cell>
          <cell r="M297">
            <v>152195.96</v>
          </cell>
          <cell r="N297">
            <v>134627.98000000001</v>
          </cell>
          <cell r="O297">
            <v>137070.64000000001</v>
          </cell>
          <cell r="P297">
            <v>1553386.7199999997</v>
          </cell>
          <cell r="Q297">
            <v>1553386.7199999997</v>
          </cell>
        </row>
        <row r="298">
          <cell r="A298" t="str">
            <v>F58740E</v>
          </cell>
          <cell r="B298" t="str">
            <v>CUSTOMER INSTALLATIONS EXPENSES</v>
          </cell>
          <cell r="C298">
            <v>0</v>
          </cell>
          <cell r="D298">
            <v>18836.740000000002</v>
          </cell>
          <cell r="E298">
            <v>75938</v>
          </cell>
          <cell r="F298">
            <v>26081.56</v>
          </cell>
          <cell r="G298">
            <v>9233.18</v>
          </cell>
          <cell r="H298">
            <v>20739.560000000001</v>
          </cell>
          <cell r="I298">
            <v>14820.48</v>
          </cell>
          <cell r="J298">
            <v>7830.25</v>
          </cell>
          <cell r="K298">
            <v>4628.12</v>
          </cell>
          <cell r="L298">
            <v>10612.48</v>
          </cell>
          <cell r="M298">
            <v>6959.77</v>
          </cell>
          <cell r="N298">
            <v>13178.91</v>
          </cell>
          <cell r="O298">
            <v>13047.48</v>
          </cell>
          <cell r="P298">
            <v>221906.53000000003</v>
          </cell>
          <cell r="Q298">
            <v>221906.53000000003</v>
          </cell>
        </row>
        <row r="299">
          <cell r="A299" t="str">
            <v>F58800E</v>
          </cell>
          <cell r="B299" t="str">
            <v>MISCELLANEOUS EXPENSES</v>
          </cell>
          <cell r="C299">
            <v>0</v>
          </cell>
          <cell r="D299">
            <v>68374.2</v>
          </cell>
          <cell r="E299">
            <v>483807</v>
          </cell>
          <cell r="F299">
            <v>250293.6</v>
          </cell>
          <cell r="G299">
            <v>256177.32</v>
          </cell>
          <cell r="H299">
            <v>139406.71</v>
          </cell>
          <cell r="I299">
            <v>77604.929999999993</v>
          </cell>
          <cell r="J299">
            <v>92327.07</v>
          </cell>
          <cell r="K299">
            <v>145954.28</v>
          </cell>
          <cell r="L299">
            <v>93003.28</v>
          </cell>
          <cell r="M299">
            <v>124625.34</v>
          </cell>
          <cell r="N299">
            <v>134629.29999999999</v>
          </cell>
          <cell r="O299">
            <v>98218.15</v>
          </cell>
          <cell r="P299">
            <v>1964421.18</v>
          </cell>
          <cell r="Q299">
            <v>1964421.18</v>
          </cell>
        </row>
        <row r="300">
          <cell r="A300" t="str">
            <v>F58810E</v>
          </cell>
          <cell r="B300" t="str">
            <v>MISCELLANEOUS EXPENSES</v>
          </cell>
          <cell r="C300">
            <v>0</v>
          </cell>
          <cell r="D300">
            <v>70757.02</v>
          </cell>
          <cell r="E300">
            <v>86671.98</v>
          </cell>
          <cell r="F300">
            <v>71729.39</v>
          </cell>
          <cell r="G300">
            <v>76915.360000000001</v>
          </cell>
          <cell r="H300">
            <v>78194.69</v>
          </cell>
          <cell r="I300">
            <v>63273.26</v>
          </cell>
          <cell r="J300">
            <v>66670.7</v>
          </cell>
          <cell r="K300">
            <v>93132.55</v>
          </cell>
          <cell r="L300">
            <v>67484.09</v>
          </cell>
          <cell r="M300">
            <v>87459.63</v>
          </cell>
          <cell r="N300">
            <v>67859.759999999995</v>
          </cell>
          <cell r="O300">
            <v>79577.31</v>
          </cell>
          <cell r="P300">
            <v>909725.74</v>
          </cell>
          <cell r="Q300">
            <v>909725.74</v>
          </cell>
        </row>
        <row r="301">
          <cell r="A301" t="str">
            <v>F58840E</v>
          </cell>
          <cell r="B301" t="str">
            <v>MISCELLANEOUS EXPENSES</v>
          </cell>
          <cell r="C301">
            <v>0</v>
          </cell>
          <cell r="D301">
            <v>7725.55</v>
          </cell>
          <cell r="E301">
            <v>7981.82</v>
          </cell>
          <cell r="F301">
            <v>34853.72</v>
          </cell>
          <cell r="G301">
            <v>49036.97</v>
          </cell>
          <cell r="H301">
            <v>12566.59</v>
          </cell>
          <cell r="I301">
            <v>94363.16</v>
          </cell>
          <cell r="J301">
            <v>34893.300000000003</v>
          </cell>
          <cell r="K301">
            <v>40112.18</v>
          </cell>
          <cell r="L301">
            <v>23437.96</v>
          </cell>
          <cell r="M301">
            <v>71926.31</v>
          </cell>
          <cell r="N301">
            <v>13049.42</v>
          </cell>
          <cell r="O301">
            <v>29323.18</v>
          </cell>
          <cell r="P301">
            <v>419270.16</v>
          </cell>
          <cell r="Q301">
            <v>419270.16</v>
          </cell>
        </row>
        <row r="302">
          <cell r="A302" t="str">
            <v>F58900E</v>
          </cell>
          <cell r="B302" t="str">
            <v>RENTS</v>
          </cell>
          <cell r="C302">
            <v>0</v>
          </cell>
          <cell r="D302">
            <v>109</v>
          </cell>
          <cell r="E302">
            <v>1093.5899999999999</v>
          </cell>
          <cell r="F302">
            <v>5447.84</v>
          </cell>
          <cell r="G302">
            <v>3689.04</v>
          </cell>
          <cell r="H302">
            <v>763.5</v>
          </cell>
          <cell r="I302">
            <v>1075.33</v>
          </cell>
          <cell r="J302">
            <v>976.52</v>
          </cell>
          <cell r="K302">
            <v>12711.76</v>
          </cell>
          <cell r="L302">
            <v>1072.68</v>
          </cell>
          <cell r="M302">
            <v>14283.12</v>
          </cell>
          <cell r="N302">
            <v>38644.839999999997</v>
          </cell>
          <cell r="O302">
            <v>780.68</v>
          </cell>
          <cell r="P302">
            <v>80647.899999999994</v>
          </cell>
          <cell r="Q302">
            <v>80647.899999999994</v>
          </cell>
        </row>
        <row r="303">
          <cell r="A303" t="str">
            <v>F59000E</v>
          </cell>
          <cell r="B303" t="str">
            <v>MAINTENANCE SUPERVISION AND ENGINEERING</v>
          </cell>
          <cell r="C303">
            <v>0</v>
          </cell>
          <cell r="D303">
            <v>17958.04</v>
          </cell>
          <cell r="E303">
            <v>28947.200000000001</v>
          </cell>
          <cell r="F303">
            <v>31778.05</v>
          </cell>
          <cell r="G303">
            <v>25324.14</v>
          </cell>
          <cell r="H303">
            <v>29559.94</v>
          </cell>
          <cell r="I303">
            <v>16797.419999999998</v>
          </cell>
          <cell r="J303">
            <v>22825.81</v>
          </cell>
          <cell r="K303">
            <v>70984.45</v>
          </cell>
          <cell r="L303">
            <v>22280.22</v>
          </cell>
          <cell r="M303">
            <v>29265.02</v>
          </cell>
          <cell r="N303">
            <v>20549.240000000002</v>
          </cell>
          <cell r="O303">
            <v>24367.88</v>
          </cell>
          <cell r="P303">
            <v>340637.41000000003</v>
          </cell>
          <cell r="Q303">
            <v>340637.41000000003</v>
          </cell>
        </row>
        <row r="304">
          <cell r="A304" t="str">
            <v>F59010E</v>
          </cell>
          <cell r="B304" t="str">
            <v>MAINTENANCE SUPERVISION AND ENGINEERING</v>
          </cell>
          <cell r="C304">
            <v>0</v>
          </cell>
          <cell r="D304">
            <v>26454.54</v>
          </cell>
          <cell r="E304">
            <v>60198.51</v>
          </cell>
          <cell r="F304">
            <v>84662.52</v>
          </cell>
          <cell r="G304">
            <v>49194.6</v>
          </cell>
          <cell r="H304">
            <v>70426.19</v>
          </cell>
          <cell r="I304">
            <v>69887.240000000005</v>
          </cell>
          <cell r="J304">
            <v>27118.17</v>
          </cell>
          <cell r="K304">
            <v>6250.61</v>
          </cell>
          <cell r="L304">
            <v>-1606.62</v>
          </cell>
          <cell r="M304">
            <v>6369.63</v>
          </cell>
          <cell r="N304">
            <v>73550.539999999994</v>
          </cell>
          <cell r="O304">
            <v>97562.240000000005</v>
          </cell>
          <cell r="P304">
            <v>570068.16999999993</v>
          </cell>
          <cell r="Q304">
            <v>570068.16999999993</v>
          </cell>
        </row>
        <row r="305">
          <cell r="A305" t="str">
            <v>F59020E</v>
          </cell>
          <cell r="B305" t="str">
            <v>MAINTENANCE SUPERVISION AND ENGINEERING</v>
          </cell>
          <cell r="C305">
            <v>0</v>
          </cell>
          <cell r="D305">
            <v>2055.23</v>
          </cell>
          <cell r="E305">
            <v>978.37</v>
          </cell>
          <cell r="F305">
            <v>1223.31</v>
          </cell>
          <cell r="G305">
            <v>1561.8</v>
          </cell>
          <cell r="H305">
            <v>2367.14</v>
          </cell>
          <cell r="I305">
            <v>1527.1</v>
          </cell>
          <cell r="J305">
            <v>-6272.59</v>
          </cell>
          <cell r="K305">
            <v>31.87</v>
          </cell>
          <cell r="L305">
            <v>12528.96</v>
          </cell>
          <cell r="M305">
            <v>60.62</v>
          </cell>
          <cell r="N305">
            <v>0</v>
          </cell>
          <cell r="O305">
            <v>10149.98</v>
          </cell>
          <cell r="P305">
            <v>26211.79</v>
          </cell>
          <cell r="Q305">
            <v>26211.79</v>
          </cell>
        </row>
        <row r="306">
          <cell r="A306" t="str">
            <v>F59100E</v>
          </cell>
          <cell r="B306" t="str">
            <v>MAINTENANCE OF STRUCTURES</v>
          </cell>
          <cell r="C306">
            <v>0</v>
          </cell>
          <cell r="D306">
            <v>4764.6000000000004</v>
          </cell>
          <cell r="E306">
            <v>3781.19</v>
          </cell>
          <cell r="F306">
            <v>1720.56</v>
          </cell>
          <cell r="G306">
            <v>7494.43</v>
          </cell>
          <cell r="H306">
            <v>3507.03</v>
          </cell>
          <cell r="I306">
            <v>3315.72</v>
          </cell>
          <cell r="J306">
            <v>3306.35</v>
          </cell>
          <cell r="K306">
            <v>3298.22</v>
          </cell>
          <cell r="L306">
            <v>2558.79</v>
          </cell>
          <cell r="M306">
            <v>1644.96</v>
          </cell>
          <cell r="N306">
            <v>3918.24</v>
          </cell>
          <cell r="O306">
            <v>6774.06</v>
          </cell>
          <cell r="P306">
            <v>46084.149999999994</v>
          </cell>
          <cell r="Q306">
            <v>46084.149999999994</v>
          </cell>
        </row>
        <row r="307">
          <cell r="A307" t="str">
            <v>F59200E</v>
          </cell>
          <cell r="B307" t="str">
            <v>MAINTENANCE OF STATION EQUIPMENT</v>
          </cell>
          <cell r="C307">
            <v>0</v>
          </cell>
          <cell r="D307">
            <v>98265.57</v>
          </cell>
          <cell r="E307">
            <v>152954.20000000001</v>
          </cell>
          <cell r="F307">
            <v>191316.54</v>
          </cell>
          <cell r="G307">
            <v>112233.65</v>
          </cell>
          <cell r="H307">
            <v>160937.28</v>
          </cell>
          <cell r="I307">
            <v>-140840.06</v>
          </cell>
          <cell r="J307">
            <v>193323.32</v>
          </cell>
          <cell r="K307">
            <v>133237</v>
          </cell>
          <cell r="L307">
            <v>114352.96000000001</v>
          </cell>
          <cell r="M307">
            <v>145163.29999999999</v>
          </cell>
          <cell r="N307">
            <v>81616.83</v>
          </cell>
          <cell r="O307">
            <v>84247.38</v>
          </cell>
          <cell r="P307">
            <v>1326807.9700000002</v>
          </cell>
          <cell r="Q307">
            <v>1326807.9700000002</v>
          </cell>
        </row>
        <row r="308">
          <cell r="A308" t="str">
            <v>F59210E</v>
          </cell>
          <cell r="B308" t="str">
            <v>MAINTENANCE OF STATION EQUIPMENT</v>
          </cell>
          <cell r="C308">
            <v>0</v>
          </cell>
          <cell r="D308">
            <v>155217.99</v>
          </cell>
          <cell r="E308">
            <v>210648.58</v>
          </cell>
          <cell r="F308">
            <v>120701.98</v>
          </cell>
          <cell r="G308">
            <v>162524.38</v>
          </cell>
          <cell r="H308">
            <v>213209.61</v>
          </cell>
          <cell r="I308">
            <v>63238.03</v>
          </cell>
          <cell r="J308">
            <v>118595.81</v>
          </cell>
          <cell r="K308">
            <v>216218.99</v>
          </cell>
          <cell r="L308">
            <v>171083.77</v>
          </cell>
          <cell r="M308">
            <v>159675.65</v>
          </cell>
          <cell r="N308">
            <v>102486.46</v>
          </cell>
          <cell r="O308">
            <v>138150.12</v>
          </cell>
          <cell r="P308">
            <v>1831751.3699999996</v>
          </cell>
          <cell r="Q308">
            <v>1831751.3699999996</v>
          </cell>
        </row>
        <row r="309">
          <cell r="A309" t="str">
            <v>F59220E</v>
          </cell>
          <cell r="B309" t="str">
            <v>MAINTENANCE OF STATION EQUIPMENT</v>
          </cell>
          <cell r="C309">
            <v>0</v>
          </cell>
          <cell r="D309">
            <v>2960.68</v>
          </cell>
          <cell r="E309">
            <v>8013.13</v>
          </cell>
          <cell r="F309">
            <v>7429.5</v>
          </cell>
          <cell r="G309">
            <v>6182.08</v>
          </cell>
          <cell r="H309">
            <v>6139.36</v>
          </cell>
          <cell r="I309">
            <v>6226.86</v>
          </cell>
          <cell r="J309">
            <v>2363.61</v>
          </cell>
          <cell r="K309">
            <v>9010.7800000000007</v>
          </cell>
          <cell r="L309">
            <v>9941.27</v>
          </cell>
          <cell r="M309">
            <v>8169.92</v>
          </cell>
          <cell r="N309">
            <v>9864.65</v>
          </cell>
          <cell r="O309">
            <v>6319.55</v>
          </cell>
          <cell r="P309">
            <v>82621.39</v>
          </cell>
          <cell r="Q309">
            <v>82621.39</v>
          </cell>
        </row>
        <row r="310">
          <cell r="A310" t="str">
            <v>F59300E</v>
          </cell>
          <cell r="B310" t="str">
            <v>MAINTENANCE OF OVERHEAD LINES</v>
          </cell>
          <cell r="C310">
            <v>0</v>
          </cell>
          <cell r="D310">
            <v>573066.9</v>
          </cell>
          <cell r="E310">
            <v>-44466.879999999997</v>
          </cell>
          <cell r="F310">
            <v>320850.36</v>
          </cell>
          <cell r="G310">
            <v>252583.02</v>
          </cell>
          <cell r="H310">
            <v>-53096.17</v>
          </cell>
          <cell r="I310">
            <v>224237.11</v>
          </cell>
          <cell r="J310">
            <v>108475.89</v>
          </cell>
          <cell r="K310">
            <v>458561.76</v>
          </cell>
          <cell r="L310">
            <v>266003.5</v>
          </cell>
          <cell r="M310">
            <v>383585.9</v>
          </cell>
          <cell r="N310">
            <v>369844.6</v>
          </cell>
          <cell r="O310">
            <v>285379.17</v>
          </cell>
          <cell r="P310">
            <v>3145025.1599999997</v>
          </cell>
          <cell r="Q310">
            <v>3145025.1599999997</v>
          </cell>
        </row>
        <row r="311">
          <cell r="A311" t="str">
            <v>F59310E</v>
          </cell>
          <cell r="B311" t="str">
            <v>MAINTENANCE OF OVERHEAD LINES</v>
          </cell>
          <cell r="C311">
            <v>0</v>
          </cell>
          <cell r="D311">
            <v>73486.490000000005</v>
          </cell>
          <cell r="E311">
            <v>78309.94</v>
          </cell>
          <cell r="F311">
            <v>75067.14</v>
          </cell>
          <cell r="G311">
            <v>57542.92</v>
          </cell>
          <cell r="H311">
            <v>62531.37</v>
          </cell>
          <cell r="I311">
            <v>14720.36</v>
          </cell>
          <cell r="J311">
            <v>70146.429999999993</v>
          </cell>
          <cell r="K311">
            <v>63151.56</v>
          </cell>
          <cell r="L311">
            <v>58487.46</v>
          </cell>
          <cell r="M311">
            <v>59225.18</v>
          </cell>
          <cell r="N311">
            <v>55556.83</v>
          </cell>
          <cell r="O311">
            <v>73613.100000000006</v>
          </cell>
          <cell r="P311">
            <v>741838.77999999991</v>
          </cell>
          <cell r="Q311">
            <v>741838.77999999991</v>
          </cell>
        </row>
        <row r="312">
          <cell r="A312" t="str">
            <v>F59320E</v>
          </cell>
          <cell r="B312" t="str">
            <v>MAINTENANCE OF OVERHEAD LINES</v>
          </cell>
          <cell r="C312">
            <v>0</v>
          </cell>
          <cell r="D312">
            <v>-1244758.81</v>
          </cell>
          <cell r="E312">
            <v>479631.46</v>
          </cell>
          <cell r="F312">
            <v>1067275.58</v>
          </cell>
          <cell r="G312">
            <v>886858.92</v>
          </cell>
          <cell r="H312">
            <v>1893277.89</v>
          </cell>
          <cell r="I312">
            <v>986681.71</v>
          </cell>
          <cell r="J312">
            <v>876185.1</v>
          </cell>
          <cell r="K312">
            <v>1315576.55</v>
          </cell>
          <cell r="L312">
            <v>968219.76</v>
          </cell>
          <cell r="M312">
            <v>1254115.75</v>
          </cell>
          <cell r="N312">
            <v>1776562.87</v>
          </cell>
          <cell r="O312">
            <v>3233127.64</v>
          </cell>
          <cell r="P312">
            <v>13492754.420000002</v>
          </cell>
          <cell r="Q312">
            <v>13492754.420000002</v>
          </cell>
        </row>
        <row r="313">
          <cell r="A313" t="str">
            <v>F59340E</v>
          </cell>
          <cell r="B313" t="str">
            <v>MAINTENANCE OF OVERHEAD LINES</v>
          </cell>
          <cell r="C313">
            <v>0</v>
          </cell>
          <cell r="D313">
            <v>806.91</v>
          </cell>
          <cell r="E313">
            <v>0</v>
          </cell>
          <cell r="F313">
            <v>342.51</v>
          </cell>
          <cell r="G313">
            <v>463.75</v>
          </cell>
          <cell r="H313">
            <v>0</v>
          </cell>
          <cell r="I313">
            <v>210.41</v>
          </cell>
          <cell r="J313">
            <v>0</v>
          </cell>
          <cell r="K313">
            <v>250.4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2073.98</v>
          </cell>
          <cell r="Q313">
            <v>2073.98</v>
          </cell>
        </row>
        <row r="314">
          <cell r="A314" t="str">
            <v>F59350E</v>
          </cell>
          <cell r="B314" t="str">
            <v>MAINTENANCE OF OVERHEAD LINES</v>
          </cell>
          <cell r="C314">
            <v>0</v>
          </cell>
          <cell r="D314">
            <v>4435.74</v>
          </cell>
          <cell r="E314">
            <v>4616.88</v>
          </cell>
          <cell r="F314">
            <v>5883.98</v>
          </cell>
          <cell r="G314">
            <v>3074.02</v>
          </cell>
          <cell r="H314">
            <v>2588.6</v>
          </cell>
          <cell r="I314">
            <v>742.62</v>
          </cell>
          <cell r="J314">
            <v>2950.05</v>
          </cell>
          <cell r="K314">
            <v>3164.4</v>
          </cell>
          <cell r="L314">
            <v>6338.67</v>
          </cell>
          <cell r="M314">
            <v>2060.79</v>
          </cell>
          <cell r="N314">
            <v>2493.9899999999998</v>
          </cell>
          <cell r="O314">
            <v>3057.98</v>
          </cell>
          <cell r="P314">
            <v>41407.72</v>
          </cell>
          <cell r="Q314">
            <v>41407.72</v>
          </cell>
        </row>
        <row r="315">
          <cell r="A315" t="str">
            <v>F59370E</v>
          </cell>
          <cell r="B315" t="str">
            <v>MAINTENANCE OF OVERHEAD LINES</v>
          </cell>
          <cell r="C315">
            <v>0</v>
          </cell>
          <cell r="D315">
            <v>-1625.11</v>
          </cell>
          <cell r="E315">
            <v>-173.09</v>
          </cell>
          <cell r="F315">
            <v>-166.36</v>
          </cell>
          <cell r="G315">
            <v>0</v>
          </cell>
          <cell r="H315">
            <v>-266.60000000000002</v>
          </cell>
          <cell r="I315">
            <v>0</v>
          </cell>
          <cell r="J315">
            <v>0</v>
          </cell>
          <cell r="K315">
            <v>-887.7</v>
          </cell>
          <cell r="L315">
            <v>0</v>
          </cell>
          <cell r="M315">
            <v>0</v>
          </cell>
          <cell r="N315">
            <v>-1570.75</v>
          </cell>
          <cell r="O315">
            <v>140.19</v>
          </cell>
          <cell r="P315">
            <v>-4549.42</v>
          </cell>
          <cell r="Q315">
            <v>-4549.42</v>
          </cell>
        </row>
        <row r="316">
          <cell r="A316" t="str">
            <v>F59390E</v>
          </cell>
          <cell r="B316" t="str">
            <v>MAINTENANCE OF OVERHEAD LINES</v>
          </cell>
          <cell r="C316">
            <v>0</v>
          </cell>
          <cell r="D316">
            <v>174207</v>
          </cell>
          <cell r="E316">
            <v>157418.07</v>
          </cell>
          <cell r="F316">
            <v>169868.93</v>
          </cell>
          <cell r="G316">
            <v>138794.97</v>
          </cell>
          <cell r="H316">
            <v>172289.73</v>
          </cell>
          <cell r="I316">
            <v>145119.31</v>
          </cell>
          <cell r="J316">
            <v>150595.81</v>
          </cell>
          <cell r="K316">
            <v>176273.35</v>
          </cell>
          <cell r="L316">
            <v>152743.95000000001</v>
          </cell>
          <cell r="M316">
            <v>195253.09</v>
          </cell>
          <cell r="N316">
            <v>133348.99</v>
          </cell>
          <cell r="O316">
            <v>171189.85</v>
          </cell>
          <cell r="P316">
            <v>1937103.0500000003</v>
          </cell>
          <cell r="Q316">
            <v>1937103.0500000003</v>
          </cell>
        </row>
        <row r="317">
          <cell r="A317" t="str">
            <v>F59400E</v>
          </cell>
          <cell r="B317" t="str">
            <v>MAINTENANCE OF UNDERGROUND LINES</v>
          </cell>
          <cell r="C317">
            <v>0</v>
          </cell>
          <cell r="D317">
            <v>334459.34999999998</v>
          </cell>
          <cell r="E317">
            <v>142708.9</v>
          </cell>
          <cell r="F317">
            <v>160599.09</v>
          </cell>
          <cell r="G317">
            <v>164357.09</v>
          </cell>
          <cell r="H317">
            <v>62130.52</v>
          </cell>
          <cell r="I317">
            <v>108266.6</v>
          </cell>
          <cell r="J317">
            <v>248154.34</v>
          </cell>
          <cell r="K317">
            <v>276251.33</v>
          </cell>
          <cell r="L317">
            <v>143033.29999999999</v>
          </cell>
          <cell r="M317">
            <v>406466.64</v>
          </cell>
          <cell r="N317">
            <v>263425.02</v>
          </cell>
          <cell r="O317">
            <v>302479.71000000002</v>
          </cell>
          <cell r="P317">
            <v>2612331.89</v>
          </cell>
          <cell r="Q317">
            <v>2612331.89</v>
          </cell>
        </row>
        <row r="318">
          <cell r="A318" t="str">
            <v>F59410E</v>
          </cell>
          <cell r="B318" t="str">
            <v>MAINTENANCE OF UNDERGROUND LINES</v>
          </cell>
          <cell r="C318">
            <v>0</v>
          </cell>
          <cell r="D318">
            <v>50518.78</v>
          </cell>
          <cell r="E318">
            <v>58928.77</v>
          </cell>
          <cell r="F318">
            <v>61196.2</v>
          </cell>
          <cell r="G318">
            <v>86016.52</v>
          </cell>
          <cell r="H318">
            <v>75958.25</v>
          </cell>
          <cell r="I318">
            <v>87369.97</v>
          </cell>
          <cell r="J318">
            <v>72211.86</v>
          </cell>
          <cell r="K318">
            <v>14293.55</v>
          </cell>
          <cell r="L318">
            <v>62057.78</v>
          </cell>
          <cell r="M318">
            <v>97029.04</v>
          </cell>
          <cell r="N318">
            <v>86476.36</v>
          </cell>
          <cell r="O318">
            <v>88841.2</v>
          </cell>
          <cell r="P318">
            <v>840898.27999999991</v>
          </cell>
          <cell r="Q318">
            <v>840898.27999999991</v>
          </cell>
        </row>
        <row r="319">
          <cell r="A319" t="str">
            <v>F59420E</v>
          </cell>
          <cell r="B319" t="str">
            <v>MAINTENANCE OF UNDERGROUND LINES</v>
          </cell>
          <cell r="C319">
            <v>0</v>
          </cell>
          <cell r="D319">
            <v>48.61</v>
          </cell>
          <cell r="E319">
            <v>434.77</v>
          </cell>
          <cell r="F319">
            <v>0</v>
          </cell>
          <cell r="G319">
            <v>0</v>
          </cell>
          <cell r="H319">
            <v>105.07</v>
          </cell>
          <cell r="I319">
            <v>0</v>
          </cell>
          <cell r="J319">
            <v>10.72</v>
          </cell>
          <cell r="K319">
            <v>0</v>
          </cell>
          <cell r="L319">
            <v>711.85</v>
          </cell>
          <cell r="M319">
            <v>374.65</v>
          </cell>
          <cell r="N319">
            <v>432.97</v>
          </cell>
          <cell r="O319">
            <v>0</v>
          </cell>
          <cell r="P319">
            <v>2118.6400000000003</v>
          </cell>
          <cell r="Q319">
            <v>2118.6400000000003</v>
          </cell>
        </row>
        <row r="320">
          <cell r="A320" t="str">
            <v>F59450E</v>
          </cell>
          <cell r="B320" t="str">
            <v>MAINTENANCE OF UNDERGROUND LINES</v>
          </cell>
          <cell r="C320">
            <v>0</v>
          </cell>
          <cell r="D320">
            <v>-100.38</v>
          </cell>
          <cell r="E320">
            <v>-386.35</v>
          </cell>
          <cell r="F320">
            <v>429.13</v>
          </cell>
          <cell r="G320">
            <v>-1520.12</v>
          </cell>
          <cell r="H320">
            <v>1351.64</v>
          </cell>
          <cell r="I320">
            <v>4192.87</v>
          </cell>
          <cell r="J320">
            <v>2558.85</v>
          </cell>
          <cell r="K320">
            <v>1211.67</v>
          </cell>
          <cell r="L320">
            <v>-2202.91</v>
          </cell>
          <cell r="M320">
            <v>2137.44</v>
          </cell>
          <cell r="N320">
            <v>365.61</v>
          </cell>
          <cell r="O320">
            <v>0</v>
          </cell>
          <cell r="P320">
            <v>8037.45</v>
          </cell>
          <cell r="Q320">
            <v>8037.45</v>
          </cell>
        </row>
        <row r="321">
          <cell r="A321" t="str">
            <v>F59460E</v>
          </cell>
          <cell r="B321" t="str">
            <v>MAINTENANCE OF UNDERGROUND LINES</v>
          </cell>
          <cell r="C321">
            <v>0</v>
          </cell>
          <cell r="D321">
            <v>159691.85999999999</v>
          </cell>
          <cell r="E321">
            <v>185032.95</v>
          </cell>
          <cell r="F321">
            <v>165677.37</v>
          </cell>
          <cell r="G321">
            <v>179681.18</v>
          </cell>
          <cell r="H321">
            <v>241307.36</v>
          </cell>
          <cell r="I321">
            <v>186708.93</v>
          </cell>
          <cell r="J321">
            <v>157168.56</v>
          </cell>
          <cell r="K321">
            <v>186844.23</v>
          </cell>
          <cell r="L321">
            <v>193472.01</v>
          </cell>
          <cell r="M321">
            <v>228647.58</v>
          </cell>
          <cell r="N321">
            <v>199374.49</v>
          </cell>
          <cell r="O321">
            <v>262697.74</v>
          </cell>
          <cell r="P321">
            <v>2346304.2599999998</v>
          </cell>
          <cell r="Q321">
            <v>2346304.2599999998</v>
          </cell>
        </row>
        <row r="322">
          <cell r="A322" t="str">
            <v>F59500E</v>
          </cell>
          <cell r="B322" t="str">
            <v>MAINTENANCE OF LINE TRANSFORMERS</v>
          </cell>
          <cell r="C322">
            <v>0</v>
          </cell>
          <cell r="D322">
            <v>5024.42</v>
          </cell>
          <cell r="E322">
            <v>9539.57</v>
          </cell>
          <cell r="F322">
            <v>5471.38</v>
          </cell>
          <cell r="G322">
            <v>4822.79</v>
          </cell>
          <cell r="H322">
            <v>11929.32</v>
          </cell>
          <cell r="I322">
            <v>9430.31</v>
          </cell>
          <cell r="J322">
            <v>2394.73</v>
          </cell>
          <cell r="K322">
            <v>20594.419999999998</v>
          </cell>
          <cell r="L322">
            <v>8605.39</v>
          </cell>
          <cell r="M322">
            <v>3428.3</v>
          </cell>
          <cell r="N322">
            <v>5693.19</v>
          </cell>
          <cell r="O322">
            <v>13304.06</v>
          </cell>
          <cell r="P322">
            <v>100237.88</v>
          </cell>
          <cell r="Q322">
            <v>100237.88</v>
          </cell>
        </row>
        <row r="323">
          <cell r="A323" t="str">
            <v>F59510E</v>
          </cell>
          <cell r="B323" t="str">
            <v>MAINTENANCE OF LINE TRANSFORMERS</v>
          </cell>
          <cell r="C323">
            <v>0</v>
          </cell>
          <cell r="D323">
            <v>6766.48</v>
          </cell>
          <cell r="E323">
            <v>1537.94</v>
          </cell>
          <cell r="F323">
            <v>4030.89</v>
          </cell>
          <cell r="G323">
            <v>5651.4</v>
          </cell>
          <cell r="H323">
            <v>12328.81</v>
          </cell>
          <cell r="I323">
            <v>6675.46</v>
          </cell>
          <cell r="J323">
            <v>8874.59</v>
          </cell>
          <cell r="K323">
            <v>7803.27</v>
          </cell>
          <cell r="L323">
            <v>11537.92</v>
          </cell>
          <cell r="M323">
            <v>8662.2800000000007</v>
          </cell>
          <cell r="N323">
            <v>3144.14</v>
          </cell>
          <cell r="O323">
            <v>4680.2700000000004</v>
          </cell>
          <cell r="P323">
            <v>81693.45</v>
          </cell>
          <cell r="Q323">
            <v>81693.45</v>
          </cell>
        </row>
        <row r="324">
          <cell r="A324" t="str">
            <v>F59520E</v>
          </cell>
          <cell r="B324" t="str">
            <v>MAINTENANCE OF LINE TRANSFORMERS</v>
          </cell>
          <cell r="C324">
            <v>0</v>
          </cell>
          <cell r="D324">
            <v>3223.94</v>
          </cell>
          <cell r="E324">
            <v>2983.77</v>
          </cell>
          <cell r="F324">
            <v>3662.7</v>
          </cell>
          <cell r="G324">
            <v>2085.9499999999998</v>
          </cell>
          <cell r="H324">
            <v>4414.68</v>
          </cell>
          <cell r="I324">
            <v>6236.83</v>
          </cell>
          <cell r="J324">
            <v>4665.4399999999996</v>
          </cell>
          <cell r="K324">
            <v>6534.64</v>
          </cell>
          <cell r="L324">
            <v>1430.33</v>
          </cell>
          <cell r="M324">
            <v>3164.39</v>
          </cell>
          <cell r="N324">
            <v>2591.06</v>
          </cell>
          <cell r="O324">
            <v>3675.72</v>
          </cell>
          <cell r="P324">
            <v>44669.450000000004</v>
          </cell>
          <cell r="Q324">
            <v>44669.450000000004</v>
          </cell>
        </row>
        <row r="325">
          <cell r="A325" t="str">
            <v>F59550E</v>
          </cell>
          <cell r="B325" t="str">
            <v>MAINTENANCE OF LINE TRANSFORMERS</v>
          </cell>
          <cell r="C325">
            <v>0</v>
          </cell>
          <cell r="D325">
            <v>3539.21</v>
          </cell>
          <cell r="E325">
            <v>4921.4399999999996</v>
          </cell>
          <cell r="F325">
            <v>7523.87</v>
          </cell>
          <cell r="G325">
            <v>16141.9</v>
          </cell>
          <cell r="H325">
            <v>6754.97</v>
          </cell>
          <cell r="I325">
            <v>3613.04</v>
          </cell>
          <cell r="J325">
            <v>6253.35</v>
          </cell>
          <cell r="K325">
            <v>8449.3799999999992</v>
          </cell>
          <cell r="L325">
            <v>3088.85</v>
          </cell>
          <cell r="M325">
            <v>6387.58</v>
          </cell>
          <cell r="N325">
            <v>13464.91</v>
          </cell>
          <cell r="O325">
            <v>6383.93</v>
          </cell>
          <cell r="P325">
            <v>86522.43</v>
          </cell>
          <cell r="Q325">
            <v>86522.43</v>
          </cell>
        </row>
        <row r="326">
          <cell r="A326" t="str">
            <v>F59600E</v>
          </cell>
          <cell r="B326" t="str">
            <v>MAINTENANCE OF STREET LIGHTING AND SIGN</v>
          </cell>
          <cell r="C326">
            <v>0</v>
          </cell>
          <cell r="D326">
            <v>4303.17</v>
          </cell>
          <cell r="E326">
            <v>5109.3999999999996</v>
          </cell>
          <cell r="F326">
            <v>5592.4</v>
          </cell>
          <cell r="G326">
            <v>4536.62</v>
          </cell>
          <cell r="H326">
            <v>3661.75</v>
          </cell>
          <cell r="I326">
            <v>3983.58</v>
          </cell>
          <cell r="J326">
            <v>2490.38</v>
          </cell>
          <cell r="K326">
            <v>5105.7700000000004</v>
          </cell>
          <cell r="L326">
            <v>5246.23</v>
          </cell>
          <cell r="M326">
            <v>2695.94</v>
          </cell>
          <cell r="N326">
            <v>3046.29</v>
          </cell>
          <cell r="O326">
            <v>6561.16</v>
          </cell>
          <cell r="P326">
            <v>52332.69</v>
          </cell>
          <cell r="Q326">
            <v>52332.69</v>
          </cell>
        </row>
        <row r="327">
          <cell r="A327" t="str">
            <v>F59700E</v>
          </cell>
          <cell r="B327" t="str">
            <v>MAINTENANCE OF METERS</v>
          </cell>
          <cell r="C327">
            <v>0</v>
          </cell>
          <cell r="D327">
            <v>43284.639999999999</v>
          </cell>
          <cell r="E327">
            <v>38882.19</v>
          </cell>
          <cell r="F327">
            <v>43048.38</v>
          </cell>
          <cell r="G327">
            <v>28876.2</v>
          </cell>
          <cell r="H327">
            <v>72441.22</v>
          </cell>
          <cell r="I327">
            <v>46160.17</v>
          </cell>
          <cell r="J327">
            <v>29466.03</v>
          </cell>
          <cell r="K327">
            <v>44738.98</v>
          </cell>
          <cell r="L327">
            <v>47133.21</v>
          </cell>
          <cell r="M327">
            <v>63817.41</v>
          </cell>
          <cell r="N327">
            <v>44477.04</v>
          </cell>
          <cell r="O327">
            <v>54107.68</v>
          </cell>
          <cell r="P327">
            <v>556433.14999999991</v>
          </cell>
          <cell r="Q327">
            <v>556433.14999999991</v>
          </cell>
        </row>
        <row r="328">
          <cell r="A328" t="str">
            <v>F59800E</v>
          </cell>
          <cell r="B328" t="str">
            <v>MAINTENANCE OF MISCELLANEOUS DISTRIBUTI</v>
          </cell>
          <cell r="C328">
            <v>0</v>
          </cell>
          <cell r="D328">
            <v>42986.6</v>
          </cell>
          <cell r="E328">
            <v>60515.12</v>
          </cell>
          <cell r="F328">
            <v>57531.16</v>
          </cell>
          <cell r="G328">
            <v>63905.14</v>
          </cell>
          <cell r="H328">
            <v>80296.460000000006</v>
          </cell>
          <cell r="I328">
            <v>60718.35</v>
          </cell>
          <cell r="J328">
            <v>40551.730000000003</v>
          </cell>
          <cell r="K328">
            <v>95678.36</v>
          </cell>
          <cell r="L328">
            <v>56722.94</v>
          </cell>
          <cell r="M328">
            <v>71501.52</v>
          </cell>
          <cell r="N328">
            <v>16848.78</v>
          </cell>
          <cell r="O328">
            <v>78239.34</v>
          </cell>
          <cell r="P328">
            <v>725495.5</v>
          </cell>
          <cell r="Q328">
            <v>725495.5</v>
          </cell>
        </row>
        <row r="329">
          <cell r="A329" t="str">
            <v>F80300G</v>
          </cell>
          <cell r="B329" t="str">
            <v>NATURAL GAS TRANSMISSION LINE PURCHASES</v>
          </cell>
          <cell r="C329">
            <v>0</v>
          </cell>
          <cell r="D329">
            <v>10376053.890000001</v>
          </cell>
          <cell r="E329">
            <v>17679830.370000001</v>
          </cell>
          <cell r="F329">
            <v>19193469.440000001</v>
          </cell>
          <cell r="G329">
            <v>22347135.829999998</v>
          </cell>
          <cell r="H329">
            <v>15592051.529999999</v>
          </cell>
          <cell r="I329">
            <v>17462140.98</v>
          </cell>
          <cell r="J329">
            <v>24983434.789999999</v>
          </cell>
          <cell r="K329">
            <v>10834816.42</v>
          </cell>
          <cell r="L329">
            <v>16649940.42</v>
          </cell>
          <cell r="M329">
            <v>26370530.399999999</v>
          </cell>
          <cell r="N329">
            <v>24963205.719999999</v>
          </cell>
          <cell r="O329">
            <v>69472122.349999994</v>
          </cell>
          <cell r="P329">
            <v>275924732.13999999</v>
          </cell>
          <cell r="Q329">
            <v>275924732.13999999</v>
          </cell>
        </row>
        <row r="330">
          <cell r="A330" t="str">
            <v>F80410G</v>
          </cell>
          <cell r="B330" t="str">
            <v>LNG PURCHASES</v>
          </cell>
          <cell r="C330">
            <v>0</v>
          </cell>
          <cell r="D330">
            <v>13760.99</v>
          </cell>
          <cell r="E330">
            <v>8177.84</v>
          </cell>
          <cell r="F330">
            <v>8245.06</v>
          </cell>
          <cell r="G330">
            <v>3989.63</v>
          </cell>
          <cell r="H330">
            <v>2805.35</v>
          </cell>
          <cell r="I330">
            <v>2752.15</v>
          </cell>
          <cell r="J330">
            <v>2997.3</v>
          </cell>
          <cell r="K330">
            <v>-316.18</v>
          </cell>
          <cell r="L330">
            <v>2897.32</v>
          </cell>
          <cell r="M330">
            <v>3282.51</v>
          </cell>
          <cell r="N330">
            <v>13221.9</v>
          </cell>
          <cell r="O330">
            <v>14426.85</v>
          </cell>
          <cell r="P330">
            <v>76240.72</v>
          </cell>
          <cell r="Q330">
            <v>76240.72</v>
          </cell>
        </row>
        <row r="331">
          <cell r="A331" t="str">
            <v>F80720G</v>
          </cell>
          <cell r="B331" t="str">
            <v>OPERATION OF PURCH GAS MEASURING STATIO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57.53</v>
          </cell>
          <cell r="P331">
            <v>57.53</v>
          </cell>
          <cell r="Q331">
            <v>57.53</v>
          </cell>
        </row>
        <row r="332">
          <cell r="A332" t="str">
            <v>F80740G</v>
          </cell>
          <cell r="B332" t="str">
            <v>PURCHASED GAS CALCULATIONS EXPENSE</v>
          </cell>
          <cell r="C332">
            <v>0</v>
          </cell>
          <cell r="D332">
            <v>1980.38</v>
          </cell>
          <cell r="E332">
            <v>2681.18</v>
          </cell>
          <cell r="F332">
            <v>2228.0500000000002</v>
          </cell>
          <cell r="G332">
            <v>2261.06</v>
          </cell>
          <cell r="H332">
            <v>2611.02</v>
          </cell>
          <cell r="I332">
            <v>1937.31</v>
          </cell>
          <cell r="J332">
            <v>1986.03</v>
          </cell>
          <cell r="K332">
            <v>2299.6</v>
          </cell>
          <cell r="L332">
            <v>1486.91</v>
          </cell>
          <cell r="M332">
            <v>2356.1799999999998</v>
          </cell>
          <cell r="N332">
            <v>1912.13</v>
          </cell>
          <cell r="O332">
            <v>2552.59</v>
          </cell>
          <cell r="P332">
            <v>26292.440000000002</v>
          </cell>
          <cell r="Q332">
            <v>26292.440000000002</v>
          </cell>
        </row>
        <row r="333">
          <cell r="A333" t="str">
            <v>F80750G</v>
          </cell>
          <cell r="B333" t="str">
            <v>OTHER PURCHASED GAS EXPENSES</v>
          </cell>
          <cell r="C333">
            <v>0</v>
          </cell>
          <cell r="D333">
            <v>72810.83</v>
          </cell>
          <cell r="E333">
            <v>90500.94</v>
          </cell>
          <cell r="F333">
            <v>86318.24</v>
          </cell>
          <cell r="G333">
            <v>96498.02</v>
          </cell>
          <cell r="H333">
            <v>116775.34</v>
          </cell>
          <cell r="I333">
            <v>115740.86</v>
          </cell>
          <cell r="J333">
            <v>46332.31</v>
          </cell>
          <cell r="K333">
            <v>113944.37</v>
          </cell>
          <cell r="L333">
            <v>101041.47</v>
          </cell>
          <cell r="M333">
            <v>103274.71</v>
          </cell>
          <cell r="N333">
            <v>119318.71</v>
          </cell>
          <cell r="O333">
            <v>81024.38</v>
          </cell>
          <cell r="P333">
            <v>1143580.1800000002</v>
          </cell>
          <cell r="Q333">
            <v>1143580.1800000002</v>
          </cell>
        </row>
        <row r="334">
          <cell r="A334" t="str">
            <v>F80810G</v>
          </cell>
          <cell r="B334" t="str">
            <v>GAS WITHDRAWN FROM STORAGE-DEBIT</v>
          </cell>
          <cell r="C334">
            <v>0</v>
          </cell>
          <cell r="D334">
            <v>13833.31</v>
          </cell>
          <cell r="E334">
            <v>9987.2099999999991</v>
          </cell>
          <cell r="F334">
            <v>8552.51</v>
          </cell>
          <cell r="G334">
            <v>2727.37</v>
          </cell>
          <cell r="H334">
            <v>3095.66</v>
          </cell>
          <cell r="I334">
            <v>2340.67</v>
          </cell>
          <cell r="J334">
            <v>2241</v>
          </cell>
          <cell r="K334">
            <v>1688.39</v>
          </cell>
          <cell r="L334">
            <v>1975.02</v>
          </cell>
          <cell r="M334">
            <v>3404.09</v>
          </cell>
          <cell r="N334">
            <v>15146.29</v>
          </cell>
          <cell r="O334">
            <v>10515.97</v>
          </cell>
          <cell r="P334">
            <v>75507.489999999991</v>
          </cell>
          <cell r="Q334">
            <v>75507.489999999991</v>
          </cell>
        </row>
        <row r="335">
          <cell r="A335" t="str">
            <v>F80820G</v>
          </cell>
          <cell r="B335" t="str">
            <v>GAS DELIVERED TO STORAGE-CREDIT</v>
          </cell>
          <cell r="C335">
            <v>0</v>
          </cell>
          <cell r="D335">
            <v>-13417.8</v>
          </cell>
          <cell r="E335">
            <v>-8353.35</v>
          </cell>
          <cell r="F335">
            <v>-8170.01</v>
          </cell>
          <cell r="G335">
            <v>-3989.63</v>
          </cell>
          <cell r="H335">
            <v>-874.5</v>
          </cell>
          <cell r="I335">
            <v>-2752.15</v>
          </cell>
          <cell r="J335">
            <v>-2997.3</v>
          </cell>
          <cell r="K335">
            <v>0</v>
          </cell>
          <cell r="L335">
            <v>-2897.32</v>
          </cell>
          <cell r="M335">
            <v>-3107.93</v>
          </cell>
          <cell r="N335">
            <v>-13221.9</v>
          </cell>
          <cell r="O335">
            <v>-14427.23</v>
          </cell>
          <cell r="P335">
            <v>-74209.12000000001</v>
          </cell>
          <cell r="Q335">
            <v>-74209.12000000001</v>
          </cell>
        </row>
        <row r="336">
          <cell r="A336" t="str">
            <v>F81000G</v>
          </cell>
          <cell r="B336" t="str">
            <v>GAS USED FOR COMPRESSOR STATION FUEL-CR</v>
          </cell>
          <cell r="C336">
            <v>0</v>
          </cell>
          <cell r="D336">
            <v>-82108</v>
          </cell>
          <cell r="E336">
            <v>-79416</v>
          </cell>
          <cell r="F336">
            <v>-119988</v>
          </cell>
          <cell r="G336">
            <v>-94408</v>
          </cell>
          <cell r="H336">
            <v>-157929</v>
          </cell>
          <cell r="I336">
            <v>-108347</v>
          </cell>
          <cell r="J336">
            <v>-291090</v>
          </cell>
          <cell r="K336">
            <v>-121401</v>
          </cell>
          <cell r="L336">
            <v>-302552</v>
          </cell>
          <cell r="M336">
            <v>-251051</v>
          </cell>
          <cell r="N336">
            <v>-257272</v>
          </cell>
          <cell r="O336">
            <v>-955420</v>
          </cell>
          <cell r="P336">
            <v>-2820982</v>
          </cell>
          <cell r="Q336">
            <v>-2820982</v>
          </cell>
        </row>
        <row r="337">
          <cell r="A337" t="str">
            <v>F81200G</v>
          </cell>
          <cell r="B337" t="str">
            <v>GAS USED FOR OTHER UTILITY OPERATIONS-C</v>
          </cell>
          <cell r="C337">
            <v>0</v>
          </cell>
          <cell r="D337">
            <v>0</v>
          </cell>
          <cell r="E337">
            <v>-15889.42</v>
          </cell>
          <cell r="F337">
            <v>-8418.65</v>
          </cell>
          <cell r="G337">
            <v>0</v>
          </cell>
          <cell r="H337">
            <v>-18126.400000000001</v>
          </cell>
          <cell r="I337">
            <v>-10292.68</v>
          </cell>
          <cell r="J337">
            <v>-11871.2</v>
          </cell>
          <cell r="K337">
            <v>-17427.71</v>
          </cell>
          <cell r="L337">
            <v>-19749.71</v>
          </cell>
          <cell r="M337">
            <v>0</v>
          </cell>
          <cell r="N337">
            <v>0</v>
          </cell>
          <cell r="O337">
            <v>-59941.56</v>
          </cell>
          <cell r="P337">
            <v>-161717.32999999999</v>
          </cell>
          <cell r="Q337">
            <v>-161717.32999999999</v>
          </cell>
        </row>
        <row r="338">
          <cell r="A338" t="str">
            <v>F82000G</v>
          </cell>
          <cell r="B338" t="str">
            <v>MEASURING AND REGULATING STATION EXPENS</v>
          </cell>
          <cell r="C338">
            <v>0</v>
          </cell>
          <cell r="D338">
            <v>495.15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495.15</v>
          </cell>
          <cell r="Q338">
            <v>495.15</v>
          </cell>
        </row>
        <row r="339">
          <cell r="A339" t="str">
            <v>F82100C</v>
          </cell>
          <cell r="B339" t="str">
            <v>PURIFICATION EXPENSES</v>
          </cell>
          <cell r="C339">
            <v>0</v>
          </cell>
          <cell r="D339">
            <v>0</v>
          </cell>
          <cell r="E339">
            <v>16.16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16.16</v>
          </cell>
          <cell r="Q339">
            <v>16.16</v>
          </cell>
        </row>
        <row r="340">
          <cell r="A340" t="str">
            <v>F82300G</v>
          </cell>
          <cell r="B340" t="str">
            <v>GAS LOSSES</v>
          </cell>
          <cell r="C340">
            <v>0</v>
          </cell>
          <cell r="D340">
            <v>709.72</v>
          </cell>
          <cell r="E340">
            <v>-51.05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658.67000000000007</v>
          </cell>
          <cell r="Q340">
            <v>658.67000000000007</v>
          </cell>
        </row>
        <row r="341">
          <cell r="A341" t="str">
            <v>F83000G</v>
          </cell>
          <cell r="B341" t="str">
            <v>MAINTENANCE SUPERVISION AND ENGINEERING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500.95</v>
          </cell>
          <cell r="O341">
            <v>0</v>
          </cell>
          <cell r="P341">
            <v>500.95</v>
          </cell>
          <cell r="Q341">
            <v>500.95</v>
          </cell>
        </row>
        <row r="342">
          <cell r="A342" t="str">
            <v>F83100C</v>
          </cell>
          <cell r="B342" t="str">
            <v>MAINTENANCE OF STRUCTURES AND IMPROVEME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754.15</v>
          </cell>
          <cell r="N342">
            <v>182.7</v>
          </cell>
          <cell r="O342">
            <v>0</v>
          </cell>
          <cell r="P342">
            <v>936.84999999999991</v>
          </cell>
          <cell r="Q342">
            <v>936.84999999999991</v>
          </cell>
        </row>
        <row r="343">
          <cell r="A343" t="str">
            <v>F83100G</v>
          </cell>
          <cell r="B343" t="str">
            <v>MAINTENANCE OF STRUCTURES AND IMPROVEME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21093.58</v>
          </cell>
          <cell r="N343">
            <v>0</v>
          </cell>
          <cell r="O343">
            <v>0</v>
          </cell>
          <cell r="P343">
            <v>21093.58</v>
          </cell>
          <cell r="Q343">
            <v>21093.58</v>
          </cell>
        </row>
        <row r="344">
          <cell r="A344" t="str">
            <v>F83200G</v>
          </cell>
          <cell r="B344" t="str">
            <v>MAINTENANCE OF RESERVOIRS AND WELLS</v>
          </cell>
          <cell r="C344">
            <v>0</v>
          </cell>
          <cell r="D344">
            <v>0</v>
          </cell>
          <cell r="E344">
            <v>0</v>
          </cell>
          <cell r="F344">
            <v>2205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2205</v>
          </cell>
          <cell r="Q344">
            <v>2205</v>
          </cell>
        </row>
        <row r="345">
          <cell r="A345" t="str">
            <v>F83500G</v>
          </cell>
          <cell r="B345" t="str">
            <v>MAINTENANCE OF MEASURING AND REGULATING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3.68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3.68</v>
          </cell>
          <cell r="Q345">
            <v>3.68</v>
          </cell>
        </row>
        <row r="346">
          <cell r="A346" t="str">
            <v>F83700G</v>
          </cell>
          <cell r="B346" t="str">
            <v>MAINTENANCE OF OTHER EQUIPMENT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451.38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451.38</v>
          </cell>
          <cell r="Q346">
            <v>451.38</v>
          </cell>
        </row>
        <row r="347">
          <cell r="A347" t="str">
            <v>F84000G</v>
          </cell>
          <cell r="B347" t="str">
            <v>OPERATION SUPERVISION AND ENGINEERING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111.51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111.51</v>
          </cell>
          <cell r="Q347">
            <v>111.51</v>
          </cell>
        </row>
        <row r="348">
          <cell r="A348" t="str">
            <v>F84100G</v>
          </cell>
          <cell r="B348" t="str">
            <v>OPERATION LABOR AND EXPNESES</v>
          </cell>
          <cell r="C348">
            <v>0</v>
          </cell>
          <cell r="D348">
            <v>4351.1099999999997</v>
          </cell>
          <cell r="E348">
            <v>4453.5</v>
          </cell>
          <cell r="F348">
            <v>3873.95</v>
          </cell>
          <cell r="G348">
            <v>882.19</v>
          </cell>
          <cell r="H348">
            <v>992.19</v>
          </cell>
          <cell r="I348">
            <v>408.04</v>
          </cell>
          <cell r="J348">
            <v>2331.96</v>
          </cell>
          <cell r="K348">
            <v>2846.83</v>
          </cell>
          <cell r="L348">
            <v>950.59</v>
          </cell>
          <cell r="M348">
            <v>8205.36</v>
          </cell>
          <cell r="N348">
            <v>8458.9</v>
          </cell>
          <cell r="O348">
            <v>6695.36</v>
          </cell>
          <cell r="P348">
            <v>44449.98</v>
          </cell>
          <cell r="Q348">
            <v>44449.98</v>
          </cell>
        </row>
        <row r="349">
          <cell r="A349" t="str">
            <v>F84310G</v>
          </cell>
          <cell r="B349" t="str">
            <v>MAINTENANCE SUPERVISION AND ENGINEERING</v>
          </cell>
          <cell r="C349">
            <v>0</v>
          </cell>
          <cell r="D349">
            <v>169.77</v>
          </cell>
          <cell r="E349">
            <v>250.89</v>
          </cell>
          <cell r="F349">
            <v>234.4</v>
          </cell>
          <cell r="G349">
            <v>204.2</v>
          </cell>
          <cell r="H349">
            <v>248.2</v>
          </cell>
          <cell r="I349">
            <v>125.91</v>
          </cell>
          <cell r="J349">
            <v>178.73</v>
          </cell>
          <cell r="K349">
            <v>248.3</v>
          </cell>
          <cell r="L349">
            <v>191.8</v>
          </cell>
          <cell r="M349">
            <v>234</v>
          </cell>
          <cell r="N349">
            <v>100.94</v>
          </cell>
          <cell r="O349">
            <v>171.61</v>
          </cell>
          <cell r="P349">
            <v>2358.75</v>
          </cell>
          <cell r="Q349">
            <v>2358.75</v>
          </cell>
        </row>
        <row r="350">
          <cell r="A350" t="str">
            <v>F85000G</v>
          </cell>
          <cell r="B350" t="str">
            <v>OPERATION SUPERVISION AND ENGINEERING</v>
          </cell>
          <cell r="C350">
            <v>0</v>
          </cell>
          <cell r="D350">
            <v>6591.7</v>
          </cell>
          <cell r="E350">
            <v>5163.84</v>
          </cell>
          <cell r="F350">
            <v>7767.64</v>
          </cell>
          <cell r="G350">
            <v>7438.89</v>
          </cell>
          <cell r="H350">
            <v>6340.8</v>
          </cell>
          <cell r="I350">
            <v>3677.87</v>
          </cell>
          <cell r="J350">
            <v>4557.49</v>
          </cell>
          <cell r="K350">
            <v>11720.71</v>
          </cell>
          <cell r="L350">
            <v>8490.2000000000007</v>
          </cell>
          <cell r="M350">
            <v>9295.2800000000007</v>
          </cell>
          <cell r="N350">
            <v>8824.2099999999991</v>
          </cell>
          <cell r="O350">
            <v>6633.02</v>
          </cell>
          <cell r="P350">
            <v>86501.650000000009</v>
          </cell>
          <cell r="Q350">
            <v>86501.650000000009</v>
          </cell>
        </row>
        <row r="351">
          <cell r="A351" t="str">
            <v>F85010G</v>
          </cell>
          <cell r="B351" t="str">
            <v>OPERATION SUPERVISION AND ENGINEERING</v>
          </cell>
          <cell r="C351">
            <v>0</v>
          </cell>
          <cell r="D351">
            <v>36987.629999999997</v>
          </cell>
          <cell r="E351">
            <v>42280.08</v>
          </cell>
          <cell r="F351">
            <v>31319.43</v>
          </cell>
          <cell r="G351">
            <v>33620.589999999997</v>
          </cell>
          <cell r="H351">
            <v>41125.79</v>
          </cell>
          <cell r="I351">
            <v>31130.25</v>
          </cell>
          <cell r="J351">
            <v>30063.37</v>
          </cell>
          <cell r="K351">
            <v>37862.42</v>
          </cell>
          <cell r="L351">
            <v>40796.01</v>
          </cell>
          <cell r="M351">
            <v>61859.6</v>
          </cell>
          <cell r="N351">
            <v>33029.949999999997</v>
          </cell>
          <cell r="O351">
            <v>55124.9</v>
          </cell>
          <cell r="P351">
            <v>475200.02</v>
          </cell>
          <cell r="Q351">
            <v>475200.02</v>
          </cell>
        </row>
        <row r="352">
          <cell r="A352" t="str">
            <v>F85020G</v>
          </cell>
          <cell r="B352" t="str">
            <v>OPERATION SUPERVISIO</v>
          </cell>
          <cell r="C352">
            <v>0</v>
          </cell>
          <cell r="D352">
            <v>8713.08</v>
          </cell>
          <cell r="E352">
            <v>13586.76</v>
          </cell>
          <cell r="F352">
            <v>10082.790000000001</v>
          </cell>
          <cell r="G352">
            <v>11781.19</v>
          </cell>
          <cell r="H352">
            <v>14245.19</v>
          </cell>
          <cell r="I352">
            <v>10171.31</v>
          </cell>
          <cell r="J352">
            <v>9478.41</v>
          </cell>
          <cell r="K352">
            <v>13707.81</v>
          </cell>
          <cell r="L352">
            <v>11631.28</v>
          </cell>
          <cell r="M352">
            <v>14229.39</v>
          </cell>
          <cell r="N352">
            <v>11420.09</v>
          </cell>
          <cell r="O352">
            <v>11750.22</v>
          </cell>
          <cell r="P352">
            <v>140797.51999999999</v>
          </cell>
          <cell r="Q352">
            <v>140797.51999999999</v>
          </cell>
        </row>
        <row r="353">
          <cell r="A353" t="str">
            <v>F85100G</v>
          </cell>
          <cell r="B353" t="str">
            <v>SYSTEM CONTROL AND LOAD DISPATCHING</v>
          </cell>
          <cell r="C353">
            <v>0</v>
          </cell>
          <cell r="D353">
            <v>42223.9</v>
          </cell>
          <cell r="E353">
            <v>25854.48</v>
          </cell>
          <cell r="F353">
            <v>20857.82</v>
          </cell>
          <cell r="G353">
            <v>26980.04</v>
          </cell>
          <cell r="H353">
            <v>17278.419999999998</v>
          </cell>
          <cell r="I353">
            <v>26274.25</v>
          </cell>
          <cell r="J353">
            <v>0</v>
          </cell>
          <cell r="K353">
            <v>81542.460000000006</v>
          </cell>
          <cell r="L353">
            <v>33821.760000000002</v>
          </cell>
          <cell r="M353">
            <v>30423.54</v>
          </cell>
          <cell r="N353">
            <v>30373.439999999999</v>
          </cell>
          <cell r="O353">
            <v>36056.71</v>
          </cell>
          <cell r="P353">
            <v>371686.82000000007</v>
          </cell>
          <cell r="Q353">
            <v>371686.82000000007</v>
          </cell>
        </row>
        <row r="354">
          <cell r="A354" t="str">
            <v>F85300G</v>
          </cell>
          <cell r="B354" t="str">
            <v>COMPRESSOR STATION LABOR AND EXPENSES</v>
          </cell>
          <cell r="C354">
            <v>0</v>
          </cell>
          <cell r="D354">
            <v>33843.599999999999</v>
          </cell>
          <cell r="E354">
            <v>19332.02</v>
          </cell>
          <cell r="F354">
            <v>21173.17</v>
          </cell>
          <cell r="G354">
            <v>6082.68</v>
          </cell>
          <cell r="H354">
            <v>27105.01</v>
          </cell>
          <cell r="I354">
            <v>12377.4</v>
          </cell>
          <cell r="J354">
            <v>10692.99</v>
          </cell>
          <cell r="K354">
            <v>12172.72</v>
          </cell>
          <cell r="L354">
            <v>10315.06</v>
          </cell>
          <cell r="M354">
            <v>14566.24</v>
          </cell>
          <cell r="N354">
            <v>14248.19</v>
          </cell>
          <cell r="O354">
            <v>16568.89</v>
          </cell>
          <cell r="P354">
            <v>198477.96999999997</v>
          </cell>
          <cell r="Q354">
            <v>198477.96999999997</v>
          </cell>
        </row>
        <row r="355">
          <cell r="A355" t="str">
            <v>F85310G</v>
          </cell>
          <cell r="B355" t="str">
            <v>COMPRESSOR STATION LABOR AND EXPENSES</v>
          </cell>
          <cell r="C355">
            <v>0</v>
          </cell>
          <cell r="D355">
            <v>41661.31</v>
          </cell>
          <cell r="E355">
            <v>54468.08</v>
          </cell>
          <cell r="F355">
            <v>43928.84</v>
          </cell>
          <cell r="G355">
            <v>45627.64</v>
          </cell>
          <cell r="H355">
            <v>51865.18</v>
          </cell>
          <cell r="I355">
            <v>43175.68</v>
          </cell>
          <cell r="J355">
            <v>42930.33</v>
          </cell>
          <cell r="K355">
            <v>66089.39</v>
          </cell>
          <cell r="L355">
            <v>66664.41</v>
          </cell>
          <cell r="M355">
            <v>62238.39</v>
          </cell>
          <cell r="N355">
            <v>77207.02</v>
          </cell>
          <cell r="O355">
            <v>54810.31</v>
          </cell>
          <cell r="P355">
            <v>650666.58000000007</v>
          </cell>
          <cell r="Q355">
            <v>650666.58000000007</v>
          </cell>
        </row>
        <row r="356">
          <cell r="A356" t="str">
            <v>F85320G</v>
          </cell>
          <cell r="B356" t="str">
            <v>COMPRESSOR STATION LABOR AND EXPENSES</v>
          </cell>
          <cell r="C356">
            <v>0</v>
          </cell>
          <cell r="D356">
            <v>2519.1999999999998</v>
          </cell>
          <cell r="E356">
            <v>3826.14</v>
          </cell>
          <cell r="F356">
            <v>2638.51</v>
          </cell>
          <cell r="G356">
            <v>3240.92</v>
          </cell>
          <cell r="H356">
            <v>3744.67</v>
          </cell>
          <cell r="I356">
            <v>4750.83</v>
          </cell>
          <cell r="J356">
            <v>10478.1</v>
          </cell>
          <cell r="K356">
            <v>30553.7</v>
          </cell>
          <cell r="L356">
            <v>10514.67</v>
          </cell>
          <cell r="M356">
            <v>11003.02</v>
          </cell>
          <cell r="N356">
            <v>8326.1299999999992</v>
          </cell>
          <cell r="O356">
            <v>9675.65</v>
          </cell>
          <cell r="P356">
            <v>101271.54000000001</v>
          </cell>
          <cell r="Q356">
            <v>101271.54000000001</v>
          </cell>
        </row>
        <row r="357">
          <cell r="A357" t="str">
            <v>F85400G</v>
          </cell>
          <cell r="B357" t="str">
            <v>GAS FOR COMPRESSOR STATION FUEL</v>
          </cell>
          <cell r="C357">
            <v>0</v>
          </cell>
          <cell r="D357">
            <v>82108</v>
          </cell>
          <cell r="E357">
            <v>79416</v>
          </cell>
          <cell r="F357">
            <v>119988</v>
          </cell>
          <cell r="G357">
            <v>94408</v>
          </cell>
          <cell r="H357">
            <v>157929</v>
          </cell>
          <cell r="I357">
            <v>108347</v>
          </cell>
          <cell r="J357">
            <v>291090</v>
          </cell>
          <cell r="K357">
            <v>121401</v>
          </cell>
          <cell r="L357">
            <v>302552</v>
          </cell>
          <cell r="M357">
            <v>251051</v>
          </cell>
          <cell r="N357">
            <v>257272</v>
          </cell>
          <cell r="O357">
            <v>955420</v>
          </cell>
          <cell r="P357">
            <v>2820982</v>
          </cell>
          <cell r="Q357">
            <v>2820982</v>
          </cell>
        </row>
        <row r="358">
          <cell r="A358" t="str">
            <v>F85510G</v>
          </cell>
          <cell r="B358" t="str">
            <v>OTHER FUEL AND POWER FOR COMPRESSOR STA</v>
          </cell>
          <cell r="C358">
            <v>0</v>
          </cell>
          <cell r="D358">
            <v>20899.099999999999</v>
          </cell>
          <cell r="E358">
            <v>0</v>
          </cell>
          <cell r="F358">
            <v>10113.75</v>
          </cell>
          <cell r="G358">
            <v>13521.7</v>
          </cell>
          <cell r="H358">
            <v>10539.31</v>
          </cell>
          <cell r="I358">
            <v>25445.26</v>
          </cell>
          <cell r="J358">
            <v>0</v>
          </cell>
          <cell r="K358">
            <v>38061.11</v>
          </cell>
          <cell r="L358">
            <v>20645.34</v>
          </cell>
          <cell r="M358">
            <v>16394.59</v>
          </cell>
          <cell r="N358">
            <v>14607.98</v>
          </cell>
          <cell r="O358">
            <v>0</v>
          </cell>
          <cell r="P358">
            <v>170228.14</v>
          </cell>
          <cell r="Q358">
            <v>170228.14</v>
          </cell>
        </row>
        <row r="359">
          <cell r="A359" t="str">
            <v>F85600G</v>
          </cell>
          <cell r="B359" t="str">
            <v>MAINS EXPENSES</v>
          </cell>
          <cell r="C359">
            <v>0</v>
          </cell>
          <cell r="D359">
            <v>8542.49</v>
          </cell>
          <cell r="E359">
            <v>8826.51</v>
          </cell>
          <cell r="F359">
            <v>8602.51</v>
          </cell>
          <cell r="G359">
            <v>7643.63</v>
          </cell>
          <cell r="H359">
            <v>11299.15</v>
          </cell>
          <cell r="I359">
            <v>8054.84</v>
          </cell>
          <cell r="J359">
            <v>8634.83</v>
          </cell>
          <cell r="K359">
            <v>10629.6</v>
          </cell>
          <cell r="L359">
            <v>5679.3</v>
          </cell>
          <cell r="M359">
            <v>7027.68</v>
          </cell>
          <cell r="N359">
            <v>4584.04</v>
          </cell>
          <cell r="O359">
            <v>6719.17</v>
          </cell>
          <cell r="P359">
            <v>96243.75</v>
          </cell>
          <cell r="Q359">
            <v>96243.75</v>
          </cell>
        </row>
        <row r="360">
          <cell r="A360" t="str">
            <v>F85610G</v>
          </cell>
          <cell r="B360" t="str">
            <v>MAINS EXPENSES</v>
          </cell>
          <cell r="C360">
            <v>0</v>
          </cell>
          <cell r="D360">
            <v>22984.59</v>
          </cell>
          <cell r="E360">
            <v>25746.23</v>
          </cell>
          <cell r="F360">
            <v>18098.14</v>
          </cell>
          <cell r="G360">
            <v>15741.87</v>
          </cell>
          <cell r="H360">
            <v>29097.77</v>
          </cell>
          <cell r="I360">
            <v>16213.86</v>
          </cell>
          <cell r="J360">
            <v>14589.49</v>
          </cell>
          <cell r="K360">
            <v>15392.49</v>
          </cell>
          <cell r="L360">
            <v>11195.19</v>
          </cell>
          <cell r="M360">
            <v>19555.78</v>
          </cell>
          <cell r="N360">
            <v>15360.81</v>
          </cell>
          <cell r="O360">
            <v>31054.720000000001</v>
          </cell>
          <cell r="P360">
            <v>235030.93999999997</v>
          </cell>
          <cell r="Q360">
            <v>235030.93999999997</v>
          </cell>
        </row>
        <row r="361">
          <cell r="A361" t="str">
            <v>F85620G</v>
          </cell>
          <cell r="B361" t="str">
            <v>TRANS PIPE OPER SJOAQ VLY&amp;WHLR RDGE</v>
          </cell>
          <cell r="C361">
            <v>0</v>
          </cell>
          <cell r="D361">
            <v>13941.23</v>
          </cell>
          <cell r="E361">
            <v>25404.47</v>
          </cell>
          <cell r="F361">
            <v>17463.75</v>
          </cell>
          <cell r="G361">
            <v>16968.45</v>
          </cell>
          <cell r="H361">
            <v>23458.52</v>
          </cell>
          <cell r="I361">
            <v>12625.55</v>
          </cell>
          <cell r="J361">
            <v>18847.669999999998</v>
          </cell>
          <cell r="K361">
            <v>21016.49</v>
          </cell>
          <cell r="L361">
            <v>16881.080000000002</v>
          </cell>
          <cell r="M361">
            <v>25335.25</v>
          </cell>
          <cell r="N361">
            <v>18706.87</v>
          </cell>
          <cell r="O361">
            <v>27932.02</v>
          </cell>
          <cell r="P361">
            <v>238581.35</v>
          </cell>
          <cell r="Q361">
            <v>238581.35</v>
          </cell>
        </row>
        <row r="362">
          <cell r="A362" t="str">
            <v>F85660G</v>
          </cell>
          <cell r="B362" t="str">
            <v>TRANS PIPE OPER ADELANTO SYSTEM</v>
          </cell>
          <cell r="C362">
            <v>0</v>
          </cell>
          <cell r="D362">
            <v>5199.49</v>
          </cell>
          <cell r="E362">
            <v>4241.68</v>
          </cell>
          <cell r="F362">
            <v>5604.8</v>
          </cell>
          <cell r="G362">
            <v>6483.75</v>
          </cell>
          <cell r="H362">
            <v>9953.82</v>
          </cell>
          <cell r="I362">
            <v>9667.7900000000009</v>
          </cell>
          <cell r="J362">
            <v>7261.53</v>
          </cell>
          <cell r="K362">
            <v>8107.92</v>
          </cell>
          <cell r="L362">
            <v>7463.23</v>
          </cell>
          <cell r="M362">
            <v>7308.33</v>
          </cell>
          <cell r="N362">
            <v>5753.49</v>
          </cell>
          <cell r="O362">
            <v>15364.01</v>
          </cell>
          <cell r="P362">
            <v>92409.84</v>
          </cell>
          <cell r="Q362">
            <v>92409.84</v>
          </cell>
        </row>
        <row r="363">
          <cell r="A363" t="str">
            <v>F85700G</v>
          </cell>
          <cell r="B363" t="str">
            <v>MEASURING AND REGULATING STATION EXPENS</v>
          </cell>
          <cell r="C363">
            <v>0</v>
          </cell>
          <cell r="D363">
            <v>5013.8</v>
          </cell>
          <cell r="E363">
            <v>13132.94</v>
          </cell>
          <cell r="F363">
            <v>14884.97</v>
          </cell>
          <cell r="G363">
            <v>13017.03</v>
          </cell>
          <cell r="H363">
            <v>20232.86</v>
          </cell>
          <cell r="I363">
            <v>10911.17</v>
          </cell>
          <cell r="J363">
            <v>9911.66</v>
          </cell>
          <cell r="K363">
            <v>14689.75</v>
          </cell>
          <cell r="L363">
            <v>17124.78</v>
          </cell>
          <cell r="M363">
            <v>19553.03</v>
          </cell>
          <cell r="N363">
            <v>15159.5</v>
          </cell>
          <cell r="O363">
            <v>16530.11</v>
          </cell>
          <cell r="P363">
            <v>170161.59999999998</v>
          </cell>
          <cell r="Q363">
            <v>170161.59999999998</v>
          </cell>
        </row>
        <row r="364">
          <cell r="A364" t="str">
            <v>F85900G</v>
          </cell>
          <cell r="B364" t="str">
            <v>OTHER EXPENSES</v>
          </cell>
          <cell r="C364">
            <v>0</v>
          </cell>
          <cell r="D364">
            <v>-421637.37</v>
          </cell>
          <cell r="E364">
            <v>469578.83</v>
          </cell>
          <cell r="F364">
            <v>28782.36</v>
          </cell>
          <cell r="G364">
            <v>33460.79</v>
          </cell>
          <cell r="H364">
            <v>526419.68000000005</v>
          </cell>
          <cell r="I364">
            <v>93204.2</v>
          </cell>
          <cell r="J364">
            <v>323494.25</v>
          </cell>
          <cell r="K364">
            <v>409989.22</v>
          </cell>
          <cell r="L364">
            <v>139401.39000000001</v>
          </cell>
          <cell r="M364">
            <v>50539.29</v>
          </cell>
          <cell r="N364">
            <v>738770.99</v>
          </cell>
          <cell r="O364">
            <v>676231.76</v>
          </cell>
          <cell r="P364">
            <v>3068235.3899999997</v>
          </cell>
          <cell r="Q364">
            <v>3068235.3899999997</v>
          </cell>
        </row>
        <row r="365">
          <cell r="A365" t="str">
            <v>F85910G</v>
          </cell>
          <cell r="B365" t="str">
            <v>OTHER EXPENSES</v>
          </cell>
          <cell r="C365">
            <v>0</v>
          </cell>
          <cell r="D365">
            <v>0</v>
          </cell>
          <cell r="E365">
            <v>249.38</v>
          </cell>
          <cell r="F365">
            <v>1314.47</v>
          </cell>
          <cell r="G365">
            <v>2619.1799999999998</v>
          </cell>
          <cell r="H365">
            <v>9884.07</v>
          </cell>
          <cell r="I365">
            <v>5420.79</v>
          </cell>
          <cell r="J365">
            <v>2734.33</v>
          </cell>
          <cell r="K365">
            <v>2402.6799999999998</v>
          </cell>
          <cell r="L365">
            <v>2008.15</v>
          </cell>
          <cell r="M365">
            <v>3127.29</v>
          </cell>
          <cell r="N365">
            <v>2149.12</v>
          </cell>
          <cell r="O365">
            <v>9763.43</v>
          </cell>
          <cell r="P365">
            <v>41672.89</v>
          </cell>
          <cell r="Q365">
            <v>41672.89</v>
          </cell>
        </row>
        <row r="366">
          <cell r="A366" t="str">
            <v>F85920G</v>
          </cell>
          <cell r="B366" t="str">
            <v>OTHER EXPENSES</v>
          </cell>
          <cell r="C366">
            <v>0</v>
          </cell>
          <cell r="D366">
            <v>801.7</v>
          </cell>
          <cell r="E366">
            <v>2537.9499999999998</v>
          </cell>
          <cell r="F366">
            <v>12042.57</v>
          </cell>
          <cell r="G366">
            <v>4335.5200000000004</v>
          </cell>
          <cell r="H366">
            <v>8890.9500000000007</v>
          </cell>
          <cell r="I366">
            <v>5061.91</v>
          </cell>
          <cell r="J366">
            <v>4339.3999999999996</v>
          </cell>
          <cell r="K366">
            <v>7291.49</v>
          </cell>
          <cell r="L366">
            <v>3555.45</v>
          </cell>
          <cell r="M366">
            <v>9714.4500000000007</v>
          </cell>
          <cell r="N366">
            <v>4606.72</v>
          </cell>
          <cell r="O366">
            <v>7797.64</v>
          </cell>
          <cell r="P366">
            <v>70975.75</v>
          </cell>
          <cell r="Q366">
            <v>70975.75</v>
          </cell>
        </row>
        <row r="367">
          <cell r="A367" t="str">
            <v>F85930G</v>
          </cell>
          <cell r="B367" t="str">
            <v>OTHER EXPENSES</v>
          </cell>
          <cell r="C367">
            <v>0</v>
          </cell>
          <cell r="D367">
            <v>26835.46</v>
          </cell>
          <cell r="E367">
            <v>16326.1</v>
          </cell>
          <cell r="F367">
            <v>17513.580000000002</v>
          </cell>
          <cell r="G367">
            <v>-4215.45</v>
          </cell>
          <cell r="H367">
            <v>8877.27</v>
          </cell>
          <cell r="I367">
            <v>6271.91</v>
          </cell>
          <cell r="J367">
            <v>6126.01</v>
          </cell>
          <cell r="K367">
            <v>9211.9599999999991</v>
          </cell>
          <cell r="L367">
            <v>6528.92</v>
          </cell>
          <cell r="M367">
            <v>8159.75</v>
          </cell>
          <cell r="N367">
            <v>3907.92</v>
          </cell>
          <cell r="O367">
            <v>7288.58</v>
          </cell>
          <cell r="P367">
            <v>112832.01</v>
          </cell>
          <cell r="Q367">
            <v>112832.01</v>
          </cell>
        </row>
        <row r="368">
          <cell r="A368" t="str">
            <v>F86000G</v>
          </cell>
          <cell r="B368" t="str">
            <v>RENTS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-42.53</v>
          </cell>
          <cell r="M368">
            <v>0</v>
          </cell>
          <cell r="N368">
            <v>145</v>
          </cell>
          <cell r="O368">
            <v>2</v>
          </cell>
          <cell r="P368">
            <v>204.47</v>
          </cell>
          <cell r="Q368">
            <v>204.47</v>
          </cell>
        </row>
        <row r="369">
          <cell r="A369" t="str">
            <v>F86100G</v>
          </cell>
          <cell r="B369" t="str">
            <v>MAINTENANCE SUPERVISION AND ENGINEERING</v>
          </cell>
          <cell r="C369">
            <v>0</v>
          </cell>
          <cell r="D369">
            <v>813.62</v>
          </cell>
          <cell r="E369">
            <v>323.39</v>
          </cell>
          <cell r="F369">
            <v>273.97000000000003</v>
          </cell>
          <cell r="G369">
            <v>313.51</v>
          </cell>
          <cell r="H369">
            <v>286.56</v>
          </cell>
          <cell r="I369">
            <v>289.18</v>
          </cell>
          <cell r="J369">
            <v>273.58</v>
          </cell>
          <cell r="K369">
            <v>339.73</v>
          </cell>
          <cell r="L369">
            <v>371.26</v>
          </cell>
          <cell r="M369">
            <v>265.95999999999998</v>
          </cell>
          <cell r="N369">
            <v>158.61000000000001</v>
          </cell>
          <cell r="O369">
            <v>0</v>
          </cell>
          <cell r="P369">
            <v>3709.3700000000003</v>
          </cell>
          <cell r="Q369">
            <v>3709.3700000000003</v>
          </cell>
        </row>
        <row r="370">
          <cell r="A370" t="str">
            <v>F86110G</v>
          </cell>
          <cell r="B370" t="str">
            <v>MAINTENANCE SUPERVISION AND ENGINEERING</v>
          </cell>
          <cell r="C370">
            <v>0</v>
          </cell>
          <cell r="D370">
            <v>5960.48</v>
          </cell>
          <cell r="E370">
            <v>8088.01</v>
          </cell>
          <cell r="F370">
            <v>6421.75</v>
          </cell>
          <cell r="G370">
            <v>7293.05</v>
          </cell>
          <cell r="H370">
            <v>8044.95</v>
          </cell>
          <cell r="I370">
            <v>5764.69</v>
          </cell>
          <cell r="J370">
            <v>5653</v>
          </cell>
          <cell r="K370">
            <v>8147.33</v>
          </cell>
          <cell r="L370">
            <v>6455.36</v>
          </cell>
          <cell r="M370">
            <v>10473.9</v>
          </cell>
          <cell r="N370">
            <v>7397.73</v>
          </cell>
          <cell r="O370">
            <v>9563.0400000000009</v>
          </cell>
          <cell r="P370">
            <v>89263.290000000008</v>
          </cell>
          <cell r="Q370">
            <v>89263.290000000008</v>
          </cell>
        </row>
        <row r="371">
          <cell r="A371" t="str">
            <v>F86120G</v>
          </cell>
          <cell r="B371" t="str">
            <v>MAINTENANCE SUPERVISION AND ENGINEERING</v>
          </cell>
          <cell r="C371">
            <v>0</v>
          </cell>
          <cell r="D371">
            <v>56.56</v>
          </cell>
          <cell r="E371">
            <v>83.63</v>
          </cell>
          <cell r="F371">
            <v>66.099999999999994</v>
          </cell>
          <cell r="G371">
            <v>68</v>
          </cell>
          <cell r="H371">
            <v>82.6</v>
          </cell>
          <cell r="I371">
            <v>41.89</v>
          </cell>
          <cell r="J371">
            <v>59.53</v>
          </cell>
          <cell r="K371">
            <v>82.7</v>
          </cell>
          <cell r="L371">
            <v>63.9</v>
          </cell>
          <cell r="M371">
            <v>77.900000000000006</v>
          </cell>
          <cell r="N371">
            <v>33.6</v>
          </cell>
          <cell r="O371">
            <v>57.16</v>
          </cell>
          <cell r="P371">
            <v>773.56999999999994</v>
          </cell>
          <cell r="Q371">
            <v>773.56999999999994</v>
          </cell>
        </row>
        <row r="372">
          <cell r="A372" t="str">
            <v>F86200G</v>
          </cell>
          <cell r="B372" t="str">
            <v>MAINTENANCE OF STRUCTURES AND IMPROVEME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349.69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349.69</v>
          </cell>
          <cell r="Q372">
            <v>349.69</v>
          </cell>
        </row>
        <row r="373">
          <cell r="A373" t="str">
            <v>F86300G</v>
          </cell>
          <cell r="B373" t="str">
            <v>MAINTENANCE OF MAINS</v>
          </cell>
          <cell r="C373">
            <v>0</v>
          </cell>
          <cell r="D373">
            <v>223.97</v>
          </cell>
          <cell r="E373">
            <v>264.13</v>
          </cell>
          <cell r="F373">
            <v>3641.03</v>
          </cell>
          <cell r="G373">
            <v>1784.65</v>
          </cell>
          <cell r="H373">
            <v>3948.87</v>
          </cell>
          <cell r="I373">
            <v>652.38</v>
          </cell>
          <cell r="J373">
            <v>686.1</v>
          </cell>
          <cell r="K373">
            <v>482.31</v>
          </cell>
          <cell r="L373">
            <v>1364.88</v>
          </cell>
          <cell r="M373">
            <v>858.12</v>
          </cell>
          <cell r="N373">
            <v>743.9</v>
          </cell>
          <cell r="O373">
            <v>7716.48</v>
          </cell>
          <cell r="P373">
            <v>22366.82</v>
          </cell>
          <cell r="Q373">
            <v>22366.82</v>
          </cell>
        </row>
        <row r="374">
          <cell r="A374" t="str">
            <v>F86310G</v>
          </cell>
          <cell r="B374" t="str">
            <v>MAINTENANCE OF MAINS</v>
          </cell>
          <cell r="C374">
            <v>0</v>
          </cell>
          <cell r="D374">
            <v>0</v>
          </cell>
          <cell r="E374">
            <v>0</v>
          </cell>
          <cell r="F374">
            <v>1508.17</v>
          </cell>
          <cell r="G374">
            <v>469.11</v>
          </cell>
          <cell r="H374">
            <v>1212.8399999999999</v>
          </cell>
          <cell r="I374">
            <v>7511.69</v>
          </cell>
          <cell r="J374">
            <v>4727.43</v>
          </cell>
          <cell r="K374">
            <v>11335.9</v>
          </cell>
          <cell r="L374">
            <v>10564.32</v>
          </cell>
          <cell r="M374">
            <v>9869.0400000000009</v>
          </cell>
          <cell r="N374">
            <v>6016.83</v>
          </cell>
          <cell r="O374">
            <v>7157.06</v>
          </cell>
          <cell r="P374">
            <v>60372.39</v>
          </cell>
          <cell r="Q374">
            <v>60372.39</v>
          </cell>
        </row>
        <row r="375">
          <cell r="A375" t="str">
            <v>F86400G</v>
          </cell>
          <cell r="B375" t="str">
            <v>MAINTENANCE OF COMPRESSOR STATION EQUIP</v>
          </cell>
          <cell r="C375">
            <v>0</v>
          </cell>
          <cell r="D375">
            <v>43028.86</v>
          </cell>
          <cell r="E375">
            <v>28774.79</v>
          </cell>
          <cell r="F375">
            <v>9068.44</v>
          </cell>
          <cell r="G375">
            <v>30799.02</v>
          </cell>
          <cell r="H375">
            <v>54567.63</v>
          </cell>
          <cell r="I375">
            <v>51419.01</v>
          </cell>
          <cell r="J375">
            <v>43161.22</v>
          </cell>
          <cell r="K375">
            <v>47828.89</v>
          </cell>
          <cell r="L375">
            <v>16497.68</v>
          </cell>
          <cell r="M375">
            <v>97373.65</v>
          </cell>
          <cell r="N375">
            <v>42628.57</v>
          </cell>
          <cell r="O375">
            <v>38824.080000000002</v>
          </cell>
          <cell r="P375">
            <v>503971.83999999997</v>
          </cell>
          <cell r="Q375">
            <v>503971.83999999997</v>
          </cell>
        </row>
        <row r="376">
          <cell r="A376" t="str">
            <v>F86410G</v>
          </cell>
          <cell r="B376" t="str">
            <v>MAINTENANCE OF COMPRESSOR STATION EQUIP</v>
          </cell>
          <cell r="C376">
            <v>0</v>
          </cell>
          <cell r="D376">
            <v>4856.6400000000003</v>
          </cell>
          <cell r="E376">
            <v>7850.54</v>
          </cell>
          <cell r="F376">
            <v>5864.85</v>
          </cell>
          <cell r="G376">
            <v>9821.6</v>
          </cell>
          <cell r="H376">
            <v>5457.13</v>
          </cell>
          <cell r="I376">
            <v>4983.29</v>
          </cell>
          <cell r="J376">
            <v>4851.96</v>
          </cell>
          <cell r="K376">
            <v>15834.86</v>
          </cell>
          <cell r="L376">
            <v>7700.62</v>
          </cell>
          <cell r="M376">
            <v>7055.93</v>
          </cell>
          <cell r="N376">
            <v>4793.1899999999996</v>
          </cell>
          <cell r="O376">
            <v>8859.9599999999991</v>
          </cell>
          <cell r="P376">
            <v>87930.569999999978</v>
          </cell>
          <cell r="Q376">
            <v>87930.569999999978</v>
          </cell>
        </row>
        <row r="377">
          <cell r="A377" t="str">
            <v>F86420G</v>
          </cell>
          <cell r="B377" t="str">
            <v>MAINTENANCE OF COMPRESSOR STATION EQUIP</v>
          </cell>
          <cell r="C377">
            <v>0</v>
          </cell>
          <cell r="D377">
            <v>1246.22</v>
          </cell>
          <cell r="E377">
            <v>1271.19</v>
          </cell>
          <cell r="F377">
            <v>1147.96</v>
          </cell>
          <cell r="G377">
            <v>1113.74</v>
          </cell>
          <cell r="H377">
            <v>1339.9</v>
          </cell>
          <cell r="I377">
            <v>1038.3900000000001</v>
          </cell>
          <cell r="J377">
            <v>1461.7</v>
          </cell>
          <cell r="K377">
            <v>996.94</v>
          </cell>
          <cell r="L377">
            <v>1646.25</v>
          </cell>
          <cell r="M377">
            <v>1290.98</v>
          </cell>
          <cell r="N377">
            <v>1560.34</v>
          </cell>
          <cell r="O377">
            <v>1359.95</v>
          </cell>
          <cell r="P377">
            <v>15473.560000000001</v>
          </cell>
          <cell r="Q377">
            <v>15473.560000000001</v>
          </cell>
        </row>
        <row r="378">
          <cell r="A378" t="str">
            <v>F86500G</v>
          </cell>
          <cell r="B378" t="str">
            <v>MAINTENANCE OF MEASURING AND REG. STATI</v>
          </cell>
          <cell r="C378">
            <v>0</v>
          </cell>
          <cell r="D378">
            <v>2640.98</v>
          </cell>
          <cell r="E378">
            <v>3099.52</v>
          </cell>
          <cell r="F378">
            <v>3638.61</v>
          </cell>
          <cell r="G378">
            <v>3929.79</v>
          </cell>
          <cell r="H378">
            <v>5405.96</v>
          </cell>
          <cell r="I378">
            <v>4171.43</v>
          </cell>
          <cell r="J378">
            <v>6483.09</v>
          </cell>
          <cell r="K378">
            <v>12937.15</v>
          </cell>
          <cell r="L378">
            <v>22598.71</v>
          </cell>
          <cell r="M378">
            <v>5865.99</v>
          </cell>
          <cell r="N378">
            <v>8894.36</v>
          </cell>
          <cell r="O378">
            <v>7701.42</v>
          </cell>
          <cell r="P378">
            <v>87367.01</v>
          </cell>
          <cell r="Q378">
            <v>87367.01</v>
          </cell>
        </row>
        <row r="379">
          <cell r="A379" t="str">
            <v>F87000G</v>
          </cell>
          <cell r="B379" t="str">
            <v>OPERATION SUPERVISION AND ENGINEERING</v>
          </cell>
          <cell r="C379">
            <v>0</v>
          </cell>
          <cell r="D379">
            <v>8282.02</v>
          </cell>
          <cell r="E379">
            <v>6524.64</v>
          </cell>
          <cell r="F379">
            <v>6777.67</v>
          </cell>
          <cell r="G379">
            <v>3671.66</v>
          </cell>
          <cell r="H379">
            <v>7230.4</v>
          </cell>
          <cell r="I379">
            <v>3765.81</v>
          </cell>
          <cell r="J379">
            <v>4124.29</v>
          </cell>
          <cell r="K379">
            <v>9039.85</v>
          </cell>
          <cell r="L379">
            <v>9122.7199999999993</v>
          </cell>
          <cell r="M379">
            <v>10354.549999999999</v>
          </cell>
          <cell r="N379">
            <v>12994.65</v>
          </cell>
          <cell r="O379">
            <v>10752.39</v>
          </cell>
          <cell r="P379">
            <v>92640.65</v>
          </cell>
          <cell r="Q379">
            <v>92640.65</v>
          </cell>
        </row>
        <row r="380">
          <cell r="A380" t="str">
            <v>F87010G</v>
          </cell>
          <cell r="B380" t="str">
            <v>OPERATION SUPERVISIO</v>
          </cell>
          <cell r="C380">
            <v>0</v>
          </cell>
          <cell r="D380">
            <v>121447.76</v>
          </cell>
          <cell r="E380">
            <v>171850.75</v>
          </cell>
          <cell r="F380">
            <v>130339.19</v>
          </cell>
          <cell r="G380">
            <v>121943.1</v>
          </cell>
          <cell r="H380">
            <v>182855.82</v>
          </cell>
          <cell r="I380">
            <v>125673.79</v>
          </cell>
          <cell r="J380">
            <v>124867.13</v>
          </cell>
          <cell r="K380">
            <v>164469.48000000001</v>
          </cell>
          <cell r="L380">
            <v>137070.91</v>
          </cell>
          <cell r="M380">
            <v>185432.28</v>
          </cell>
          <cell r="N380">
            <v>141540.71</v>
          </cell>
          <cell r="O380">
            <v>177175.08</v>
          </cell>
          <cell r="P380">
            <v>1784666.0000000002</v>
          </cell>
          <cell r="Q380">
            <v>1784666.0000000002</v>
          </cell>
        </row>
        <row r="381">
          <cell r="A381" t="str">
            <v>F87020G</v>
          </cell>
          <cell r="B381" t="str">
            <v>OPERATION SUPERVISIO</v>
          </cell>
          <cell r="C381">
            <v>0</v>
          </cell>
          <cell r="D381">
            <v>66772.2</v>
          </cell>
          <cell r="E381">
            <v>86392.45</v>
          </cell>
          <cell r="F381">
            <v>73463.75</v>
          </cell>
          <cell r="G381">
            <v>58506.44</v>
          </cell>
          <cell r="H381">
            <v>87249.62</v>
          </cell>
          <cell r="I381">
            <v>77658.34</v>
          </cell>
          <cell r="J381">
            <v>65002.44</v>
          </cell>
          <cell r="K381">
            <v>84409.88</v>
          </cell>
          <cell r="L381">
            <v>65732.63</v>
          </cell>
          <cell r="M381">
            <v>85689.25</v>
          </cell>
          <cell r="N381">
            <v>65044.32</v>
          </cell>
          <cell r="O381">
            <v>64775.63</v>
          </cell>
          <cell r="P381">
            <v>880696.94999999984</v>
          </cell>
          <cell r="Q381">
            <v>880696.94999999984</v>
          </cell>
        </row>
        <row r="382">
          <cell r="A382" t="str">
            <v>F87100G</v>
          </cell>
          <cell r="B382" t="str">
            <v>DISTRIBUTION LOAD DISPATCHING</v>
          </cell>
          <cell r="C382">
            <v>0</v>
          </cell>
          <cell r="D382">
            <v>1052.45</v>
          </cell>
          <cell r="E382">
            <v>816.09</v>
          </cell>
          <cell r="F382">
            <v>1343.68</v>
          </cell>
          <cell r="G382">
            <v>2245.1999999999998</v>
          </cell>
          <cell r="H382">
            <v>2978.34</v>
          </cell>
          <cell r="I382">
            <v>2108.9499999999998</v>
          </cell>
          <cell r="J382">
            <v>2807.33</v>
          </cell>
          <cell r="K382">
            <v>2320.11</v>
          </cell>
          <cell r="L382">
            <v>3932.68</v>
          </cell>
          <cell r="M382">
            <v>4971.3</v>
          </cell>
          <cell r="N382">
            <v>3614.73</v>
          </cell>
          <cell r="O382">
            <v>4815.88</v>
          </cell>
          <cell r="P382">
            <v>33006.74</v>
          </cell>
          <cell r="Q382">
            <v>33006.74</v>
          </cell>
        </row>
        <row r="383">
          <cell r="A383" t="str">
            <v>F87200C</v>
          </cell>
          <cell r="B383" t="str">
            <v>COMPRESSOR STATION LABOR AND EXPENSES</v>
          </cell>
          <cell r="C383">
            <v>0</v>
          </cell>
          <cell r="D383">
            <v>239.07</v>
          </cell>
          <cell r="E383">
            <v>0</v>
          </cell>
          <cell r="F383">
            <v>347.62</v>
          </cell>
          <cell r="G383">
            <v>749.47</v>
          </cell>
          <cell r="H383">
            <v>0</v>
          </cell>
          <cell r="I383">
            <v>562.87</v>
          </cell>
          <cell r="J383">
            <v>529.48</v>
          </cell>
          <cell r="K383">
            <v>1014.51</v>
          </cell>
          <cell r="L383">
            <v>674.51</v>
          </cell>
          <cell r="M383">
            <v>1584.71</v>
          </cell>
          <cell r="N383">
            <v>0</v>
          </cell>
          <cell r="O383">
            <v>1966.95</v>
          </cell>
          <cell r="P383">
            <v>7669.1900000000005</v>
          </cell>
          <cell r="Q383">
            <v>7669.1900000000005</v>
          </cell>
        </row>
        <row r="384">
          <cell r="A384" t="str">
            <v>F87300G</v>
          </cell>
          <cell r="B384" t="str">
            <v>COMPRESSOR STATION FUEL AND POWER</v>
          </cell>
          <cell r="C384">
            <v>0</v>
          </cell>
          <cell r="D384">
            <v>0</v>
          </cell>
          <cell r="E384">
            <v>809.96</v>
          </cell>
          <cell r="F384">
            <v>0</v>
          </cell>
          <cell r="G384">
            <v>0</v>
          </cell>
          <cell r="H384">
            <v>0</v>
          </cell>
          <cell r="I384">
            <v>71.61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881.57</v>
          </cell>
          <cell r="Q384">
            <v>881.57</v>
          </cell>
        </row>
        <row r="385">
          <cell r="A385" t="str">
            <v>F87400G</v>
          </cell>
          <cell r="B385" t="str">
            <v>MAINS AND SERVICES EXPENSES</v>
          </cell>
          <cell r="C385">
            <v>0</v>
          </cell>
          <cell r="D385">
            <v>38208.120000000003</v>
          </cell>
          <cell r="E385">
            <v>48623.21</v>
          </cell>
          <cell r="F385">
            <v>38392.81</v>
          </cell>
          <cell r="G385">
            <v>43922.71</v>
          </cell>
          <cell r="H385">
            <v>31574.720000000001</v>
          </cell>
          <cell r="I385">
            <v>45808.13</v>
          </cell>
          <cell r="J385">
            <v>34118.51</v>
          </cell>
          <cell r="K385">
            <v>70444.31</v>
          </cell>
          <cell r="L385">
            <v>57879.4</v>
          </cell>
          <cell r="M385">
            <v>70679.27</v>
          </cell>
          <cell r="N385">
            <v>35330.21</v>
          </cell>
          <cell r="O385">
            <v>62927.71</v>
          </cell>
          <cell r="P385">
            <v>577909.1100000001</v>
          </cell>
          <cell r="Q385">
            <v>577909.1100000001</v>
          </cell>
        </row>
        <row r="386">
          <cell r="A386" t="str">
            <v>F87410G</v>
          </cell>
          <cell r="B386" t="str">
            <v>MAINS AND SERVICES E</v>
          </cell>
          <cell r="C386">
            <v>0</v>
          </cell>
          <cell r="D386">
            <v>37412.06</v>
          </cell>
          <cell r="E386">
            <v>-22073.08</v>
          </cell>
          <cell r="F386">
            <v>-3338.33</v>
          </cell>
          <cell r="G386">
            <v>44463.83</v>
          </cell>
          <cell r="H386">
            <v>50699.67</v>
          </cell>
          <cell r="I386">
            <v>41132.1</v>
          </cell>
          <cell r="J386">
            <v>38948.21</v>
          </cell>
          <cell r="K386">
            <v>52508.639999999999</v>
          </cell>
          <cell r="L386">
            <v>39460.480000000003</v>
          </cell>
          <cell r="M386">
            <v>56100.86</v>
          </cell>
          <cell r="N386">
            <v>41874</v>
          </cell>
          <cell r="O386">
            <v>65329.599999999999</v>
          </cell>
          <cell r="P386">
            <v>442518.03999999992</v>
          </cell>
          <cell r="Q386">
            <v>442518.03999999992</v>
          </cell>
        </row>
        <row r="387">
          <cell r="A387" t="str">
            <v>F87430G</v>
          </cell>
          <cell r="B387" t="str">
            <v>MAINS AND SERVICES E</v>
          </cell>
          <cell r="C387">
            <v>0</v>
          </cell>
          <cell r="D387">
            <v>117854.86</v>
          </cell>
          <cell r="E387">
            <v>116102.04</v>
          </cell>
          <cell r="F387">
            <v>111189.09</v>
          </cell>
          <cell r="G387">
            <v>110913.05</v>
          </cell>
          <cell r="H387">
            <v>176145.24</v>
          </cell>
          <cell r="I387">
            <v>90001.29</v>
          </cell>
          <cell r="J387">
            <v>122615.92</v>
          </cell>
          <cell r="K387">
            <v>130003.03</v>
          </cell>
          <cell r="L387">
            <v>103200.56</v>
          </cell>
          <cell r="M387">
            <v>126095.43</v>
          </cell>
          <cell r="N387">
            <v>115149.24</v>
          </cell>
          <cell r="O387">
            <v>153886.35999999999</v>
          </cell>
          <cell r="P387">
            <v>1473156.1099999999</v>
          </cell>
          <cell r="Q387">
            <v>1473156.1099999999</v>
          </cell>
        </row>
        <row r="388">
          <cell r="A388" t="str">
            <v>F87440G</v>
          </cell>
          <cell r="B388" t="str">
            <v>MAINS AND SERVICES E</v>
          </cell>
          <cell r="C388">
            <v>0</v>
          </cell>
          <cell r="D388">
            <v>57447.76</v>
          </cell>
          <cell r="E388">
            <v>55223.7</v>
          </cell>
          <cell r="F388">
            <v>57889.13</v>
          </cell>
          <cell r="G388">
            <v>45041.14</v>
          </cell>
          <cell r="H388">
            <v>73973.850000000006</v>
          </cell>
          <cell r="I388">
            <v>50236.86</v>
          </cell>
          <cell r="J388">
            <v>32750.59</v>
          </cell>
          <cell r="K388">
            <v>-19814.04</v>
          </cell>
          <cell r="L388">
            <v>23811.48</v>
          </cell>
          <cell r="M388">
            <v>43953.599999999999</v>
          </cell>
          <cell r="N388">
            <v>21606.59</v>
          </cell>
          <cell r="O388">
            <v>52257.74</v>
          </cell>
          <cell r="P388">
            <v>494378.39999999997</v>
          </cell>
          <cell r="Q388">
            <v>494378.39999999997</v>
          </cell>
        </row>
        <row r="389">
          <cell r="A389" t="str">
            <v>F87450G</v>
          </cell>
          <cell r="B389" t="str">
            <v>MAINS AND SERVICES E</v>
          </cell>
          <cell r="C389">
            <v>0</v>
          </cell>
          <cell r="D389">
            <v>877.23</v>
          </cell>
          <cell r="E389">
            <v>1098.43</v>
          </cell>
          <cell r="F389">
            <v>810.82</v>
          </cell>
          <cell r="G389">
            <v>892.21</v>
          </cell>
          <cell r="H389">
            <v>1105.73</v>
          </cell>
          <cell r="I389">
            <v>877.73</v>
          </cell>
          <cell r="J389">
            <v>643.04999999999995</v>
          </cell>
          <cell r="K389">
            <v>1205.8900000000001</v>
          </cell>
          <cell r="L389">
            <v>6800.41</v>
          </cell>
          <cell r="M389">
            <v>1063.56</v>
          </cell>
          <cell r="N389">
            <v>6291.62</v>
          </cell>
          <cell r="O389">
            <v>2800.39</v>
          </cell>
          <cell r="P389">
            <v>24467.07</v>
          </cell>
          <cell r="Q389">
            <v>24467.07</v>
          </cell>
        </row>
        <row r="390">
          <cell r="A390" t="str">
            <v>F87500G</v>
          </cell>
          <cell r="B390" t="str">
            <v>MEASURING AND REGULATING STATION EXPENS</v>
          </cell>
          <cell r="C390">
            <v>0</v>
          </cell>
          <cell r="D390">
            <v>42752.37</v>
          </cell>
          <cell r="E390">
            <v>59255.71</v>
          </cell>
          <cell r="F390">
            <v>32386.91</v>
          </cell>
          <cell r="G390">
            <v>14230.94</v>
          </cell>
          <cell r="H390">
            <v>45362.31</v>
          </cell>
          <cell r="I390">
            <v>21411.11</v>
          </cell>
          <cell r="J390">
            <v>27487.56</v>
          </cell>
          <cell r="K390">
            <v>29003.39</v>
          </cell>
          <cell r="L390">
            <v>23460.639999999999</v>
          </cell>
          <cell r="M390">
            <v>34273.07</v>
          </cell>
          <cell r="N390">
            <v>27999.3</v>
          </cell>
          <cell r="O390">
            <v>52280.26</v>
          </cell>
          <cell r="P390">
            <v>409903.57</v>
          </cell>
          <cell r="Q390">
            <v>409903.57</v>
          </cell>
        </row>
        <row r="391">
          <cell r="A391" t="str">
            <v>F87800G</v>
          </cell>
          <cell r="B391" t="str">
            <v>METER AND HOUSE REGULATOR EXPENSES</v>
          </cell>
          <cell r="C391">
            <v>0</v>
          </cell>
          <cell r="D391">
            <v>34755.35</v>
          </cell>
          <cell r="E391">
            <v>55213.35</v>
          </cell>
          <cell r="F391">
            <v>35191.03</v>
          </cell>
          <cell r="G391">
            <v>48242.85</v>
          </cell>
          <cell r="H391">
            <v>36189.589999999997</v>
          </cell>
          <cell r="I391">
            <v>34674.06</v>
          </cell>
          <cell r="J391">
            <v>25381.81</v>
          </cell>
          <cell r="K391">
            <v>72398.720000000001</v>
          </cell>
          <cell r="L391">
            <v>60069.64</v>
          </cell>
          <cell r="M391">
            <v>77054.98</v>
          </cell>
          <cell r="N391">
            <v>70043.47</v>
          </cell>
          <cell r="O391">
            <v>55637.53</v>
          </cell>
          <cell r="P391">
            <v>604852.38</v>
          </cell>
          <cell r="Q391">
            <v>604852.38</v>
          </cell>
        </row>
        <row r="392">
          <cell r="A392" t="str">
            <v>F87810G</v>
          </cell>
          <cell r="B392" t="str">
            <v>METER AND HOUSE REGU</v>
          </cell>
          <cell r="C392">
            <v>0</v>
          </cell>
          <cell r="D392">
            <v>18845.38</v>
          </cell>
          <cell r="E392">
            <v>22427.4</v>
          </cell>
          <cell r="F392">
            <v>17254.080000000002</v>
          </cell>
          <cell r="G392">
            <v>20161.91</v>
          </cell>
          <cell r="H392">
            <v>18666.259999999998</v>
          </cell>
          <cell r="I392">
            <v>9191.48</v>
          </cell>
          <cell r="J392">
            <v>10763.72</v>
          </cell>
          <cell r="K392">
            <v>11359.21</v>
          </cell>
          <cell r="L392">
            <v>9222.6</v>
          </cell>
          <cell r="M392">
            <v>13380.99</v>
          </cell>
          <cell r="N392">
            <v>10783.16</v>
          </cell>
          <cell r="O392">
            <v>13407.12</v>
          </cell>
          <cell r="P392">
            <v>175463.31</v>
          </cell>
          <cell r="Q392">
            <v>175463.31</v>
          </cell>
        </row>
        <row r="393">
          <cell r="A393" t="str">
            <v>F87820G</v>
          </cell>
          <cell r="B393" t="str">
            <v>METER AND HOUSE REGU</v>
          </cell>
          <cell r="C393">
            <v>0</v>
          </cell>
          <cell r="D393">
            <v>123971.62</v>
          </cell>
          <cell r="E393">
            <v>155773.75</v>
          </cell>
          <cell r="F393">
            <v>128738.28</v>
          </cell>
          <cell r="G393">
            <v>126807.46</v>
          </cell>
          <cell r="H393">
            <v>154892.31</v>
          </cell>
          <cell r="I393">
            <v>126033.69</v>
          </cell>
          <cell r="J393">
            <v>125665.81</v>
          </cell>
          <cell r="K393">
            <v>157986.59</v>
          </cell>
          <cell r="L393">
            <v>138964.19</v>
          </cell>
          <cell r="M393">
            <v>134535.62</v>
          </cell>
          <cell r="N393">
            <v>91493.119999999995</v>
          </cell>
          <cell r="O393">
            <v>123662.94</v>
          </cell>
          <cell r="P393">
            <v>1588525.38</v>
          </cell>
          <cell r="Q393">
            <v>1588525.38</v>
          </cell>
        </row>
        <row r="394">
          <cell r="A394" t="str">
            <v>F87830G</v>
          </cell>
          <cell r="B394" t="str">
            <v>METER AND HOUSE REGU</v>
          </cell>
          <cell r="C394">
            <v>0</v>
          </cell>
          <cell r="D394">
            <v>1827.41</v>
          </cell>
          <cell r="E394">
            <v>2403.09</v>
          </cell>
          <cell r="F394">
            <v>1942.87</v>
          </cell>
          <cell r="G394">
            <v>1638.72</v>
          </cell>
          <cell r="H394">
            <v>1995.97</v>
          </cell>
          <cell r="I394">
            <v>1864.45</v>
          </cell>
          <cell r="J394">
            <v>1494.56</v>
          </cell>
          <cell r="K394">
            <v>1579.4</v>
          </cell>
          <cell r="L394">
            <v>1524.84</v>
          </cell>
          <cell r="M394">
            <v>2037.63</v>
          </cell>
          <cell r="N394">
            <v>3942.32</v>
          </cell>
          <cell r="O394">
            <v>6396.52</v>
          </cell>
          <cell r="P394">
            <v>28647.78</v>
          </cell>
          <cell r="Q394">
            <v>28647.78</v>
          </cell>
        </row>
        <row r="395">
          <cell r="A395" t="str">
            <v>F87840G</v>
          </cell>
          <cell r="B395" t="str">
            <v>METER AND HOUSE REGU</v>
          </cell>
          <cell r="C395">
            <v>0</v>
          </cell>
          <cell r="D395">
            <v>4111.8100000000004</v>
          </cell>
          <cell r="E395">
            <v>11234.71</v>
          </cell>
          <cell r="F395">
            <v>9863.01</v>
          </cell>
          <cell r="G395">
            <v>11515.66</v>
          </cell>
          <cell r="H395">
            <v>11502.81</v>
          </cell>
          <cell r="I395">
            <v>12642.83</v>
          </cell>
          <cell r="J395">
            <v>11802.6</v>
          </cell>
          <cell r="K395">
            <v>9204.75</v>
          </cell>
          <cell r="L395">
            <v>7973.57</v>
          </cell>
          <cell r="M395">
            <v>4288.16</v>
          </cell>
          <cell r="N395">
            <v>12498.38</v>
          </cell>
          <cell r="O395">
            <v>27006.73</v>
          </cell>
          <cell r="P395">
            <v>133645.02000000002</v>
          </cell>
          <cell r="Q395">
            <v>133645.02000000002</v>
          </cell>
        </row>
        <row r="396">
          <cell r="A396" t="str">
            <v>F87850G</v>
          </cell>
          <cell r="B396" t="str">
            <v>METER AND HOUSE REGU</v>
          </cell>
          <cell r="C396">
            <v>0</v>
          </cell>
          <cell r="D396">
            <v>2486.3000000000002</v>
          </cell>
          <cell r="E396">
            <v>2220.1799999999998</v>
          </cell>
          <cell r="F396">
            <v>1675.79</v>
          </cell>
          <cell r="G396">
            <v>1804.69</v>
          </cell>
          <cell r="H396">
            <v>2591.85</v>
          </cell>
          <cell r="I396">
            <v>1526.07</v>
          </cell>
          <cell r="J396">
            <v>1810.3</v>
          </cell>
          <cell r="K396">
            <v>2385.67</v>
          </cell>
          <cell r="L396">
            <v>1159.78</v>
          </cell>
          <cell r="M396">
            <v>3133.09</v>
          </cell>
          <cell r="N396">
            <v>1792.4</v>
          </cell>
          <cell r="O396">
            <v>4240.32</v>
          </cell>
          <cell r="P396">
            <v>26826.44</v>
          </cell>
          <cell r="Q396">
            <v>26826.44</v>
          </cell>
        </row>
        <row r="397">
          <cell r="A397" t="str">
            <v>F87860G</v>
          </cell>
          <cell r="B397" t="str">
            <v>METER AND HOUSE REGU</v>
          </cell>
          <cell r="C397">
            <v>0</v>
          </cell>
          <cell r="D397">
            <v>2294.67</v>
          </cell>
          <cell r="E397">
            <v>1477.26</v>
          </cell>
          <cell r="F397">
            <v>2204.65</v>
          </cell>
          <cell r="G397">
            <v>2217.35</v>
          </cell>
          <cell r="H397">
            <v>869.92</v>
          </cell>
          <cell r="I397">
            <v>94.19</v>
          </cell>
          <cell r="J397">
            <v>451.29</v>
          </cell>
          <cell r="K397">
            <v>835.96</v>
          </cell>
          <cell r="L397">
            <v>526.75</v>
          </cell>
          <cell r="M397">
            <v>448.39</v>
          </cell>
          <cell r="N397">
            <v>132.5</v>
          </cell>
          <cell r="O397">
            <v>510.37</v>
          </cell>
          <cell r="P397">
            <v>12063.300000000001</v>
          </cell>
          <cell r="Q397">
            <v>12063.300000000001</v>
          </cell>
        </row>
        <row r="398">
          <cell r="A398" t="str">
            <v>F87900G</v>
          </cell>
          <cell r="B398" t="str">
            <v>CUSTOMER INSTALLATIONS EXPENSES</v>
          </cell>
          <cell r="C398">
            <v>0</v>
          </cell>
          <cell r="D398">
            <v>196986.75</v>
          </cell>
          <cell r="E398">
            <v>229088.12</v>
          </cell>
          <cell r="F398">
            <v>191877.91</v>
          </cell>
          <cell r="G398">
            <v>168358.34</v>
          </cell>
          <cell r="H398">
            <v>231763.18</v>
          </cell>
          <cell r="I398">
            <v>170378.63</v>
          </cell>
          <cell r="J398">
            <v>172290.86</v>
          </cell>
          <cell r="K398">
            <v>210270.26</v>
          </cell>
          <cell r="L398">
            <v>211758.18</v>
          </cell>
          <cell r="M398">
            <v>277020.65999999997</v>
          </cell>
          <cell r="N398">
            <v>282277.5</v>
          </cell>
          <cell r="O398">
            <v>253434.23</v>
          </cell>
          <cell r="P398">
            <v>2595504.6199999996</v>
          </cell>
          <cell r="Q398">
            <v>2595504.6199999996</v>
          </cell>
        </row>
        <row r="399">
          <cell r="A399" t="str">
            <v>F87910G</v>
          </cell>
          <cell r="B399" t="str">
            <v>CUSTOMER INSTALLATIO</v>
          </cell>
          <cell r="C399">
            <v>0</v>
          </cell>
          <cell r="D399">
            <v>336400.6</v>
          </cell>
          <cell r="E399">
            <v>360010.84</v>
          </cell>
          <cell r="F399">
            <v>285089.99</v>
          </cell>
          <cell r="G399">
            <v>232896.65</v>
          </cell>
          <cell r="H399">
            <v>278610.90000000002</v>
          </cell>
          <cell r="I399">
            <v>175847.28</v>
          </cell>
          <cell r="J399">
            <v>223326.07</v>
          </cell>
          <cell r="K399">
            <v>320492.09000000003</v>
          </cell>
          <cell r="L399">
            <v>288129.89</v>
          </cell>
          <cell r="M399">
            <v>585481.68999999994</v>
          </cell>
          <cell r="N399">
            <v>679717.46</v>
          </cell>
          <cell r="O399">
            <v>513547.93</v>
          </cell>
          <cell r="P399">
            <v>4279551.3899999997</v>
          </cell>
          <cell r="Q399">
            <v>4279551.3899999997</v>
          </cell>
        </row>
        <row r="400">
          <cell r="A400" t="str">
            <v>F87920G</v>
          </cell>
          <cell r="B400" t="str">
            <v>CUSTOMER INSTALLATIO</v>
          </cell>
          <cell r="C400">
            <v>0</v>
          </cell>
          <cell r="D400">
            <v>7276.54</v>
          </cell>
          <cell r="E400">
            <v>11801.75</v>
          </cell>
          <cell r="F400">
            <v>7886.68</v>
          </cell>
          <cell r="G400">
            <v>24959.19</v>
          </cell>
          <cell r="H400">
            <v>44564.9</v>
          </cell>
          <cell r="I400">
            <v>33701.769999999997</v>
          </cell>
          <cell r="J400">
            <v>22894.959999999999</v>
          </cell>
          <cell r="K400">
            <v>24081.97</v>
          </cell>
          <cell r="L400">
            <v>23346.97</v>
          </cell>
          <cell r="M400">
            <v>15621.97</v>
          </cell>
          <cell r="N400">
            <v>3391.25</v>
          </cell>
          <cell r="O400">
            <v>4925.29</v>
          </cell>
          <cell r="P400">
            <v>224453.24</v>
          </cell>
          <cell r="Q400">
            <v>224453.24</v>
          </cell>
        </row>
        <row r="401">
          <cell r="A401" t="str">
            <v>F87950G</v>
          </cell>
          <cell r="B401" t="str">
            <v>CUSTOMER INSTALLATIO</v>
          </cell>
          <cell r="C401">
            <v>0</v>
          </cell>
          <cell r="D401">
            <v>33437.82</v>
          </cell>
          <cell r="E401">
            <v>22871.58</v>
          </cell>
          <cell r="F401">
            <v>5935.75</v>
          </cell>
          <cell r="G401">
            <v>2708.33</v>
          </cell>
          <cell r="H401">
            <v>1585.98</v>
          </cell>
          <cell r="I401">
            <v>755.83</v>
          </cell>
          <cell r="J401">
            <v>884.56</v>
          </cell>
          <cell r="K401">
            <v>2049.09</v>
          </cell>
          <cell r="L401">
            <v>25275.61</v>
          </cell>
          <cell r="M401">
            <v>222097.47</v>
          </cell>
          <cell r="N401">
            <v>280699.01</v>
          </cell>
          <cell r="O401">
            <v>76436.100000000006</v>
          </cell>
          <cell r="P401">
            <v>674737.13</v>
          </cell>
          <cell r="Q401">
            <v>674737.13</v>
          </cell>
        </row>
        <row r="402">
          <cell r="A402" t="str">
            <v>F88000G</v>
          </cell>
          <cell r="B402" t="str">
            <v>OTHER EXPENSES</v>
          </cell>
          <cell r="C402">
            <v>0</v>
          </cell>
          <cell r="D402">
            <v>110458.22</v>
          </cell>
          <cell r="E402">
            <v>212428.77</v>
          </cell>
          <cell r="F402">
            <v>167586.12</v>
          </cell>
          <cell r="G402">
            <v>176979.95</v>
          </cell>
          <cell r="H402">
            <v>270760.44</v>
          </cell>
          <cell r="I402">
            <v>140099.65</v>
          </cell>
          <cell r="J402">
            <v>152126.73000000001</v>
          </cell>
          <cell r="K402">
            <v>233789.79</v>
          </cell>
          <cell r="L402">
            <v>175784.5</v>
          </cell>
          <cell r="M402">
            <v>199829.58</v>
          </cell>
          <cell r="N402">
            <v>114916.74</v>
          </cell>
          <cell r="O402">
            <v>95642.34</v>
          </cell>
          <cell r="P402">
            <v>2050402.83</v>
          </cell>
          <cell r="Q402">
            <v>2050402.83</v>
          </cell>
        </row>
        <row r="403">
          <cell r="A403" t="str">
            <v>F88010G</v>
          </cell>
          <cell r="B403" t="str">
            <v>MTGS/TRAINING/ETC</v>
          </cell>
          <cell r="C403">
            <v>0</v>
          </cell>
          <cell r="D403">
            <v>30776.04</v>
          </cell>
          <cell r="E403">
            <v>39002.230000000003</v>
          </cell>
          <cell r="F403">
            <v>28883.27</v>
          </cell>
          <cell r="G403">
            <v>28857.49</v>
          </cell>
          <cell r="H403">
            <v>32859.42</v>
          </cell>
          <cell r="I403">
            <v>22043.43</v>
          </cell>
          <cell r="J403">
            <v>25656.37</v>
          </cell>
          <cell r="K403">
            <v>41904.75</v>
          </cell>
          <cell r="L403">
            <v>42291.77</v>
          </cell>
          <cell r="M403">
            <v>36808.99</v>
          </cell>
          <cell r="N403">
            <v>74747.289999999994</v>
          </cell>
          <cell r="O403">
            <v>76625.38</v>
          </cell>
          <cell r="P403">
            <v>480456.43</v>
          </cell>
          <cell r="Q403">
            <v>480456.43</v>
          </cell>
        </row>
        <row r="404">
          <cell r="A404" t="str">
            <v>F88030G</v>
          </cell>
          <cell r="B404" t="str">
            <v>DISPATH OFFICE</v>
          </cell>
          <cell r="C404">
            <v>0</v>
          </cell>
          <cell r="D404">
            <v>29108.35</v>
          </cell>
          <cell r="E404">
            <v>8978.58</v>
          </cell>
          <cell r="F404">
            <v>6913.21</v>
          </cell>
          <cell r="G404">
            <v>1959.81</v>
          </cell>
          <cell r="H404">
            <v>-197.27</v>
          </cell>
          <cell r="I404">
            <v>1695.39</v>
          </cell>
          <cell r="J404">
            <v>3395.43</v>
          </cell>
          <cell r="K404">
            <v>16253.95</v>
          </cell>
          <cell r="L404">
            <v>6642.87</v>
          </cell>
          <cell r="M404">
            <v>11262.58</v>
          </cell>
          <cell r="N404">
            <v>4401.9399999999996</v>
          </cell>
          <cell r="O404">
            <v>20876.580000000002</v>
          </cell>
          <cell r="P404">
            <v>111291.42</v>
          </cell>
          <cell r="Q404">
            <v>111291.42</v>
          </cell>
        </row>
        <row r="405">
          <cell r="A405" t="str">
            <v>F88040G</v>
          </cell>
          <cell r="B405" t="str">
            <v>TECH OFFICE/DOCS /MISC. OPER. EXP.</v>
          </cell>
          <cell r="C405">
            <v>0</v>
          </cell>
          <cell r="D405">
            <v>230.65</v>
          </cell>
          <cell r="E405">
            <v>687.08</v>
          </cell>
          <cell r="F405">
            <v>1185.07</v>
          </cell>
          <cell r="G405">
            <v>318.70999999999998</v>
          </cell>
          <cell r="H405">
            <v>242.99</v>
          </cell>
          <cell r="I405">
            <v>567.58000000000004</v>
          </cell>
          <cell r="J405">
            <v>177.29</v>
          </cell>
          <cell r="K405">
            <v>867.67</v>
          </cell>
          <cell r="L405">
            <v>0</v>
          </cell>
          <cell r="M405">
            <v>2309.2199999999998</v>
          </cell>
          <cell r="N405">
            <v>219.76</v>
          </cell>
          <cell r="O405">
            <v>243.5</v>
          </cell>
          <cell r="P405">
            <v>7049.52</v>
          </cell>
          <cell r="Q405">
            <v>7049.52</v>
          </cell>
        </row>
        <row r="406">
          <cell r="A406" t="str">
            <v>F88100G</v>
          </cell>
          <cell r="B406" t="str">
            <v>RENTS</v>
          </cell>
          <cell r="C406">
            <v>0</v>
          </cell>
          <cell r="D406">
            <v>243.18</v>
          </cell>
          <cell r="E406">
            <v>0</v>
          </cell>
          <cell r="F406">
            <v>1106</v>
          </cell>
          <cell r="G406">
            <v>400</v>
          </cell>
          <cell r="H406">
            <v>0</v>
          </cell>
          <cell r="I406">
            <v>0</v>
          </cell>
          <cell r="J406">
            <v>100</v>
          </cell>
          <cell r="K406">
            <v>0</v>
          </cell>
          <cell r="L406">
            <v>600</v>
          </cell>
          <cell r="M406">
            <v>1744</v>
          </cell>
          <cell r="N406">
            <v>10324</v>
          </cell>
          <cell r="O406">
            <v>0</v>
          </cell>
          <cell r="P406">
            <v>14517.18</v>
          </cell>
          <cell r="Q406">
            <v>14517.18</v>
          </cell>
        </row>
        <row r="407">
          <cell r="A407" t="str">
            <v>F88500G</v>
          </cell>
          <cell r="B407" t="str">
            <v>MAINTENANCE SUPERVISION AND ENGINEERING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1388.8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1388.8</v>
          </cell>
          <cell r="Q407">
            <v>1388.8</v>
          </cell>
        </row>
        <row r="408">
          <cell r="A408" t="str">
            <v>F88510G</v>
          </cell>
          <cell r="B408" t="str">
            <v>MAINT SUPERVISION AN</v>
          </cell>
          <cell r="C408">
            <v>0</v>
          </cell>
          <cell r="D408">
            <v>2709.99</v>
          </cell>
          <cell r="E408">
            <v>3238.41</v>
          </cell>
          <cell r="F408">
            <v>2438.2199999999998</v>
          </cell>
          <cell r="G408">
            <v>3307.98</v>
          </cell>
          <cell r="H408">
            <v>3389.48</v>
          </cell>
          <cell r="I408">
            <v>2773.4</v>
          </cell>
          <cell r="J408">
            <v>2117.66</v>
          </cell>
          <cell r="K408">
            <v>3179.78</v>
          </cell>
          <cell r="L408">
            <v>2688.36</v>
          </cell>
          <cell r="M408">
            <v>5474.65</v>
          </cell>
          <cell r="N408">
            <v>4462.38</v>
          </cell>
          <cell r="O408">
            <v>6063.31</v>
          </cell>
          <cell r="P408">
            <v>41843.619999999995</v>
          </cell>
          <cell r="Q408">
            <v>41843.619999999995</v>
          </cell>
        </row>
        <row r="409">
          <cell r="A409" t="str">
            <v>F88520G</v>
          </cell>
          <cell r="B409" t="str">
            <v>MAINT SUPERVISION AN</v>
          </cell>
          <cell r="C409">
            <v>0</v>
          </cell>
          <cell r="D409">
            <v>2414.4</v>
          </cell>
          <cell r="E409">
            <v>2979.8</v>
          </cell>
          <cell r="F409">
            <v>2340.58</v>
          </cell>
          <cell r="G409">
            <v>2658.03</v>
          </cell>
          <cell r="H409">
            <v>3612.7</v>
          </cell>
          <cell r="I409">
            <v>2385.14</v>
          </cell>
          <cell r="J409">
            <v>2358.41</v>
          </cell>
          <cell r="K409">
            <v>3118.89</v>
          </cell>
          <cell r="L409">
            <v>1767.24</v>
          </cell>
          <cell r="M409">
            <v>2481.5</v>
          </cell>
          <cell r="N409">
            <v>1860.84</v>
          </cell>
          <cell r="O409">
            <v>2137.41</v>
          </cell>
          <cell r="P409">
            <v>30114.940000000002</v>
          </cell>
          <cell r="Q409">
            <v>30114.940000000002</v>
          </cell>
        </row>
        <row r="410">
          <cell r="A410" t="str">
            <v>F88700G</v>
          </cell>
          <cell r="B410" t="str">
            <v>MAINTENANCE OF MAINS</v>
          </cell>
          <cell r="C410">
            <v>0</v>
          </cell>
          <cell r="D410">
            <v>26950.45</v>
          </cell>
          <cell r="E410">
            <v>20246.75</v>
          </cell>
          <cell r="F410">
            <v>5089.3100000000004</v>
          </cell>
          <cell r="G410">
            <v>15766.71</v>
          </cell>
          <cell r="H410">
            <v>4087.89</v>
          </cell>
          <cell r="I410">
            <v>16181.75</v>
          </cell>
          <cell r="J410">
            <v>1512.02</v>
          </cell>
          <cell r="K410">
            <v>60402.17</v>
          </cell>
          <cell r="L410">
            <v>27662.3</v>
          </cell>
          <cell r="M410">
            <v>25851.439999999999</v>
          </cell>
          <cell r="N410">
            <v>46352.85</v>
          </cell>
          <cell r="O410">
            <v>27203.5</v>
          </cell>
          <cell r="P410">
            <v>277307.14</v>
          </cell>
          <cell r="Q410">
            <v>277307.14</v>
          </cell>
        </row>
        <row r="411">
          <cell r="A411" t="str">
            <v>F88710G</v>
          </cell>
          <cell r="B411" t="str">
            <v>CPM IMPRESSED CURRENT</v>
          </cell>
          <cell r="C411">
            <v>0</v>
          </cell>
          <cell r="D411">
            <v>4628.66</v>
          </cell>
          <cell r="E411">
            <v>20684.54</v>
          </cell>
          <cell r="F411">
            <v>11110.09</v>
          </cell>
          <cell r="G411">
            <v>10988.26</v>
          </cell>
          <cell r="H411">
            <v>34752.14</v>
          </cell>
          <cell r="I411">
            <v>14217.87</v>
          </cell>
          <cell r="J411">
            <v>-2956.29</v>
          </cell>
          <cell r="K411">
            <v>11435.41</v>
          </cell>
          <cell r="L411">
            <v>14044.3</v>
          </cell>
          <cell r="M411">
            <v>40492.239999999998</v>
          </cell>
          <cell r="N411">
            <v>11603</v>
          </cell>
          <cell r="O411">
            <v>5488.58</v>
          </cell>
          <cell r="P411">
            <v>176488.8</v>
          </cell>
          <cell r="Q411">
            <v>176488.8</v>
          </cell>
        </row>
        <row r="412">
          <cell r="A412" t="str">
            <v>F88720G</v>
          </cell>
          <cell r="B412" t="str">
            <v>CPM MAGNESUIM</v>
          </cell>
          <cell r="C412">
            <v>0</v>
          </cell>
          <cell r="D412">
            <v>42578.37</v>
          </cell>
          <cell r="E412">
            <v>25732.16</v>
          </cell>
          <cell r="F412">
            <v>34960.21</v>
          </cell>
          <cell r="G412">
            <v>36486.65</v>
          </cell>
          <cell r="H412">
            <v>73176.91</v>
          </cell>
          <cell r="I412">
            <v>42887.87</v>
          </cell>
          <cell r="J412">
            <v>36998.32</v>
          </cell>
          <cell r="K412">
            <v>41018.31</v>
          </cell>
          <cell r="L412">
            <v>42597.84</v>
          </cell>
          <cell r="M412">
            <v>40718.519999999997</v>
          </cell>
          <cell r="N412">
            <v>41996.67</v>
          </cell>
          <cell r="O412">
            <v>20161.400000000001</v>
          </cell>
          <cell r="P412">
            <v>479313.23000000004</v>
          </cell>
          <cell r="Q412">
            <v>479313.23000000004</v>
          </cell>
        </row>
        <row r="413">
          <cell r="A413" t="str">
            <v>F88730G</v>
          </cell>
          <cell r="B413" t="str">
            <v>CPM 10% CP INSPECTION</v>
          </cell>
          <cell r="C413">
            <v>0</v>
          </cell>
          <cell r="D413">
            <v>43046.33</v>
          </cell>
          <cell r="E413">
            <v>-15869.89</v>
          </cell>
          <cell r="F413">
            <v>-1584.36</v>
          </cell>
          <cell r="G413">
            <v>70937.72</v>
          </cell>
          <cell r="H413">
            <v>64091.62</v>
          </cell>
          <cell r="I413">
            <v>51188.54</v>
          </cell>
          <cell r="J413">
            <v>51585.54</v>
          </cell>
          <cell r="K413">
            <v>58810.87</v>
          </cell>
          <cell r="L413">
            <v>55335</v>
          </cell>
          <cell r="M413">
            <v>74961.649999999994</v>
          </cell>
          <cell r="N413">
            <v>51371.75</v>
          </cell>
          <cell r="O413">
            <v>89498.2</v>
          </cell>
          <cell r="P413">
            <v>593372.97</v>
          </cell>
          <cell r="Q413">
            <v>593372.97</v>
          </cell>
        </row>
        <row r="414">
          <cell r="A414" t="str">
            <v>F88740G</v>
          </cell>
          <cell r="B414" t="str">
            <v>MAINT OF MAINS</v>
          </cell>
          <cell r="C414">
            <v>0</v>
          </cell>
          <cell r="D414">
            <v>1832.7</v>
          </cell>
          <cell r="E414">
            <v>1632.31</v>
          </cell>
          <cell r="F414">
            <v>6130.2</v>
          </cell>
          <cell r="G414">
            <v>15724.66</v>
          </cell>
          <cell r="H414">
            <v>18952.37</v>
          </cell>
          <cell r="I414">
            <v>18294.419999999998</v>
          </cell>
          <cell r="J414">
            <v>15559.86</v>
          </cell>
          <cell r="K414">
            <v>22154.19</v>
          </cell>
          <cell r="L414">
            <v>12090.08</v>
          </cell>
          <cell r="M414">
            <v>20663.64</v>
          </cell>
          <cell r="N414">
            <v>17380.38</v>
          </cell>
          <cell r="O414">
            <v>18929.810000000001</v>
          </cell>
          <cell r="P414">
            <v>169344.62</v>
          </cell>
          <cell r="Q414">
            <v>169344.62</v>
          </cell>
        </row>
        <row r="415">
          <cell r="A415" t="str">
            <v>F88900G</v>
          </cell>
          <cell r="B415" t="str">
            <v>MAINTENANCE OF MEAS. AND REG. STA. EQUI</v>
          </cell>
          <cell r="C415">
            <v>0</v>
          </cell>
          <cell r="D415">
            <v>1683.82</v>
          </cell>
          <cell r="E415">
            <v>1813.41</v>
          </cell>
          <cell r="F415">
            <v>2890.66</v>
          </cell>
          <cell r="G415">
            <v>1452.84</v>
          </cell>
          <cell r="H415">
            <v>3874.39</v>
          </cell>
          <cell r="I415">
            <v>6442.18</v>
          </cell>
          <cell r="J415">
            <v>3342.28</v>
          </cell>
          <cell r="K415">
            <v>3613.91</v>
          </cell>
          <cell r="L415">
            <v>1976.2</v>
          </cell>
          <cell r="M415">
            <v>2674.93</v>
          </cell>
          <cell r="N415">
            <v>3005.75</v>
          </cell>
          <cell r="O415">
            <v>3601.53</v>
          </cell>
          <cell r="P415">
            <v>36371.899999999994</v>
          </cell>
          <cell r="Q415">
            <v>36371.899999999994</v>
          </cell>
        </row>
        <row r="416">
          <cell r="A416" t="str">
            <v>F89200G</v>
          </cell>
          <cell r="B416" t="str">
            <v>MAINTENANCE OF SERVICES</v>
          </cell>
          <cell r="C416">
            <v>0</v>
          </cell>
          <cell r="D416">
            <v>38420.28</v>
          </cell>
          <cell r="E416">
            <v>32066.7</v>
          </cell>
          <cell r="F416">
            <v>28964.11</v>
          </cell>
          <cell r="G416">
            <v>21762.75</v>
          </cell>
          <cell r="H416">
            <v>94809.78</v>
          </cell>
          <cell r="I416">
            <v>18405.400000000001</v>
          </cell>
          <cell r="J416">
            <v>42431.26</v>
          </cell>
          <cell r="K416">
            <v>30100.02</v>
          </cell>
          <cell r="L416">
            <v>31198.51</v>
          </cell>
          <cell r="M416">
            <v>50364.93</v>
          </cell>
          <cell r="N416">
            <v>27400.11</v>
          </cell>
          <cell r="O416">
            <v>20103.490000000002</v>
          </cell>
          <cell r="P416">
            <v>436027.33999999997</v>
          </cell>
          <cell r="Q416">
            <v>436027.33999999997</v>
          </cell>
        </row>
        <row r="417">
          <cell r="A417" t="str">
            <v>F89210G</v>
          </cell>
          <cell r="B417" t="str">
            <v>MAINT OF SERVICES</v>
          </cell>
          <cell r="C417">
            <v>0</v>
          </cell>
          <cell r="D417">
            <v>5683.53</v>
          </cell>
          <cell r="E417">
            <v>5392.61</v>
          </cell>
          <cell r="F417">
            <v>3651.47</v>
          </cell>
          <cell r="G417">
            <v>4017.43</v>
          </cell>
          <cell r="H417">
            <v>-1544.51</v>
          </cell>
          <cell r="I417">
            <v>1797.9</v>
          </cell>
          <cell r="J417">
            <v>1621.48</v>
          </cell>
          <cell r="K417">
            <v>2955.89</v>
          </cell>
          <cell r="L417">
            <v>1968.09</v>
          </cell>
          <cell r="M417">
            <v>3989.89</v>
          </cell>
          <cell r="N417">
            <v>2782.11</v>
          </cell>
          <cell r="O417">
            <v>715.84</v>
          </cell>
          <cell r="P417">
            <v>33031.729999999996</v>
          </cell>
          <cell r="Q417">
            <v>33031.729999999996</v>
          </cell>
        </row>
        <row r="418">
          <cell r="A418" t="str">
            <v>F89220G</v>
          </cell>
          <cell r="B418" t="str">
            <v>MAINT OF SERVICES</v>
          </cell>
          <cell r="C418">
            <v>0</v>
          </cell>
          <cell r="D418">
            <v>2363.29</v>
          </cell>
          <cell r="E418">
            <v>-121.17</v>
          </cell>
          <cell r="F418">
            <v>192.99</v>
          </cell>
          <cell r="G418">
            <v>1092.53</v>
          </cell>
          <cell r="H418">
            <v>713.32</v>
          </cell>
          <cell r="I418">
            <v>0</v>
          </cell>
          <cell r="J418">
            <v>65.03</v>
          </cell>
          <cell r="K418">
            <v>123.11</v>
          </cell>
          <cell r="L418">
            <v>767.6</v>
          </cell>
          <cell r="M418">
            <v>0</v>
          </cell>
          <cell r="N418">
            <v>189.94</v>
          </cell>
          <cell r="O418">
            <v>0</v>
          </cell>
          <cell r="P418">
            <v>5386.6399999999985</v>
          </cell>
          <cell r="Q418">
            <v>5386.6399999999985</v>
          </cell>
        </row>
        <row r="419">
          <cell r="A419" t="str">
            <v>F89230G</v>
          </cell>
          <cell r="B419" t="str">
            <v>MAINT OF SERVICES</v>
          </cell>
          <cell r="C419">
            <v>0</v>
          </cell>
          <cell r="D419">
            <v>5581.91</v>
          </cell>
          <cell r="E419">
            <v>4322.25</v>
          </cell>
          <cell r="F419">
            <v>2438.98</v>
          </cell>
          <cell r="G419">
            <v>869.81</v>
          </cell>
          <cell r="H419">
            <v>6237.05</v>
          </cell>
          <cell r="I419">
            <v>2608.64</v>
          </cell>
          <cell r="J419">
            <v>4386.97</v>
          </cell>
          <cell r="K419">
            <v>6368.62</v>
          </cell>
          <cell r="L419">
            <v>3932.81</v>
          </cell>
          <cell r="M419">
            <v>4098.9799999999996</v>
          </cell>
          <cell r="N419">
            <v>4242.26</v>
          </cell>
          <cell r="O419">
            <v>6290.37</v>
          </cell>
          <cell r="P419">
            <v>51378.650000000009</v>
          </cell>
          <cell r="Q419">
            <v>51378.650000000009</v>
          </cell>
        </row>
        <row r="420">
          <cell r="A420" t="str">
            <v>F89300G</v>
          </cell>
          <cell r="B420" t="str">
            <v>MAINTENANCE OF METERS AND HOUSE REGULAT</v>
          </cell>
          <cell r="C420">
            <v>0</v>
          </cell>
          <cell r="D420">
            <v>20257.97</v>
          </cell>
          <cell r="E420">
            <v>4490.05</v>
          </cell>
          <cell r="F420">
            <v>38591.279999999999</v>
          </cell>
          <cell r="G420">
            <v>8148.56</v>
          </cell>
          <cell r="H420">
            <v>21159.93</v>
          </cell>
          <cell r="I420">
            <v>58619.25</v>
          </cell>
          <cell r="J420">
            <v>1268.52</v>
          </cell>
          <cell r="K420">
            <v>19696.34</v>
          </cell>
          <cell r="L420">
            <v>27937.69</v>
          </cell>
          <cell r="M420">
            <v>30598.35</v>
          </cell>
          <cell r="N420">
            <v>1740.66</v>
          </cell>
          <cell r="O420">
            <v>31606.54</v>
          </cell>
          <cell r="P420">
            <v>264115.14</v>
          </cell>
          <cell r="Q420">
            <v>264115.14</v>
          </cell>
        </row>
        <row r="421">
          <cell r="A421" t="str">
            <v>F89310G</v>
          </cell>
          <cell r="B421" t="str">
            <v>MAINT OF METERS AND</v>
          </cell>
          <cell r="C421">
            <v>0</v>
          </cell>
          <cell r="D421">
            <v>15579.27</v>
          </cell>
          <cell r="E421">
            <v>16309.93</v>
          </cell>
          <cell r="F421">
            <v>10651.24</v>
          </cell>
          <cell r="G421">
            <v>10732.38</v>
          </cell>
          <cell r="H421">
            <v>21465.13</v>
          </cell>
          <cell r="I421">
            <v>12254.65</v>
          </cell>
          <cell r="J421">
            <v>11876</v>
          </cell>
          <cell r="K421">
            <v>10204.799999999999</v>
          </cell>
          <cell r="L421">
            <v>9808.23</v>
          </cell>
          <cell r="M421">
            <v>7465.48</v>
          </cell>
          <cell r="N421">
            <v>7083.61</v>
          </cell>
          <cell r="O421">
            <v>16720.34</v>
          </cell>
          <cell r="P421">
            <v>150151.05999999997</v>
          </cell>
          <cell r="Q421">
            <v>150151.05999999997</v>
          </cell>
        </row>
        <row r="422">
          <cell r="A422" t="str">
            <v>F89320G</v>
          </cell>
          <cell r="B422" t="str">
            <v>MAINT OF METERS AND</v>
          </cell>
          <cell r="C422">
            <v>0</v>
          </cell>
          <cell r="D422">
            <v>16308.28</v>
          </cell>
          <cell r="E422">
            <v>30203.88</v>
          </cell>
          <cell r="F422">
            <v>23052.59</v>
          </cell>
          <cell r="G422">
            <v>20017.939999999999</v>
          </cell>
          <cell r="H422">
            <v>32874.18</v>
          </cell>
          <cell r="I422">
            <v>18657.810000000001</v>
          </cell>
          <cell r="J422">
            <v>32603.56</v>
          </cell>
          <cell r="K422">
            <v>28478.51</v>
          </cell>
          <cell r="L422">
            <v>27577.9</v>
          </cell>
          <cell r="M422">
            <v>41500.51</v>
          </cell>
          <cell r="N422">
            <v>31234.16</v>
          </cell>
          <cell r="O422">
            <v>30283.86</v>
          </cell>
          <cell r="P422">
            <v>332793.17999999993</v>
          </cell>
          <cell r="Q422">
            <v>332793.17999999993</v>
          </cell>
        </row>
        <row r="423">
          <cell r="A423" t="str">
            <v>F89400G</v>
          </cell>
          <cell r="B423" t="str">
            <v>MAINTENANCE OF OTHER EQUIPMENT</v>
          </cell>
          <cell r="C423">
            <v>0</v>
          </cell>
          <cell r="D423">
            <v>52561.47</v>
          </cell>
          <cell r="E423">
            <v>61936.67</v>
          </cell>
          <cell r="F423">
            <v>38866.910000000003</v>
          </cell>
          <cell r="G423">
            <v>41677.21</v>
          </cell>
          <cell r="H423">
            <v>91648.9</v>
          </cell>
          <cell r="I423">
            <v>58084.61</v>
          </cell>
          <cell r="J423">
            <v>50113.59</v>
          </cell>
          <cell r="K423">
            <v>62596.19</v>
          </cell>
          <cell r="L423">
            <v>47657.03</v>
          </cell>
          <cell r="M423">
            <v>69695.44</v>
          </cell>
          <cell r="N423">
            <v>51695.3</v>
          </cell>
          <cell r="O423">
            <v>81263.67</v>
          </cell>
          <cell r="P423">
            <v>707796.99000000011</v>
          </cell>
          <cell r="Q423">
            <v>707796.99000000011</v>
          </cell>
        </row>
        <row r="424">
          <cell r="A424" t="str">
            <v>F90100E</v>
          </cell>
          <cell r="B424" t="str">
            <v>SUPERVISION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2825.57</v>
          </cell>
          <cell r="M424">
            <v>0</v>
          </cell>
          <cell r="N424">
            <v>0</v>
          </cell>
          <cell r="O424">
            <v>0</v>
          </cell>
          <cell r="P424">
            <v>2825.57</v>
          </cell>
          <cell r="Q424">
            <v>2825.57</v>
          </cell>
        </row>
        <row r="425">
          <cell r="A425" t="str">
            <v>F90100G</v>
          </cell>
          <cell r="B425" t="str">
            <v>SUPERVISION</v>
          </cell>
          <cell r="C425">
            <v>0</v>
          </cell>
          <cell r="D425">
            <v>0</v>
          </cell>
          <cell r="E425">
            <v>0</v>
          </cell>
          <cell r="F425">
            <v>584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1510.99</v>
          </cell>
          <cell r="M425">
            <v>0</v>
          </cell>
          <cell r="N425">
            <v>0</v>
          </cell>
          <cell r="O425">
            <v>0</v>
          </cell>
          <cell r="P425">
            <v>2094.9899999999998</v>
          </cell>
          <cell r="Q425">
            <v>2094.9899999999998</v>
          </cell>
        </row>
        <row r="426">
          <cell r="A426" t="str">
            <v>F90200E</v>
          </cell>
          <cell r="B426" t="str">
            <v>METER READING EXPENSES</v>
          </cell>
          <cell r="C426">
            <v>0</v>
          </cell>
          <cell r="D426">
            <v>408634.77</v>
          </cell>
          <cell r="E426">
            <v>479046.1</v>
          </cell>
          <cell r="F426">
            <v>211651.08</v>
          </cell>
          <cell r="G426">
            <v>452730.08</v>
          </cell>
          <cell r="H426">
            <v>466589.06</v>
          </cell>
          <cell r="I426">
            <v>382201.73</v>
          </cell>
          <cell r="J426">
            <v>388746.35</v>
          </cell>
          <cell r="K426">
            <v>577245.77</v>
          </cell>
          <cell r="L426">
            <v>468236.5</v>
          </cell>
          <cell r="M426">
            <v>626229.88</v>
          </cell>
          <cell r="N426">
            <v>380365.28</v>
          </cell>
          <cell r="O426">
            <v>536472.88</v>
          </cell>
          <cell r="P426">
            <v>5378149.4800000004</v>
          </cell>
          <cell r="Q426">
            <v>5378149.4800000004</v>
          </cell>
        </row>
        <row r="427">
          <cell r="A427" t="str">
            <v>F90200G</v>
          </cell>
          <cell r="B427" t="str">
            <v>METER READING EXPENSES</v>
          </cell>
          <cell r="C427">
            <v>0</v>
          </cell>
          <cell r="D427">
            <v>217526.19</v>
          </cell>
          <cell r="E427">
            <v>255974.07</v>
          </cell>
          <cell r="F427">
            <v>123174.2</v>
          </cell>
          <cell r="G427">
            <v>242260.77</v>
          </cell>
          <cell r="H427">
            <v>249480.5</v>
          </cell>
          <cell r="I427">
            <v>204303.57</v>
          </cell>
          <cell r="J427">
            <v>207881.43</v>
          </cell>
          <cell r="K427">
            <v>308665.58</v>
          </cell>
          <cell r="L427">
            <v>250489.26</v>
          </cell>
          <cell r="M427">
            <v>334555.09000000003</v>
          </cell>
          <cell r="N427">
            <v>203530.18</v>
          </cell>
          <cell r="O427">
            <v>286925.86</v>
          </cell>
          <cell r="P427">
            <v>2884766.7</v>
          </cell>
          <cell r="Q427">
            <v>2884766.7</v>
          </cell>
        </row>
        <row r="428">
          <cell r="A428" t="str">
            <v>F90210E</v>
          </cell>
          <cell r="B428" t="str">
            <v>METER READING EXPENSES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1122.18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1122.18</v>
          </cell>
          <cell r="Q428">
            <v>1122.18</v>
          </cell>
        </row>
        <row r="429">
          <cell r="A429" t="str">
            <v>F90210G</v>
          </cell>
          <cell r="B429" t="str">
            <v>METER READING EXPENSES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600.05999999999995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600.05999999999995</v>
          </cell>
          <cell r="Q429">
            <v>600.05999999999995</v>
          </cell>
        </row>
        <row r="430">
          <cell r="A430" t="str">
            <v>F90300E</v>
          </cell>
          <cell r="B430" t="str">
            <v>CUSTOMER RECORDS AND COLLECTION EXPENSE</v>
          </cell>
          <cell r="C430">
            <v>0</v>
          </cell>
          <cell r="D430">
            <v>609234.31999999995</v>
          </cell>
          <cell r="E430">
            <v>778753.04</v>
          </cell>
          <cell r="F430">
            <v>939627.51</v>
          </cell>
          <cell r="G430">
            <v>798860</v>
          </cell>
          <cell r="H430">
            <v>800111.4</v>
          </cell>
          <cell r="I430">
            <v>1169331.51</v>
          </cell>
          <cell r="J430">
            <v>1202073.01</v>
          </cell>
          <cell r="K430">
            <v>1272898.8600000001</v>
          </cell>
          <cell r="L430">
            <v>1678681.61</v>
          </cell>
          <cell r="M430">
            <v>1419166.88</v>
          </cell>
          <cell r="N430">
            <v>890489.73</v>
          </cell>
          <cell r="O430">
            <v>1788732.69</v>
          </cell>
          <cell r="P430">
            <v>13347960.560000001</v>
          </cell>
          <cell r="Q430">
            <v>13347960.560000001</v>
          </cell>
        </row>
        <row r="431">
          <cell r="A431" t="str">
            <v>F90300G</v>
          </cell>
          <cell r="B431" t="str">
            <v>CUSTOMER RECORDS AND COLLECTION EXPENSE</v>
          </cell>
          <cell r="C431">
            <v>0</v>
          </cell>
          <cell r="D431">
            <v>268257.19</v>
          </cell>
          <cell r="E431">
            <v>364782.83</v>
          </cell>
          <cell r="F431">
            <v>460160.65</v>
          </cell>
          <cell r="G431">
            <v>368108.85</v>
          </cell>
          <cell r="H431">
            <v>371234.17</v>
          </cell>
          <cell r="I431">
            <v>569187.73</v>
          </cell>
          <cell r="J431">
            <v>539783.74</v>
          </cell>
          <cell r="K431">
            <v>527609.18999999994</v>
          </cell>
          <cell r="L431">
            <v>569012.88</v>
          </cell>
          <cell r="M431">
            <v>586382.6</v>
          </cell>
          <cell r="N431">
            <v>401266.02</v>
          </cell>
          <cell r="O431">
            <v>790961.73</v>
          </cell>
          <cell r="P431">
            <v>5816747.5800000001</v>
          </cell>
          <cell r="Q431">
            <v>5816747.5800000001</v>
          </cell>
        </row>
        <row r="432">
          <cell r="A432" t="str">
            <v>F90310E</v>
          </cell>
          <cell r="B432" t="str">
            <v>CUSTOMER RECORDS AND</v>
          </cell>
          <cell r="C432">
            <v>0</v>
          </cell>
          <cell r="D432">
            <v>683920.47</v>
          </cell>
          <cell r="E432">
            <v>888951.67</v>
          </cell>
          <cell r="F432">
            <v>707997.22</v>
          </cell>
          <cell r="G432">
            <v>606264.43000000005</v>
          </cell>
          <cell r="H432">
            <v>826575.81</v>
          </cell>
          <cell r="I432">
            <v>616514.57999999996</v>
          </cell>
          <cell r="J432">
            <v>701714.91</v>
          </cell>
          <cell r="K432">
            <v>996106.92</v>
          </cell>
          <cell r="L432">
            <v>843387.29</v>
          </cell>
          <cell r="M432">
            <v>1052185.17</v>
          </cell>
          <cell r="N432">
            <v>813265.24</v>
          </cell>
          <cell r="O432">
            <v>786806.92</v>
          </cell>
          <cell r="P432">
            <v>9523690.6300000008</v>
          </cell>
          <cell r="Q432">
            <v>9523690.6300000008</v>
          </cell>
        </row>
        <row r="433">
          <cell r="A433" t="str">
            <v>F90310G</v>
          </cell>
          <cell r="B433" t="str">
            <v>CUSTOMER RECORDS AND</v>
          </cell>
          <cell r="C433">
            <v>0</v>
          </cell>
          <cell r="D433">
            <v>363182.05</v>
          </cell>
          <cell r="E433">
            <v>465646.77</v>
          </cell>
          <cell r="F433">
            <v>370973.55</v>
          </cell>
          <cell r="G433">
            <v>318751.56</v>
          </cell>
          <cell r="H433">
            <v>434595.49</v>
          </cell>
          <cell r="I433">
            <v>324695.92</v>
          </cell>
          <cell r="J433">
            <v>370340.17</v>
          </cell>
          <cell r="K433">
            <v>526055.49</v>
          </cell>
          <cell r="L433">
            <v>445425.63</v>
          </cell>
          <cell r="M433">
            <v>552931.75</v>
          </cell>
          <cell r="N433">
            <v>433764.9</v>
          </cell>
          <cell r="O433">
            <v>416266.16</v>
          </cell>
          <cell r="P433">
            <v>5022629.4400000004</v>
          </cell>
          <cell r="Q433">
            <v>5022629.4400000004</v>
          </cell>
        </row>
        <row r="434">
          <cell r="A434" t="str">
            <v>F90320E</v>
          </cell>
          <cell r="B434" t="str">
            <v>CUSTOMER RECORDS AND</v>
          </cell>
          <cell r="C434">
            <v>0</v>
          </cell>
          <cell r="D434">
            <v>8317.89</v>
          </cell>
          <cell r="E434">
            <v>6683.61</v>
          </cell>
          <cell r="F434">
            <v>5556.65</v>
          </cell>
          <cell r="G434">
            <v>5398.66</v>
          </cell>
          <cell r="H434">
            <v>7009.22</v>
          </cell>
          <cell r="I434">
            <v>4755.66</v>
          </cell>
          <cell r="J434">
            <v>5454.65</v>
          </cell>
          <cell r="K434">
            <v>6300.21</v>
          </cell>
          <cell r="L434">
            <v>5326.02</v>
          </cell>
          <cell r="M434">
            <v>6627.83</v>
          </cell>
          <cell r="N434">
            <v>5347.64</v>
          </cell>
          <cell r="O434">
            <v>6163.42</v>
          </cell>
          <cell r="P434">
            <v>72941.460000000006</v>
          </cell>
          <cell r="Q434">
            <v>72941.460000000006</v>
          </cell>
        </row>
        <row r="435">
          <cell r="A435" t="str">
            <v>F90320G</v>
          </cell>
          <cell r="B435" t="str">
            <v>CUSTOMER RECORDS AND</v>
          </cell>
          <cell r="C435">
            <v>0</v>
          </cell>
          <cell r="D435">
            <v>4451.8599999999997</v>
          </cell>
          <cell r="E435">
            <v>3572.72</v>
          </cell>
          <cell r="F435">
            <v>2968.25</v>
          </cell>
          <cell r="G435">
            <v>2884.65</v>
          </cell>
          <cell r="H435">
            <v>3749.31</v>
          </cell>
          <cell r="I435">
            <v>2541.87</v>
          </cell>
          <cell r="J435">
            <v>2918.61</v>
          </cell>
          <cell r="K435">
            <v>3367.34</v>
          </cell>
          <cell r="L435">
            <v>2846.72</v>
          </cell>
          <cell r="M435">
            <v>3546.8</v>
          </cell>
          <cell r="N435">
            <v>2863.08</v>
          </cell>
          <cell r="O435">
            <v>3301.19</v>
          </cell>
          <cell r="P435">
            <v>39012.400000000009</v>
          </cell>
          <cell r="Q435">
            <v>39012.400000000009</v>
          </cell>
        </row>
        <row r="436">
          <cell r="A436" t="str">
            <v>F90330E</v>
          </cell>
          <cell r="B436" t="str">
            <v>CUSTOMER RECORDS AND</v>
          </cell>
          <cell r="C436">
            <v>0</v>
          </cell>
          <cell r="D436">
            <v>98833.2</v>
          </cell>
          <cell r="E436">
            <v>136066.66</v>
          </cell>
          <cell r="F436">
            <v>116831.03</v>
          </cell>
          <cell r="G436">
            <v>138938.28</v>
          </cell>
          <cell r="H436">
            <v>157978.46</v>
          </cell>
          <cell r="I436">
            <v>132439.60999999999</v>
          </cell>
          <cell r="J436">
            <v>121121.8</v>
          </cell>
          <cell r="K436">
            <v>174049.39</v>
          </cell>
          <cell r="L436">
            <v>128332.92</v>
          </cell>
          <cell r="M436">
            <v>146376</v>
          </cell>
          <cell r="N436">
            <v>114029.69</v>
          </cell>
          <cell r="O436">
            <v>132605.04999999999</v>
          </cell>
          <cell r="P436">
            <v>1597602.09</v>
          </cell>
          <cell r="Q436">
            <v>1597602.09</v>
          </cell>
        </row>
        <row r="437">
          <cell r="A437" t="str">
            <v>F90330G</v>
          </cell>
          <cell r="B437" t="str">
            <v>CUSTOMER RECORDS AND</v>
          </cell>
          <cell r="C437">
            <v>0</v>
          </cell>
          <cell r="D437">
            <v>52869.42</v>
          </cell>
          <cell r="E437">
            <v>72782.740000000005</v>
          </cell>
          <cell r="F437">
            <v>63699.64</v>
          </cell>
          <cell r="G437">
            <v>74313.98</v>
          </cell>
          <cell r="H437">
            <v>84496.68</v>
          </cell>
          <cell r="I437">
            <v>70841.11</v>
          </cell>
          <cell r="J437">
            <v>64780.800000000003</v>
          </cell>
          <cell r="K437">
            <v>93066.16</v>
          </cell>
          <cell r="L437">
            <v>68634.94</v>
          </cell>
          <cell r="M437">
            <v>78299.56</v>
          </cell>
          <cell r="N437">
            <v>60969.16</v>
          </cell>
          <cell r="O437">
            <v>70902.289999999994</v>
          </cell>
          <cell r="P437">
            <v>855656.4800000001</v>
          </cell>
          <cell r="Q437">
            <v>855656.4800000001</v>
          </cell>
        </row>
        <row r="438">
          <cell r="A438" t="str">
            <v>F90340E</v>
          </cell>
          <cell r="B438" t="str">
            <v>CUSTOMER RECORDS AND COLLECTION EXPENSE</v>
          </cell>
          <cell r="C438">
            <v>0</v>
          </cell>
          <cell r="D438">
            <v>29418.53</v>
          </cell>
          <cell r="E438">
            <v>33581.72</v>
          </cell>
          <cell r="F438">
            <v>105160.53</v>
          </cell>
          <cell r="G438">
            <v>26091.89</v>
          </cell>
          <cell r="H438">
            <v>34220.93</v>
          </cell>
          <cell r="I438">
            <v>22426.6</v>
          </cell>
          <cell r="J438">
            <v>14592.97</v>
          </cell>
          <cell r="K438">
            <v>22951.73</v>
          </cell>
          <cell r="L438">
            <v>18263.12</v>
          </cell>
          <cell r="M438">
            <v>22985.200000000001</v>
          </cell>
          <cell r="N438">
            <v>24072.2</v>
          </cell>
          <cell r="O438">
            <v>25481.79</v>
          </cell>
          <cell r="P438">
            <v>379247.20999999996</v>
          </cell>
          <cell r="Q438">
            <v>379247.20999999996</v>
          </cell>
        </row>
        <row r="439">
          <cell r="A439" t="str">
            <v>F90340G</v>
          </cell>
          <cell r="B439" t="str">
            <v>CUSTOMER RECORDS AND</v>
          </cell>
          <cell r="C439">
            <v>0</v>
          </cell>
          <cell r="D439">
            <v>15685.84</v>
          </cell>
          <cell r="E439">
            <v>18002.740000000002</v>
          </cell>
          <cell r="F439">
            <v>56240.52</v>
          </cell>
          <cell r="G439">
            <v>13957.38</v>
          </cell>
          <cell r="H439">
            <v>19199.5</v>
          </cell>
          <cell r="I439">
            <v>12008.21</v>
          </cell>
          <cell r="J439">
            <v>7745.61</v>
          </cell>
          <cell r="K439">
            <v>12273.35</v>
          </cell>
          <cell r="L439">
            <v>11187.64</v>
          </cell>
          <cell r="M439">
            <v>12304.46</v>
          </cell>
          <cell r="N439">
            <v>12855.06</v>
          </cell>
          <cell r="O439">
            <v>13589.91</v>
          </cell>
          <cell r="P439">
            <v>205050.21999999997</v>
          </cell>
          <cell r="Q439">
            <v>205050.21999999997</v>
          </cell>
        </row>
        <row r="440">
          <cell r="A440" t="str">
            <v>F90350E</v>
          </cell>
          <cell r="B440" t="str">
            <v>CUSTOMER RECORDS AND</v>
          </cell>
          <cell r="C440">
            <v>0</v>
          </cell>
          <cell r="D440">
            <v>82053.070000000007</v>
          </cell>
          <cell r="E440">
            <v>129674</v>
          </cell>
          <cell r="F440">
            <v>122466.49</v>
          </cell>
          <cell r="G440">
            <v>122853.15</v>
          </cell>
          <cell r="H440">
            <v>147877.14000000001</v>
          </cell>
          <cell r="I440">
            <v>109184.84</v>
          </cell>
          <cell r="J440">
            <v>113759.64</v>
          </cell>
          <cell r="K440">
            <v>159155.25</v>
          </cell>
          <cell r="L440">
            <v>147717.74</v>
          </cell>
          <cell r="M440">
            <v>169394.99</v>
          </cell>
          <cell r="N440">
            <v>159742.1</v>
          </cell>
          <cell r="O440">
            <v>134492.76999999999</v>
          </cell>
          <cell r="P440">
            <v>1598371.18</v>
          </cell>
          <cell r="Q440">
            <v>1598371.18</v>
          </cell>
        </row>
        <row r="441">
          <cell r="A441" t="str">
            <v>F90350G</v>
          </cell>
          <cell r="B441" t="str">
            <v>CUSTOMER RECORDS AND</v>
          </cell>
          <cell r="C441">
            <v>0</v>
          </cell>
          <cell r="D441">
            <v>39773.33</v>
          </cell>
          <cell r="E441">
            <v>64347.95</v>
          </cell>
          <cell r="F441">
            <v>60627.89</v>
          </cell>
          <cell r="G441">
            <v>60960.47</v>
          </cell>
          <cell r="H441">
            <v>73380.77</v>
          </cell>
          <cell r="I441">
            <v>54314.54</v>
          </cell>
          <cell r="J441">
            <v>60679.47</v>
          </cell>
          <cell r="K441">
            <v>85096.01</v>
          </cell>
          <cell r="L441">
            <v>79037.88</v>
          </cell>
          <cell r="M441">
            <v>90571.23</v>
          </cell>
          <cell r="N441">
            <v>85441.67</v>
          </cell>
          <cell r="O441">
            <v>71797.429999999993</v>
          </cell>
          <cell r="P441">
            <v>826028.6399999999</v>
          </cell>
          <cell r="Q441">
            <v>826028.6399999999</v>
          </cell>
        </row>
        <row r="442">
          <cell r="A442" t="str">
            <v>F90360E</v>
          </cell>
          <cell r="B442" t="str">
            <v>CUSTOMER RECORDS AND COLLECTION EXPENSE</v>
          </cell>
          <cell r="C442">
            <v>0</v>
          </cell>
          <cell r="D442">
            <v>0</v>
          </cell>
          <cell r="E442">
            <v>80.739999999999995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80.739999999999995</v>
          </cell>
          <cell r="Q442">
            <v>80.739999999999995</v>
          </cell>
        </row>
        <row r="443">
          <cell r="A443" t="str">
            <v>F90360G</v>
          </cell>
          <cell r="B443" t="str">
            <v>CUSTOMER RECORDS AND</v>
          </cell>
          <cell r="C443">
            <v>0</v>
          </cell>
          <cell r="D443">
            <v>0</v>
          </cell>
          <cell r="E443">
            <v>43.17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43.17</v>
          </cell>
          <cell r="Q443">
            <v>43.17</v>
          </cell>
        </row>
        <row r="444">
          <cell r="A444" t="str">
            <v>F90380E</v>
          </cell>
          <cell r="B444" t="str">
            <v>CUSTOMER RECORDS AND</v>
          </cell>
          <cell r="C444">
            <v>0</v>
          </cell>
          <cell r="D444">
            <v>16092.28</v>
          </cell>
          <cell r="E444">
            <v>20511.84</v>
          </cell>
          <cell r="F444">
            <v>16859.37</v>
          </cell>
          <cell r="G444">
            <v>18282.150000000001</v>
          </cell>
          <cell r="H444">
            <v>20444.169999999998</v>
          </cell>
          <cell r="I444">
            <v>14414.82</v>
          </cell>
          <cell r="J444">
            <v>12721.62</v>
          </cell>
          <cell r="K444">
            <v>22476.92</v>
          </cell>
          <cell r="L444">
            <v>18025.57</v>
          </cell>
          <cell r="M444">
            <v>20367.810000000001</v>
          </cell>
          <cell r="N444">
            <v>17972.900000000001</v>
          </cell>
          <cell r="O444">
            <v>16951.63</v>
          </cell>
          <cell r="P444">
            <v>215121.08</v>
          </cell>
          <cell r="Q444">
            <v>215121.08</v>
          </cell>
        </row>
        <row r="445">
          <cell r="A445" t="str">
            <v>F90380G</v>
          </cell>
          <cell r="B445" t="str">
            <v>CUSTOMER RECORDS AND</v>
          </cell>
          <cell r="C445">
            <v>0</v>
          </cell>
          <cell r="D445">
            <v>8608.77</v>
          </cell>
          <cell r="E445">
            <v>10970.83</v>
          </cell>
          <cell r="F445">
            <v>9016.92</v>
          </cell>
          <cell r="G445">
            <v>9776.8700000000008</v>
          </cell>
          <cell r="H445">
            <v>10933.59</v>
          </cell>
          <cell r="I445">
            <v>7709.99</v>
          </cell>
          <cell r="J445">
            <v>6805.49</v>
          </cell>
          <cell r="K445">
            <v>12032.45</v>
          </cell>
          <cell r="L445">
            <v>9642.7000000000007</v>
          </cell>
          <cell r="M445">
            <v>10897.76</v>
          </cell>
          <cell r="N445">
            <v>9592.6299999999992</v>
          </cell>
          <cell r="O445">
            <v>9078.5400000000009</v>
          </cell>
          <cell r="P445">
            <v>115066.53999999998</v>
          </cell>
          <cell r="Q445">
            <v>115066.53999999998</v>
          </cell>
        </row>
        <row r="446">
          <cell r="A446" t="str">
            <v>F90400E</v>
          </cell>
          <cell r="B446" t="str">
            <v>UNCOLLECTIBLE ACCOUNTS</v>
          </cell>
          <cell r="C446">
            <v>0</v>
          </cell>
          <cell r="D446">
            <v>240123.1</v>
          </cell>
          <cell r="E446">
            <v>278268.81</v>
          </cell>
          <cell r="F446">
            <v>125524</v>
          </cell>
          <cell r="G446">
            <v>161172.07</v>
          </cell>
          <cell r="H446">
            <v>115648.33</v>
          </cell>
          <cell r="I446">
            <v>171684.24</v>
          </cell>
          <cell r="J446">
            <v>234796.44</v>
          </cell>
          <cell r="K446">
            <v>166771.87</v>
          </cell>
          <cell r="L446">
            <v>209407</v>
          </cell>
          <cell r="M446">
            <v>216495.15</v>
          </cell>
          <cell r="N446">
            <v>186363.7</v>
          </cell>
          <cell r="O446">
            <v>2877248</v>
          </cell>
          <cell r="P446">
            <v>4983502.71</v>
          </cell>
          <cell r="Q446">
            <v>4983502.71</v>
          </cell>
        </row>
        <row r="447">
          <cell r="A447" t="str">
            <v>F90400G</v>
          </cell>
          <cell r="B447" t="str">
            <v>UNCOLLECTIBLE ACCOUNTS</v>
          </cell>
          <cell r="C447">
            <v>0</v>
          </cell>
          <cell r="D447">
            <v>53540</v>
          </cell>
          <cell r="E447">
            <v>57873.79</v>
          </cell>
          <cell r="F447">
            <v>27848</v>
          </cell>
          <cell r="G447">
            <v>37812</v>
          </cell>
          <cell r="H447">
            <v>21545.83</v>
          </cell>
          <cell r="I447">
            <v>38690</v>
          </cell>
          <cell r="J447">
            <v>52047</v>
          </cell>
          <cell r="K447">
            <v>37096</v>
          </cell>
          <cell r="L447">
            <v>46408</v>
          </cell>
          <cell r="M447">
            <v>45596</v>
          </cell>
          <cell r="N447">
            <v>36455.08</v>
          </cell>
          <cell r="O447">
            <v>377018</v>
          </cell>
          <cell r="P447">
            <v>831929.7</v>
          </cell>
          <cell r="Q447">
            <v>831929.7</v>
          </cell>
        </row>
        <row r="448">
          <cell r="A448" t="str">
            <v>F90500E</v>
          </cell>
          <cell r="B448" t="str">
            <v>MISCELLANEOUS CUSTOMER ACCOUNTS EXPENSE</v>
          </cell>
          <cell r="C448">
            <v>0</v>
          </cell>
          <cell r="D448">
            <v>14167.37</v>
          </cell>
          <cell r="E448">
            <v>8130.9</v>
          </cell>
          <cell r="F448">
            <v>3160</v>
          </cell>
          <cell r="G448">
            <v>16657.080000000002</v>
          </cell>
          <cell r="H448">
            <v>86.15</v>
          </cell>
          <cell r="I448">
            <v>7937.04</v>
          </cell>
          <cell r="J448">
            <v>21913.81</v>
          </cell>
          <cell r="K448">
            <v>10189.64</v>
          </cell>
          <cell r="L448">
            <v>608.16</v>
          </cell>
          <cell r="M448">
            <v>23187.67</v>
          </cell>
          <cell r="N448">
            <v>10632.33</v>
          </cell>
          <cell r="O448">
            <v>5205.75</v>
          </cell>
          <cell r="P448">
            <v>121875.90000000001</v>
          </cell>
          <cell r="Q448">
            <v>121875.90000000001</v>
          </cell>
        </row>
        <row r="449">
          <cell r="A449" t="str">
            <v>F90500G</v>
          </cell>
          <cell r="B449" t="str">
            <v>MISCELLANEOUS CUSTOMER ACCOUNTS EXPENSE</v>
          </cell>
          <cell r="C449">
            <v>0</v>
          </cell>
          <cell r="D449">
            <v>298.63</v>
          </cell>
          <cell r="E449">
            <v>175.84</v>
          </cell>
          <cell r="F449">
            <v>475.64</v>
          </cell>
          <cell r="G449">
            <v>419.81</v>
          </cell>
          <cell r="H449">
            <v>68.3</v>
          </cell>
          <cell r="I449">
            <v>382.32</v>
          </cell>
          <cell r="J449">
            <v>531.67999999999995</v>
          </cell>
          <cell r="K449">
            <v>403.75</v>
          </cell>
          <cell r="L449">
            <v>329.06</v>
          </cell>
          <cell r="M449">
            <v>1093.46</v>
          </cell>
          <cell r="N449">
            <v>12.8</v>
          </cell>
          <cell r="O449">
            <v>911.64</v>
          </cell>
          <cell r="P449">
            <v>5102.93</v>
          </cell>
          <cell r="Q449">
            <v>5102.93</v>
          </cell>
        </row>
        <row r="450">
          <cell r="A450" t="str">
            <v>F90700C</v>
          </cell>
          <cell r="B450" t="str">
            <v>SUPERVISION</v>
          </cell>
          <cell r="C450">
            <v>0</v>
          </cell>
          <cell r="D450">
            <v>251.98</v>
          </cell>
          <cell r="E450">
            <v>-3261</v>
          </cell>
          <cell r="F450">
            <v>3344.6</v>
          </cell>
          <cell r="G450">
            <v>46.44</v>
          </cell>
          <cell r="H450">
            <v>-121.06</v>
          </cell>
          <cell r="I450">
            <v>86.28</v>
          </cell>
          <cell r="J450">
            <v>237.14</v>
          </cell>
          <cell r="K450">
            <v>148.96</v>
          </cell>
          <cell r="L450">
            <v>215.5</v>
          </cell>
          <cell r="M450">
            <v>77.52</v>
          </cell>
          <cell r="N450">
            <v>121.44</v>
          </cell>
          <cell r="O450">
            <v>-5149.03</v>
          </cell>
          <cell r="P450">
            <v>-4001.2299999999996</v>
          </cell>
          <cell r="Q450">
            <v>-4001.2299999999996</v>
          </cell>
        </row>
        <row r="451">
          <cell r="A451" t="str">
            <v>F90700E</v>
          </cell>
          <cell r="B451" t="str">
            <v>SUPERVISION</v>
          </cell>
          <cell r="C451">
            <v>0</v>
          </cell>
          <cell r="D451">
            <v>14250.23</v>
          </cell>
          <cell r="E451">
            <v>24126.39</v>
          </cell>
          <cell r="F451">
            <v>16491.34</v>
          </cell>
          <cell r="G451">
            <v>66264.34</v>
          </cell>
          <cell r="H451">
            <v>35104.14</v>
          </cell>
          <cell r="I451">
            <v>34129.83</v>
          </cell>
          <cell r="J451">
            <v>22458.73</v>
          </cell>
          <cell r="K451">
            <v>29609.69</v>
          </cell>
          <cell r="L451">
            <v>62357.16</v>
          </cell>
          <cell r="M451">
            <v>21339.65</v>
          </cell>
          <cell r="N451">
            <v>16931.669999999998</v>
          </cell>
          <cell r="O451">
            <v>28194.85</v>
          </cell>
          <cell r="P451">
            <v>371258.02</v>
          </cell>
          <cell r="Q451">
            <v>371258.02</v>
          </cell>
        </row>
        <row r="452">
          <cell r="A452" t="str">
            <v>F90700G</v>
          </cell>
          <cell r="B452" t="str">
            <v>SUPERVISION</v>
          </cell>
          <cell r="C452">
            <v>0</v>
          </cell>
          <cell r="D452">
            <v>3373.18</v>
          </cell>
          <cell r="E452">
            <v>4754.71</v>
          </cell>
          <cell r="F452">
            <v>2939.47</v>
          </cell>
          <cell r="G452">
            <v>11804.16</v>
          </cell>
          <cell r="H452">
            <v>6194.86</v>
          </cell>
          <cell r="I452">
            <v>6037.18</v>
          </cell>
          <cell r="J452">
            <v>4196.41</v>
          </cell>
          <cell r="K452">
            <v>5225.22</v>
          </cell>
          <cell r="L452">
            <v>4546.26</v>
          </cell>
          <cell r="M452">
            <v>3765.84</v>
          </cell>
          <cell r="N452">
            <v>2987.96</v>
          </cell>
          <cell r="O452">
            <v>5325.79</v>
          </cell>
          <cell r="P452">
            <v>61151.040000000008</v>
          </cell>
          <cell r="Q452">
            <v>61151.040000000008</v>
          </cell>
        </row>
        <row r="453">
          <cell r="A453" t="str">
            <v>F90710C</v>
          </cell>
          <cell r="B453" t="str">
            <v>SUPERVISION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1015.74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1015.74</v>
          </cell>
          <cell r="Q453">
            <v>1015.74</v>
          </cell>
        </row>
        <row r="454">
          <cell r="A454" t="str">
            <v>F90800C</v>
          </cell>
          <cell r="B454" t="str">
            <v>CUSTOMER ASSISTANCE EXPENSES</v>
          </cell>
          <cell r="C454">
            <v>0</v>
          </cell>
          <cell r="D454">
            <v>464.85</v>
          </cell>
          <cell r="E454">
            <v>105.13</v>
          </cell>
          <cell r="F454">
            <v>1125.8800000000001</v>
          </cell>
          <cell r="G454">
            <v>2248.9899999999998</v>
          </cell>
          <cell r="H454">
            <v>1256.55</v>
          </cell>
          <cell r="I454">
            <v>419.58</v>
          </cell>
          <cell r="J454">
            <v>878.34</v>
          </cell>
          <cell r="K454">
            <v>21695.86</v>
          </cell>
          <cell r="L454">
            <v>702.53</v>
          </cell>
          <cell r="M454">
            <v>897.4</v>
          </cell>
          <cell r="N454">
            <v>467.07</v>
          </cell>
          <cell r="O454">
            <v>1677.38</v>
          </cell>
          <cell r="P454">
            <v>31939.56</v>
          </cell>
          <cell r="Q454">
            <v>31939.56</v>
          </cell>
        </row>
        <row r="455">
          <cell r="A455" t="str">
            <v>F90800E</v>
          </cell>
          <cell r="B455" t="str">
            <v>CUSTOMER ASSISTANCE EXPENSES</v>
          </cell>
          <cell r="C455">
            <v>0</v>
          </cell>
          <cell r="D455">
            <v>-2549077.7999999998</v>
          </cell>
          <cell r="E455">
            <v>1857448.45</v>
          </cell>
          <cell r="F455">
            <v>2775975.83</v>
          </cell>
          <cell r="G455">
            <v>1297779.51</v>
          </cell>
          <cell r="H455">
            <v>1314466.6200000001</v>
          </cell>
          <cell r="I455">
            <v>1219452.6000000001</v>
          </cell>
          <cell r="J455">
            <v>1643367.52</v>
          </cell>
          <cell r="K455">
            <v>2181025.08</v>
          </cell>
          <cell r="L455">
            <v>2041229.75</v>
          </cell>
          <cell r="M455">
            <v>2197457.14</v>
          </cell>
          <cell r="N455">
            <v>1257752.81</v>
          </cell>
          <cell r="O455">
            <v>13476042.91</v>
          </cell>
          <cell r="P455">
            <v>28712920.420000002</v>
          </cell>
          <cell r="Q455">
            <v>28712920.420000002</v>
          </cell>
        </row>
        <row r="456">
          <cell r="A456" t="str">
            <v>F90800G</v>
          </cell>
          <cell r="B456" t="str">
            <v>CUSTOMER ASSISTANCE EXPENSES</v>
          </cell>
          <cell r="C456">
            <v>0</v>
          </cell>
          <cell r="D456">
            <v>-278952.55</v>
          </cell>
          <cell r="E456">
            <v>273898.58</v>
          </cell>
          <cell r="F456">
            <v>650695.97</v>
          </cell>
          <cell r="G456">
            <v>381295.35999999999</v>
          </cell>
          <cell r="H456">
            <v>412645.41</v>
          </cell>
          <cell r="I456">
            <v>545103.59</v>
          </cell>
          <cell r="J456">
            <v>691379.15</v>
          </cell>
          <cell r="K456">
            <v>870746.93</v>
          </cell>
          <cell r="L456">
            <v>405406.24</v>
          </cell>
          <cell r="M456">
            <v>841725.57</v>
          </cell>
          <cell r="N456">
            <v>853417.99</v>
          </cell>
          <cell r="O456">
            <v>3307737.88</v>
          </cell>
          <cell r="P456">
            <v>8955100.120000001</v>
          </cell>
          <cell r="Q456">
            <v>8955100.120000001</v>
          </cell>
        </row>
        <row r="457">
          <cell r="A457" t="str">
            <v>F90900C</v>
          </cell>
          <cell r="B457" t="str">
            <v>INFORMATIONAL AND INSTRUCTIONAL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130.47999999999999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130.47999999999999</v>
          </cell>
          <cell r="Q457">
            <v>130.47999999999999</v>
          </cell>
        </row>
        <row r="458">
          <cell r="A458" t="str">
            <v>F91000C</v>
          </cell>
          <cell r="B458" t="str">
            <v>MISCELLANEOUS CUSTOMER SERV AND INFORMA</v>
          </cell>
          <cell r="C458">
            <v>0</v>
          </cell>
          <cell r="D458">
            <v>15147.2</v>
          </cell>
          <cell r="E458">
            <v>11.06</v>
          </cell>
          <cell r="F458">
            <v>144.62</v>
          </cell>
          <cell r="G458">
            <v>-12980.26</v>
          </cell>
          <cell r="H458">
            <v>386.18</v>
          </cell>
          <cell r="I458">
            <v>252.69</v>
          </cell>
          <cell r="J458">
            <v>98.73</v>
          </cell>
          <cell r="K458">
            <v>153.08000000000001</v>
          </cell>
          <cell r="L458">
            <v>287.14</v>
          </cell>
          <cell r="M458">
            <v>65.680000000000007</v>
          </cell>
          <cell r="N458">
            <v>409.58</v>
          </cell>
          <cell r="O458">
            <v>535.04999999999995</v>
          </cell>
          <cell r="P458">
            <v>4510.75</v>
          </cell>
          <cell r="Q458">
            <v>4510.75</v>
          </cell>
        </row>
        <row r="459">
          <cell r="A459" t="str">
            <v>F91000E</v>
          </cell>
          <cell r="B459" t="str">
            <v>MISCELLANEOUS CUSTOMER SERV AND INFORMA</v>
          </cell>
          <cell r="C459">
            <v>0</v>
          </cell>
          <cell r="D459">
            <v>232790.29</v>
          </cell>
          <cell r="E459">
            <v>187418.59</v>
          </cell>
          <cell r="F459">
            <v>113637.63</v>
          </cell>
          <cell r="G459">
            <v>105474.45</v>
          </cell>
          <cell r="H459">
            <v>117802.67</v>
          </cell>
          <cell r="I459">
            <v>-1347290.2</v>
          </cell>
          <cell r="J459">
            <v>144411.69</v>
          </cell>
          <cell r="K459">
            <v>230485.11</v>
          </cell>
          <cell r="L459">
            <v>565015.96</v>
          </cell>
          <cell r="M459">
            <v>422179.61</v>
          </cell>
          <cell r="N459">
            <v>517866.15</v>
          </cell>
          <cell r="O459">
            <v>959420.74</v>
          </cell>
          <cell r="P459">
            <v>2249212.6900000004</v>
          </cell>
          <cell r="Q459">
            <v>2249212.6900000004</v>
          </cell>
        </row>
        <row r="460">
          <cell r="A460" t="str">
            <v>F91000G</v>
          </cell>
          <cell r="B460" t="str">
            <v>MISCELLANEOUS CUSTOMER SERV AND INFORMA</v>
          </cell>
          <cell r="C460">
            <v>0</v>
          </cell>
          <cell r="D460">
            <v>26021.9</v>
          </cell>
          <cell r="E460">
            <v>24321.91</v>
          </cell>
          <cell r="F460">
            <v>28772.23</v>
          </cell>
          <cell r="G460">
            <v>-7531.51</v>
          </cell>
          <cell r="H460">
            <v>55555.25</v>
          </cell>
          <cell r="I460">
            <v>54170.37</v>
          </cell>
          <cell r="J460">
            <v>27031.59</v>
          </cell>
          <cell r="K460">
            <v>530.54</v>
          </cell>
          <cell r="L460">
            <v>61146.71</v>
          </cell>
          <cell r="M460">
            <v>57543.44</v>
          </cell>
          <cell r="N460">
            <v>32941.94</v>
          </cell>
          <cell r="O460">
            <v>113351.23</v>
          </cell>
          <cell r="P460">
            <v>473855.6</v>
          </cell>
          <cell r="Q460">
            <v>473855.6</v>
          </cell>
        </row>
        <row r="461">
          <cell r="A461" t="str">
            <v>F91020C</v>
          </cell>
          <cell r="B461" t="str">
            <v>MISCELLANEOUS CUSTOMER SERV AND INFORMA</v>
          </cell>
          <cell r="C461">
            <v>0</v>
          </cell>
          <cell r="D461">
            <v>216.26</v>
          </cell>
          <cell r="E461">
            <v>99</v>
          </cell>
          <cell r="F461">
            <v>29.72</v>
          </cell>
          <cell r="G461">
            <v>0</v>
          </cell>
          <cell r="H461">
            <v>0</v>
          </cell>
          <cell r="I461">
            <v>60.28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229.56</v>
          </cell>
          <cell r="P461">
            <v>634.81999999999994</v>
          </cell>
          <cell r="Q461">
            <v>634.81999999999994</v>
          </cell>
        </row>
        <row r="462">
          <cell r="A462" t="str">
            <v>F91020E</v>
          </cell>
          <cell r="B462" t="str">
            <v>MISC CUSTOMER SERVIC</v>
          </cell>
          <cell r="C462">
            <v>0</v>
          </cell>
          <cell r="D462">
            <v>2004</v>
          </cell>
          <cell r="E462">
            <v>2732</v>
          </cell>
          <cell r="F462">
            <v>2240</v>
          </cell>
          <cell r="G462">
            <v>2491.11</v>
          </cell>
          <cell r="H462">
            <v>2810</v>
          </cell>
          <cell r="I462">
            <v>2162</v>
          </cell>
          <cell r="J462">
            <v>2162</v>
          </cell>
          <cell r="K462">
            <v>2850</v>
          </cell>
          <cell r="L462">
            <v>2162</v>
          </cell>
          <cell r="M462">
            <v>2850</v>
          </cell>
          <cell r="N462">
            <v>2044</v>
          </cell>
          <cell r="O462">
            <v>2162</v>
          </cell>
          <cell r="P462">
            <v>28669.11</v>
          </cell>
          <cell r="Q462">
            <v>28669.11</v>
          </cell>
        </row>
        <row r="463">
          <cell r="A463" t="str">
            <v>F91200C</v>
          </cell>
          <cell r="B463" t="str">
            <v>DEMONSTRATING AND SELLING EXPENSES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4.08</v>
          </cell>
          <cell r="L463">
            <v>0</v>
          </cell>
          <cell r="M463">
            <v>0</v>
          </cell>
          <cell r="N463">
            <v>0.98</v>
          </cell>
          <cell r="O463">
            <v>0</v>
          </cell>
          <cell r="P463">
            <v>5.0600000000000005</v>
          </cell>
          <cell r="Q463">
            <v>5.0600000000000005</v>
          </cell>
        </row>
        <row r="464">
          <cell r="A464" t="str">
            <v>F91200E</v>
          </cell>
          <cell r="B464" t="str">
            <v>DEMONSTRATING AND SELLING EXPENSES</v>
          </cell>
          <cell r="C464">
            <v>0</v>
          </cell>
          <cell r="D464">
            <v>383.18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383.18</v>
          </cell>
          <cell r="Q464">
            <v>383.18</v>
          </cell>
        </row>
        <row r="465">
          <cell r="A465" t="str">
            <v>F91300C</v>
          </cell>
          <cell r="B465" t="str">
            <v>ADVERTISING EXPENSES</v>
          </cell>
          <cell r="C465">
            <v>0</v>
          </cell>
          <cell r="D465">
            <v>0</v>
          </cell>
          <cell r="E465">
            <v>758.61</v>
          </cell>
          <cell r="F465">
            <v>444.12</v>
          </cell>
          <cell r="G465">
            <v>309.89</v>
          </cell>
          <cell r="H465">
            <v>0</v>
          </cell>
          <cell r="I465">
            <v>0</v>
          </cell>
          <cell r="J465">
            <v>316.12</v>
          </cell>
          <cell r="K465">
            <v>206.83</v>
          </cell>
          <cell r="L465">
            <v>0</v>
          </cell>
          <cell r="M465">
            <v>308.02999999999997</v>
          </cell>
          <cell r="N465">
            <v>-25.75</v>
          </cell>
          <cell r="O465">
            <v>0</v>
          </cell>
          <cell r="P465">
            <v>2317.8499999999995</v>
          </cell>
          <cell r="Q465">
            <v>2317.8499999999995</v>
          </cell>
        </row>
        <row r="466">
          <cell r="A466" t="str">
            <v>F92000C</v>
          </cell>
          <cell r="B466" t="str">
            <v>ADMINISTRATIVE AND GENERAL SALARIES</v>
          </cell>
          <cell r="C466">
            <v>0</v>
          </cell>
          <cell r="D466">
            <v>-511053.52</v>
          </cell>
          <cell r="E466">
            <v>-228219</v>
          </cell>
          <cell r="F466">
            <v>1976687</v>
          </cell>
          <cell r="G466">
            <v>-270260.7</v>
          </cell>
          <cell r="H466">
            <v>-208190.3</v>
          </cell>
          <cell r="I466">
            <v>-5154757</v>
          </cell>
          <cell r="J466">
            <v>68044.61</v>
          </cell>
          <cell r="K466">
            <v>67609.61</v>
          </cell>
          <cell r="L466">
            <v>-1179390.3899999999</v>
          </cell>
          <cell r="M466">
            <v>483276.27</v>
          </cell>
          <cell r="N466">
            <v>483276.27</v>
          </cell>
          <cell r="O466">
            <v>-1799968.72</v>
          </cell>
          <cell r="P466">
            <v>-6272945.8699999982</v>
          </cell>
          <cell r="Q466">
            <v>-6272945.8699999982</v>
          </cell>
        </row>
        <row r="467">
          <cell r="A467" t="str">
            <v>F92000E</v>
          </cell>
          <cell r="B467" t="str">
            <v>ADMINISTRATIVE AND GENERAL SALARIES</v>
          </cell>
          <cell r="C467">
            <v>0</v>
          </cell>
          <cell r="D467">
            <v>568656.35</v>
          </cell>
          <cell r="E467">
            <v>785203.77</v>
          </cell>
          <cell r="F467">
            <v>619402.99</v>
          </cell>
          <cell r="G467">
            <v>624083.22</v>
          </cell>
          <cell r="H467">
            <v>733589.08</v>
          </cell>
          <cell r="I467">
            <v>543406.05000000005</v>
          </cell>
          <cell r="J467">
            <v>522712.59</v>
          </cell>
          <cell r="K467">
            <v>715101.57</v>
          </cell>
          <cell r="L467">
            <v>591213.11</v>
          </cell>
          <cell r="M467">
            <v>733948.13</v>
          </cell>
          <cell r="N467">
            <v>562294.19999999995</v>
          </cell>
          <cell r="O467">
            <v>511338.68</v>
          </cell>
          <cell r="P467">
            <v>7510949.7400000002</v>
          </cell>
          <cell r="Q467">
            <v>7510949.7400000002</v>
          </cell>
        </row>
        <row r="468">
          <cell r="A468" t="str">
            <v>F92000G</v>
          </cell>
          <cell r="B468" t="str">
            <v>ADMINISTRATIVE AND GENERAL SALARIES</v>
          </cell>
          <cell r="C468">
            <v>0</v>
          </cell>
          <cell r="D468">
            <v>182209.56</v>
          </cell>
          <cell r="E468">
            <v>251507.66</v>
          </cell>
          <cell r="F468">
            <v>199501.17</v>
          </cell>
          <cell r="G468">
            <v>201257.02</v>
          </cell>
          <cell r="H468">
            <v>235832.72</v>
          </cell>
          <cell r="I468">
            <v>174991.56</v>
          </cell>
          <cell r="J468">
            <v>168340.44</v>
          </cell>
          <cell r="K468">
            <v>230187.81</v>
          </cell>
          <cell r="L468">
            <v>190417.55</v>
          </cell>
          <cell r="M468">
            <v>236577.26</v>
          </cell>
          <cell r="N468">
            <v>180858.88</v>
          </cell>
          <cell r="O468">
            <v>164684.1</v>
          </cell>
          <cell r="P468">
            <v>2416365.7300000004</v>
          </cell>
          <cell r="Q468">
            <v>2416365.7300000004</v>
          </cell>
        </row>
        <row r="469">
          <cell r="A469" t="str">
            <v>F92100C</v>
          </cell>
          <cell r="B469" t="str">
            <v>OFFICE SUPPLIES AND EXPENSES</v>
          </cell>
          <cell r="C469">
            <v>0</v>
          </cell>
          <cell r="D469">
            <v>1258269.46</v>
          </cell>
          <cell r="E469">
            <v>-3387153.58</v>
          </cell>
          <cell r="F469">
            <v>366407.51</v>
          </cell>
          <cell r="G469">
            <v>-45369.05</v>
          </cell>
          <cell r="H469">
            <v>84698.34</v>
          </cell>
          <cell r="I469">
            <v>-29194.92</v>
          </cell>
          <cell r="J469">
            <v>400668.31</v>
          </cell>
          <cell r="K469">
            <v>-673359.77</v>
          </cell>
          <cell r="L469">
            <v>1114650.79</v>
          </cell>
          <cell r="M469">
            <v>-3402952.72</v>
          </cell>
          <cell r="N469">
            <v>3908138.61</v>
          </cell>
          <cell r="O469">
            <v>-2082809.56</v>
          </cell>
          <cell r="P469">
            <v>-2488006.58</v>
          </cell>
          <cell r="Q469">
            <v>-2488006.58</v>
          </cell>
        </row>
        <row r="470">
          <cell r="A470" t="str">
            <v>F92100E</v>
          </cell>
          <cell r="B470" t="str">
            <v>OFFICE SUPPLIES AND EXPENSES</v>
          </cell>
          <cell r="C470">
            <v>0</v>
          </cell>
          <cell r="D470">
            <v>9145942.2699999996</v>
          </cell>
          <cell r="E470">
            <v>5014685.03</v>
          </cell>
          <cell r="F470">
            <v>3168254.41</v>
          </cell>
          <cell r="G470">
            <v>4275105.8</v>
          </cell>
          <cell r="H470">
            <v>4490417.3099999996</v>
          </cell>
          <cell r="I470">
            <v>5693902.8799999999</v>
          </cell>
          <cell r="J470">
            <v>4604208.97</v>
          </cell>
          <cell r="K470">
            <v>6052842.6399999997</v>
          </cell>
          <cell r="L470">
            <v>2933688.29</v>
          </cell>
          <cell r="M470">
            <v>5113761.42</v>
          </cell>
          <cell r="N470">
            <v>2052625.69</v>
          </cell>
          <cell r="O470">
            <v>-10825977.26</v>
          </cell>
          <cell r="P470">
            <v>41719457.450000003</v>
          </cell>
          <cell r="Q470">
            <v>41719457.450000003</v>
          </cell>
        </row>
        <row r="471">
          <cell r="A471" t="str">
            <v>F92100G</v>
          </cell>
          <cell r="B471" t="str">
            <v>OFFICE SUPPLIES AND EXPENSES</v>
          </cell>
          <cell r="C471">
            <v>0</v>
          </cell>
          <cell r="D471">
            <v>2940894.1</v>
          </cell>
          <cell r="E471">
            <v>1622946.62</v>
          </cell>
          <cell r="F471">
            <v>1022315.21</v>
          </cell>
          <cell r="G471">
            <v>1377425.34</v>
          </cell>
          <cell r="H471">
            <v>1448755.14</v>
          </cell>
          <cell r="I471">
            <v>1835918.97</v>
          </cell>
          <cell r="J471">
            <v>1485097.33</v>
          </cell>
          <cell r="K471">
            <v>1951540.94</v>
          </cell>
          <cell r="L471">
            <v>943005.65</v>
          </cell>
          <cell r="M471">
            <v>1647182.92</v>
          </cell>
          <cell r="N471">
            <v>661527.75</v>
          </cell>
          <cell r="O471">
            <v>-3495237.23</v>
          </cell>
          <cell r="P471">
            <v>13441372.739999998</v>
          </cell>
          <cell r="Q471">
            <v>13441372.739999998</v>
          </cell>
        </row>
        <row r="472">
          <cell r="A472" t="str">
            <v>F92101C</v>
          </cell>
          <cell r="B472" t="str">
            <v>OFFICE SUPPLIES AND EXPENSES - FLOW ADJ</v>
          </cell>
          <cell r="C472">
            <v>0</v>
          </cell>
          <cell r="D472">
            <v>-1763.86</v>
          </cell>
          <cell r="E472">
            <v>309.16000000000003</v>
          </cell>
          <cell r="F472">
            <v>-283.36</v>
          </cell>
          <cell r="G472">
            <v>42.5</v>
          </cell>
          <cell r="H472">
            <v>-10210.799999999999</v>
          </cell>
          <cell r="I472">
            <v>7661.58</v>
          </cell>
          <cell r="J472">
            <v>2932.9</v>
          </cell>
          <cell r="K472">
            <v>1686.35</v>
          </cell>
          <cell r="L472">
            <v>-13306.11</v>
          </cell>
          <cell r="M472">
            <v>19422.89</v>
          </cell>
          <cell r="N472">
            <v>21462.799999999999</v>
          </cell>
          <cell r="O472">
            <v>2322.15</v>
          </cell>
          <cell r="P472">
            <v>30276.2</v>
          </cell>
          <cell r="Q472">
            <v>30276.2</v>
          </cell>
        </row>
        <row r="473">
          <cell r="A473" t="str">
            <v>F92120E</v>
          </cell>
          <cell r="B473" t="str">
            <v>OFFICE SUPPLIES AND EXPENSES</v>
          </cell>
          <cell r="C473">
            <v>0</v>
          </cell>
          <cell r="D473">
            <v>299.45999999999998</v>
          </cell>
          <cell r="E473">
            <v>0</v>
          </cell>
          <cell r="F473">
            <v>0</v>
          </cell>
          <cell r="G473">
            <v>0</v>
          </cell>
          <cell r="H473">
            <v>299.39999999999998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598.8599999999999</v>
          </cell>
          <cell r="Q473">
            <v>598.8599999999999</v>
          </cell>
        </row>
        <row r="474">
          <cell r="A474" t="str">
            <v>F92120G</v>
          </cell>
          <cell r="B474" t="str">
            <v>OFFICE SUPPLIES AND</v>
          </cell>
          <cell r="C474">
            <v>0</v>
          </cell>
          <cell r="D474">
            <v>96.54</v>
          </cell>
          <cell r="E474">
            <v>0</v>
          </cell>
          <cell r="F474">
            <v>0</v>
          </cell>
          <cell r="G474">
            <v>0</v>
          </cell>
          <cell r="H474">
            <v>96.52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193.06</v>
          </cell>
          <cell r="Q474">
            <v>193.06</v>
          </cell>
        </row>
        <row r="475">
          <cell r="A475" t="str">
            <v>F92140C</v>
          </cell>
          <cell r="B475" t="str">
            <v>OFFICE SUPPLIES AND EXPENSES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-79170.039999999994</v>
          </cell>
          <cell r="H475">
            <v>79170.080000000002</v>
          </cell>
          <cell r="I475">
            <v>0</v>
          </cell>
          <cell r="J475">
            <v>0.14000000000000001</v>
          </cell>
          <cell r="K475">
            <v>-0.14000000000000001</v>
          </cell>
          <cell r="L475">
            <v>0</v>
          </cell>
          <cell r="M475">
            <v>0</v>
          </cell>
          <cell r="N475">
            <v>-3552.05</v>
          </cell>
          <cell r="O475">
            <v>1259261.97</v>
          </cell>
          <cell r="P475">
            <v>1255709.96</v>
          </cell>
          <cell r="Q475">
            <v>1255709.96</v>
          </cell>
        </row>
        <row r="476">
          <cell r="A476" t="str">
            <v>F92140E</v>
          </cell>
          <cell r="B476" t="str">
            <v>OFFICE SUPPLIES AND EXPENSES</v>
          </cell>
          <cell r="C476">
            <v>0</v>
          </cell>
          <cell r="D476">
            <v>-14697</v>
          </cell>
          <cell r="E476">
            <v>-14695.95</v>
          </cell>
          <cell r="F476">
            <v>-166611.65</v>
          </cell>
          <cell r="G476">
            <v>45172</v>
          </cell>
          <cell r="H476">
            <v>-7415</v>
          </cell>
          <cell r="I476">
            <v>-43105.08</v>
          </cell>
          <cell r="J476">
            <v>-14697</v>
          </cell>
          <cell r="K476">
            <v>-14696.89</v>
          </cell>
          <cell r="L476">
            <v>-14697.08</v>
          </cell>
          <cell r="M476">
            <v>-9400.64</v>
          </cell>
          <cell r="N476">
            <v>-12222.2</v>
          </cell>
          <cell r="O476">
            <v>-17236.75</v>
          </cell>
          <cell r="P476">
            <v>-284303.24</v>
          </cell>
          <cell r="Q476">
            <v>-284303.24</v>
          </cell>
        </row>
        <row r="477">
          <cell r="A477" t="str">
            <v>F92140G</v>
          </cell>
          <cell r="B477" t="str">
            <v>OFFICE SUPPLIES AND</v>
          </cell>
          <cell r="C477">
            <v>0</v>
          </cell>
          <cell r="D477">
            <v>-4738</v>
          </cell>
          <cell r="E477">
            <v>-4737.66</v>
          </cell>
          <cell r="F477">
            <v>-53716.28</v>
          </cell>
          <cell r="G477">
            <v>14563</v>
          </cell>
          <cell r="H477">
            <v>-2390</v>
          </cell>
          <cell r="I477">
            <v>-13896.02</v>
          </cell>
          <cell r="J477">
            <v>-4738</v>
          </cell>
          <cell r="K477">
            <v>-4737.97</v>
          </cell>
          <cell r="L477">
            <v>-4738.0200000000004</v>
          </cell>
          <cell r="M477">
            <v>-3030.51</v>
          </cell>
          <cell r="N477">
            <v>-3940.22</v>
          </cell>
          <cell r="O477">
            <v>-5556.82</v>
          </cell>
          <cell r="P477">
            <v>-91656.5</v>
          </cell>
          <cell r="Q477">
            <v>-91656.5</v>
          </cell>
        </row>
        <row r="478">
          <cell r="A478" t="str">
            <v>F92170E</v>
          </cell>
          <cell r="B478" t="str">
            <v>OFFICE SUPPLIES AND EXPENSES-WA DOCS-EL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-25104.17</v>
          </cell>
          <cell r="H478">
            <v>287542.73</v>
          </cell>
          <cell r="I478">
            <v>-135628.98000000001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-246056.52</v>
          </cell>
          <cell r="P478">
            <v>-119246.94</v>
          </cell>
          <cell r="Q478">
            <v>-119246.94</v>
          </cell>
        </row>
        <row r="479">
          <cell r="A479" t="str">
            <v>F92170G</v>
          </cell>
          <cell r="B479" t="str">
            <v>OFFICE SUPPLIES AND EXPENSES-WA DOCS-GA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-8091.86</v>
          </cell>
          <cell r="H479">
            <v>92701.64</v>
          </cell>
          <cell r="I479">
            <v>-43704.59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-79323.179999999993</v>
          </cell>
          <cell r="P479">
            <v>-38417.989999999991</v>
          </cell>
          <cell r="Q479">
            <v>-38417.989999999991</v>
          </cell>
        </row>
        <row r="480">
          <cell r="A480" t="str">
            <v>F92180E</v>
          </cell>
          <cell r="B480" t="str">
            <v>OFFICE SUPPLIES AND EXPENSES-MAT COST A</v>
          </cell>
          <cell r="C480">
            <v>0</v>
          </cell>
          <cell r="D480">
            <v>-143286.1</v>
          </cell>
          <cell r="E480">
            <v>-36087.75</v>
          </cell>
          <cell r="F480">
            <v>-302662.86</v>
          </cell>
          <cell r="G480">
            <v>-181479.55</v>
          </cell>
          <cell r="H480">
            <v>-59091.15</v>
          </cell>
          <cell r="I480">
            <v>209004.44</v>
          </cell>
          <cell r="J480">
            <v>-61447.32</v>
          </cell>
          <cell r="K480">
            <v>-214678.26</v>
          </cell>
          <cell r="L480">
            <v>-9360.2000000000007</v>
          </cell>
          <cell r="M480">
            <v>0</v>
          </cell>
          <cell r="N480">
            <v>0</v>
          </cell>
          <cell r="O480">
            <v>986658.56</v>
          </cell>
          <cell r="P480">
            <v>187569.81000000006</v>
          </cell>
          <cell r="Q480">
            <v>187569.81000000006</v>
          </cell>
        </row>
        <row r="481">
          <cell r="A481" t="str">
            <v>F92180G</v>
          </cell>
          <cell r="B481" t="str">
            <v>OFFICE SUPPLIES AND EXPENSES-MAT COST A</v>
          </cell>
          <cell r="C481">
            <v>0</v>
          </cell>
          <cell r="D481">
            <v>-46193.94</v>
          </cell>
          <cell r="E481">
            <v>-11598.04</v>
          </cell>
          <cell r="F481">
            <v>-97564.67</v>
          </cell>
          <cell r="G481">
            <v>-58507.64</v>
          </cell>
          <cell r="H481">
            <v>-19061.099999999999</v>
          </cell>
          <cell r="I481">
            <v>67378.73</v>
          </cell>
          <cell r="J481">
            <v>-19791.22</v>
          </cell>
          <cell r="K481">
            <v>-69210.44</v>
          </cell>
          <cell r="L481">
            <v>-3017.6</v>
          </cell>
          <cell r="M481">
            <v>0</v>
          </cell>
          <cell r="N481">
            <v>0</v>
          </cell>
          <cell r="O481">
            <v>318076.19</v>
          </cell>
          <cell r="P481">
            <v>60510.270000000019</v>
          </cell>
          <cell r="Q481">
            <v>60510.270000000019</v>
          </cell>
        </row>
        <row r="482">
          <cell r="A482" t="str">
            <v>F92190E</v>
          </cell>
          <cell r="B482" t="str">
            <v>OFFICE SUPPLIES AND EXPENSES-OFFSET ADJ</v>
          </cell>
          <cell r="C482">
            <v>0</v>
          </cell>
          <cell r="D482">
            <v>36061.94</v>
          </cell>
          <cell r="E482">
            <v>-24762.63</v>
          </cell>
          <cell r="F482">
            <v>-14566.47</v>
          </cell>
          <cell r="G482">
            <v>0</v>
          </cell>
          <cell r="H482">
            <v>8995.68</v>
          </cell>
          <cell r="I482">
            <v>-9088.81</v>
          </cell>
          <cell r="J482">
            <v>3320.41</v>
          </cell>
          <cell r="K482">
            <v>-4665.6099999999997</v>
          </cell>
          <cell r="L482">
            <v>134.12</v>
          </cell>
          <cell r="M482">
            <v>-47.9</v>
          </cell>
          <cell r="N482">
            <v>0</v>
          </cell>
          <cell r="O482">
            <v>-84.69</v>
          </cell>
          <cell r="P482">
            <v>-4703.9599999999964</v>
          </cell>
          <cell r="Q482">
            <v>-4703.9599999999964</v>
          </cell>
        </row>
        <row r="483">
          <cell r="A483" t="str">
            <v>F92190G</v>
          </cell>
          <cell r="B483" t="str">
            <v>OFFICE SUPPLIES AND EXPENSES-OFFSET ADJ</v>
          </cell>
          <cell r="C483">
            <v>0</v>
          </cell>
          <cell r="D483">
            <v>11625.77</v>
          </cell>
          <cell r="E483">
            <v>-7999.37</v>
          </cell>
          <cell r="F483">
            <v>-4696.43</v>
          </cell>
          <cell r="G483">
            <v>0</v>
          </cell>
          <cell r="H483">
            <v>2899.99</v>
          </cell>
          <cell r="I483">
            <v>-2930.12</v>
          </cell>
          <cell r="J483">
            <v>1069.3900000000001</v>
          </cell>
          <cell r="K483">
            <v>-1504.25</v>
          </cell>
          <cell r="L483">
            <v>43.24</v>
          </cell>
          <cell r="M483">
            <v>-15.44</v>
          </cell>
          <cell r="N483">
            <v>0</v>
          </cell>
          <cell r="O483">
            <v>-27.31</v>
          </cell>
          <cell r="P483">
            <v>-1534.5299999999997</v>
          </cell>
          <cell r="Q483">
            <v>-1534.5299999999997</v>
          </cell>
        </row>
        <row r="484">
          <cell r="A484" t="str">
            <v>F92200C</v>
          </cell>
          <cell r="B484" t="str">
            <v>ADMINISTRATIVE EXPENSES TRANSFERRED-CRE</v>
          </cell>
          <cell r="C484">
            <v>0</v>
          </cell>
          <cell r="D484">
            <v>-104485.61</v>
          </cell>
          <cell r="E484">
            <v>-200846.28</v>
          </cell>
          <cell r="F484">
            <v>-144507.76</v>
          </cell>
          <cell r="G484">
            <v>-115887.31</v>
          </cell>
          <cell r="H484">
            <v>-155241.31</v>
          </cell>
          <cell r="I484">
            <v>-132500.76999999999</v>
          </cell>
          <cell r="J484">
            <v>-124672.29</v>
          </cell>
          <cell r="K484">
            <v>-172226.47</v>
          </cell>
          <cell r="L484">
            <v>-139693.85</v>
          </cell>
          <cell r="M484">
            <v>-188433.69</v>
          </cell>
          <cell r="N484">
            <v>-147449.68</v>
          </cell>
          <cell r="O484">
            <v>0</v>
          </cell>
          <cell r="P484">
            <v>-1625945.02</v>
          </cell>
          <cell r="Q484">
            <v>-1625945.02</v>
          </cell>
        </row>
        <row r="485">
          <cell r="A485" t="str">
            <v>F92200E</v>
          </cell>
          <cell r="B485" t="str">
            <v>ADMINISTRATIVE EXPENSES TRANSFERRED-CRE</v>
          </cell>
          <cell r="C485">
            <v>0</v>
          </cell>
          <cell r="D485">
            <v>-1862883.22</v>
          </cell>
          <cell r="E485">
            <v>-419728.6</v>
          </cell>
          <cell r="F485">
            <v>0</v>
          </cell>
          <cell r="G485">
            <v>-173769.27</v>
          </cell>
          <cell r="H485">
            <v>-361539.22</v>
          </cell>
          <cell r="I485">
            <v>-569203.13</v>
          </cell>
          <cell r="J485">
            <v>-305572.63</v>
          </cell>
          <cell r="K485">
            <v>-543076.05000000005</v>
          </cell>
          <cell r="L485">
            <v>-132032.62</v>
          </cell>
          <cell r="M485">
            <v>-418177.56</v>
          </cell>
          <cell r="N485">
            <v>9164.84</v>
          </cell>
          <cell r="O485">
            <v>-768270.52</v>
          </cell>
          <cell r="P485">
            <v>-5545087.9799999986</v>
          </cell>
          <cell r="Q485">
            <v>-5545087.9799999986</v>
          </cell>
        </row>
        <row r="486">
          <cell r="A486" t="str">
            <v>F92200G</v>
          </cell>
          <cell r="B486" t="str">
            <v>ADMINISTRATIVE EXPENSES TRANSFERRED-CRE</v>
          </cell>
          <cell r="C486">
            <v>0</v>
          </cell>
          <cell r="D486">
            <v>-600563.73</v>
          </cell>
          <cell r="E486">
            <v>-135313.78</v>
          </cell>
          <cell r="F486">
            <v>0</v>
          </cell>
          <cell r="G486">
            <v>-56020.44</v>
          </cell>
          <cell r="H486">
            <v>-116554.46</v>
          </cell>
          <cell r="I486">
            <v>-183501.99</v>
          </cell>
          <cell r="J486">
            <v>-98511.73</v>
          </cell>
          <cell r="K486">
            <v>-175079.02</v>
          </cell>
          <cell r="L486">
            <v>-42565.2</v>
          </cell>
          <cell r="M486">
            <v>-134813.75</v>
          </cell>
          <cell r="N486">
            <v>2954.59</v>
          </cell>
          <cell r="O486">
            <v>-247678.12</v>
          </cell>
          <cell r="P486">
            <v>-1787647.63</v>
          </cell>
          <cell r="Q486">
            <v>-1787647.63</v>
          </cell>
        </row>
        <row r="487">
          <cell r="A487" t="str">
            <v>F92300C</v>
          </cell>
          <cell r="B487" t="str">
            <v>OUTSIDE SERVICES EMPLOYED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-26.99</v>
          </cell>
          <cell r="H487">
            <v>27.03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1135932.23</v>
          </cell>
          <cell r="P487">
            <v>1135932.27</v>
          </cell>
          <cell r="Q487">
            <v>1135932.27</v>
          </cell>
        </row>
        <row r="488">
          <cell r="A488" t="str">
            <v>F92300E</v>
          </cell>
          <cell r="B488" t="str">
            <v>OUTSIDE SERVICES EMPLOYED</v>
          </cell>
          <cell r="C488">
            <v>0</v>
          </cell>
          <cell r="D488">
            <v>-10294.450000000001</v>
          </cell>
          <cell r="E488">
            <v>39139.699999999997</v>
          </cell>
          <cell r="F488">
            <v>41804.589999999997</v>
          </cell>
          <cell r="G488">
            <v>38738.49</v>
          </cell>
          <cell r="H488">
            <v>64528.33</v>
          </cell>
          <cell r="I488">
            <v>90371.34</v>
          </cell>
          <cell r="J488">
            <v>116890.02</v>
          </cell>
          <cell r="K488">
            <v>76896.27</v>
          </cell>
          <cell r="L488">
            <v>59073.97</v>
          </cell>
          <cell r="M488">
            <v>94919.44</v>
          </cell>
          <cell r="N488">
            <v>211251.32</v>
          </cell>
          <cell r="O488">
            <v>146047.73000000001</v>
          </cell>
          <cell r="P488">
            <v>969366.75</v>
          </cell>
          <cell r="Q488">
            <v>969366.75</v>
          </cell>
        </row>
        <row r="489">
          <cell r="A489" t="str">
            <v>F92300G</v>
          </cell>
          <cell r="B489" t="str">
            <v>OUTSIDE SERVICES EMPLOYED</v>
          </cell>
          <cell r="C489">
            <v>0</v>
          </cell>
          <cell r="D489">
            <v>13839.34</v>
          </cell>
          <cell r="E489">
            <v>11196.94</v>
          </cell>
          <cell r="F489">
            <v>28822.75</v>
          </cell>
          <cell r="G489">
            <v>24227.67</v>
          </cell>
          <cell r="H489">
            <v>17097.12</v>
          </cell>
          <cell r="I489">
            <v>17699.8</v>
          </cell>
          <cell r="J489">
            <v>16889.8</v>
          </cell>
          <cell r="K489">
            <v>22334.26</v>
          </cell>
          <cell r="L489">
            <v>18622.169999999998</v>
          </cell>
          <cell r="M489">
            <v>12605.63</v>
          </cell>
          <cell r="N489">
            <v>23616.85</v>
          </cell>
          <cell r="O489">
            <v>41400.32</v>
          </cell>
          <cell r="P489">
            <v>248352.65</v>
          </cell>
          <cell r="Q489">
            <v>248352.65</v>
          </cell>
        </row>
        <row r="490">
          <cell r="A490" t="str">
            <v>F92400E</v>
          </cell>
          <cell r="B490" t="str">
            <v>PROPERTY INSURANCE</v>
          </cell>
          <cell r="C490">
            <v>0</v>
          </cell>
          <cell r="D490">
            <v>118384.8</v>
          </cell>
          <cell r="E490">
            <v>84323.78</v>
          </cell>
          <cell r="F490">
            <v>141402.21</v>
          </cell>
          <cell r="G490">
            <v>-3450109.14</v>
          </cell>
          <cell r="H490">
            <v>10046.17</v>
          </cell>
          <cell r="I490">
            <v>79642.039999999994</v>
          </cell>
          <cell r="J490">
            <v>108179.14</v>
          </cell>
          <cell r="K490">
            <v>99238.01</v>
          </cell>
          <cell r="L490">
            <v>7354.54</v>
          </cell>
          <cell r="M490">
            <v>3463624.6</v>
          </cell>
          <cell r="N490">
            <v>-3451310.43</v>
          </cell>
          <cell r="O490">
            <v>29531.45</v>
          </cell>
          <cell r="P490">
            <v>-2759692.83</v>
          </cell>
          <cell r="Q490">
            <v>-2759692.83</v>
          </cell>
        </row>
        <row r="491">
          <cell r="A491" t="str">
            <v>F92400G</v>
          </cell>
          <cell r="B491" t="str">
            <v>PROPERTY INSURANCE</v>
          </cell>
          <cell r="C491">
            <v>0</v>
          </cell>
          <cell r="D491">
            <v>12438.83</v>
          </cell>
          <cell r="E491">
            <v>1401.68</v>
          </cell>
          <cell r="F491">
            <v>20512.439999999999</v>
          </cell>
          <cell r="G491">
            <v>1102.2</v>
          </cell>
          <cell r="H491">
            <v>1519.36</v>
          </cell>
          <cell r="I491">
            <v>23874.51</v>
          </cell>
          <cell r="J491">
            <v>33108.910000000003</v>
          </cell>
          <cell r="K491">
            <v>23240.32</v>
          </cell>
          <cell r="L491">
            <v>2800.46</v>
          </cell>
          <cell r="M491">
            <v>41894.949999999997</v>
          </cell>
          <cell r="N491">
            <v>400.43</v>
          </cell>
          <cell r="O491">
            <v>16697.89</v>
          </cell>
          <cell r="P491">
            <v>178991.97999999998</v>
          </cell>
          <cell r="Q491">
            <v>178991.97999999998</v>
          </cell>
        </row>
        <row r="492">
          <cell r="A492" t="str">
            <v>F92500C</v>
          </cell>
          <cell r="B492" t="str">
            <v>INJURIES AND DAMAGES</v>
          </cell>
          <cell r="C492">
            <v>0</v>
          </cell>
          <cell r="D492">
            <v>-239632.46</v>
          </cell>
          <cell r="E492">
            <v>300725.75</v>
          </cell>
          <cell r="F492">
            <v>-779988.23</v>
          </cell>
          <cell r="G492">
            <v>-239632</v>
          </cell>
          <cell r="H492">
            <v>-239632</v>
          </cell>
          <cell r="I492">
            <v>597365</v>
          </cell>
          <cell r="J492">
            <v>-332283</v>
          </cell>
          <cell r="K492">
            <v>-332283</v>
          </cell>
          <cell r="L492">
            <v>321672</v>
          </cell>
          <cell r="M492">
            <v>-406370</v>
          </cell>
          <cell r="N492">
            <v>0</v>
          </cell>
          <cell r="O492">
            <v>1269328.48</v>
          </cell>
          <cell r="P492">
            <v>-80729.459999999963</v>
          </cell>
          <cell r="Q492">
            <v>-80729.459999999963</v>
          </cell>
        </row>
        <row r="493">
          <cell r="A493" t="str">
            <v>F92500E</v>
          </cell>
          <cell r="B493" t="str">
            <v>INJURIES AND DAMAGES</v>
          </cell>
          <cell r="C493">
            <v>0</v>
          </cell>
          <cell r="D493">
            <v>302787.12</v>
          </cell>
          <cell r="E493">
            <v>392344.15</v>
          </cell>
          <cell r="F493">
            <v>298518.3</v>
          </cell>
          <cell r="G493">
            <v>270152.40000000002</v>
          </cell>
          <cell r="H493">
            <v>273618.03999999998</v>
          </cell>
          <cell r="I493">
            <v>231520.61</v>
          </cell>
          <cell r="J493">
            <v>269161.01</v>
          </cell>
          <cell r="K493">
            <v>353426.75</v>
          </cell>
          <cell r="L493">
            <v>294662.31</v>
          </cell>
          <cell r="M493">
            <v>393704.85</v>
          </cell>
          <cell r="N493">
            <v>215423.21</v>
          </cell>
          <cell r="O493">
            <v>234963.77</v>
          </cell>
          <cell r="P493">
            <v>3530282.52</v>
          </cell>
          <cell r="Q493">
            <v>3530282.52</v>
          </cell>
        </row>
        <row r="494">
          <cell r="A494" t="str">
            <v>F92500G</v>
          </cell>
          <cell r="B494" t="str">
            <v>INJURIES AND DAMAGES</v>
          </cell>
          <cell r="C494">
            <v>0</v>
          </cell>
          <cell r="D494">
            <v>129639.57</v>
          </cell>
          <cell r="E494">
            <v>164698.79</v>
          </cell>
          <cell r="F494">
            <v>120512.5</v>
          </cell>
          <cell r="G494">
            <v>141173.81</v>
          </cell>
          <cell r="H494">
            <v>151534.79999999999</v>
          </cell>
          <cell r="I494">
            <v>116748.2</v>
          </cell>
          <cell r="J494">
            <v>137780.54999999999</v>
          </cell>
          <cell r="K494">
            <v>201410.83</v>
          </cell>
          <cell r="L494">
            <v>162807.35999999999</v>
          </cell>
          <cell r="M494">
            <v>232816.86</v>
          </cell>
          <cell r="N494">
            <v>177281.68</v>
          </cell>
          <cell r="O494">
            <v>164516.44</v>
          </cell>
          <cell r="P494">
            <v>1900921.39</v>
          </cell>
          <cell r="Q494">
            <v>1900921.39</v>
          </cell>
        </row>
        <row r="495">
          <cell r="A495" t="str">
            <v>F92510C</v>
          </cell>
          <cell r="B495" t="str">
            <v>INJURIES AND DAMAGES - PLPD</v>
          </cell>
          <cell r="C495">
            <v>0</v>
          </cell>
          <cell r="D495">
            <v>47254.38</v>
          </cell>
          <cell r="E495">
            <v>21507.31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-7.19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68754.5</v>
          </cell>
          <cell r="Q495">
            <v>68754.5</v>
          </cell>
        </row>
        <row r="496">
          <cell r="A496" t="str">
            <v>F92510E</v>
          </cell>
          <cell r="B496" t="str">
            <v>INJURIES AND DAMAGES</v>
          </cell>
          <cell r="C496">
            <v>0</v>
          </cell>
          <cell r="D496">
            <v>99282.1</v>
          </cell>
          <cell r="E496">
            <v>108512.03</v>
          </cell>
          <cell r="F496">
            <v>135285.5</v>
          </cell>
          <cell r="G496">
            <v>101036.48</v>
          </cell>
          <cell r="H496">
            <v>182063.51</v>
          </cell>
          <cell r="I496">
            <v>143858.03</v>
          </cell>
          <cell r="J496">
            <v>97804.7</v>
          </cell>
          <cell r="K496">
            <v>116533.12</v>
          </cell>
          <cell r="L496">
            <v>95202.95</v>
          </cell>
          <cell r="M496">
            <v>108383.63</v>
          </cell>
          <cell r="N496">
            <v>155620.07</v>
          </cell>
          <cell r="O496">
            <v>144331.12</v>
          </cell>
          <cell r="P496">
            <v>1487913.2399999998</v>
          </cell>
          <cell r="Q496">
            <v>1487913.2399999998</v>
          </cell>
        </row>
        <row r="497">
          <cell r="A497" t="str">
            <v>F92510G</v>
          </cell>
          <cell r="B497" t="str">
            <v>INJURIES AND DAMAGES</v>
          </cell>
          <cell r="C497">
            <v>0</v>
          </cell>
          <cell r="D497">
            <v>42626.42</v>
          </cell>
          <cell r="E497">
            <v>42540.81</v>
          </cell>
          <cell r="F497">
            <v>39101.339999999997</v>
          </cell>
          <cell r="G497">
            <v>34338.410000000003</v>
          </cell>
          <cell r="H497">
            <v>69139.13</v>
          </cell>
          <cell r="I497">
            <v>52736.02</v>
          </cell>
          <cell r="J497">
            <v>37005.03</v>
          </cell>
          <cell r="K497">
            <v>45061.73</v>
          </cell>
          <cell r="L497">
            <v>36592.92</v>
          </cell>
          <cell r="M497">
            <v>41107.089999999997</v>
          </cell>
          <cell r="N497">
            <v>61844.88</v>
          </cell>
          <cell r="O497">
            <v>56954.54</v>
          </cell>
          <cell r="P497">
            <v>559048.32000000007</v>
          </cell>
          <cell r="Q497">
            <v>559048.32000000007</v>
          </cell>
        </row>
        <row r="498">
          <cell r="A498" t="str">
            <v>F92520E</v>
          </cell>
          <cell r="B498" t="str">
            <v>INJURIES AND DAMAGES</v>
          </cell>
          <cell r="C498">
            <v>0</v>
          </cell>
          <cell r="D498">
            <v>14724.45</v>
          </cell>
          <cell r="E498">
            <v>19558.810000000001</v>
          </cell>
          <cell r="F498">
            <v>14518.77</v>
          </cell>
          <cell r="G498">
            <v>17106.86</v>
          </cell>
          <cell r="H498">
            <v>18657.5</v>
          </cell>
          <cell r="I498">
            <v>13150.62</v>
          </cell>
          <cell r="J498">
            <v>13753.07</v>
          </cell>
          <cell r="K498">
            <v>17562.71</v>
          </cell>
          <cell r="L498">
            <v>14475.56</v>
          </cell>
          <cell r="M498">
            <v>40150.050000000003</v>
          </cell>
          <cell r="N498">
            <v>20871.54</v>
          </cell>
          <cell r="O498">
            <v>14154.98</v>
          </cell>
          <cell r="P498">
            <v>218684.91999999998</v>
          </cell>
          <cell r="Q498">
            <v>218684.91999999998</v>
          </cell>
        </row>
        <row r="499">
          <cell r="A499" t="str">
            <v>F92520G</v>
          </cell>
          <cell r="B499" t="str">
            <v>INJURIES AND DAMAGES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53.92</v>
          </cell>
          <cell r="J499">
            <v>23.92</v>
          </cell>
          <cell r="K499">
            <v>-16.32</v>
          </cell>
          <cell r="L499">
            <v>0</v>
          </cell>
          <cell r="M499">
            <v>81.099999999999994</v>
          </cell>
          <cell r="N499">
            <v>13.62</v>
          </cell>
          <cell r="O499">
            <v>29.16</v>
          </cell>
          <cell r="P499">
            <v>185.4</v>
          </cell>
          <cell r="Q499">
            <v>185.4</v>
          </cell>
        </row>
        <row r="500">
          <cell r="A500" t="str">
            <v>F92600C</v>
          </cell>
          <cell r="B500" t="str">
            <v>EMPLOYEE PENSIONS AND BENEFITS</v>
          </cell>
          <cell r="C500">
            <v>0</v>
          </cell>
          <cell r="D500">
            <v>-2438226.16</v>
          </cell>
          <cell r="E500">
            <v>-1214208.93</v>
          </cell>
          <cell r="F500">
            <v>-3764751.77</v>
          </cell>
          <cell r="G500">
            <v>3764750</v>
          </cell>
          <cell r="H500">
            <v>0</v>
          </cell>
          <cell r="I500">
            <v>-11730</v>
          </cell>
          <cell r="J500">
            <v>144898.6</v>
          </cell>
          <cell r="K500">
            <v>2866831.4</v>
          </cell>
          <cell r="L500">
            <v>-2747683.2</v>
          </cell>
          <cell r="M500">
            <v>-252316.79999999999</v>
          </cell>
          <cell r="N500">
            <v>-425459.03</v>
          </cell>
          <cell r="O500">
            <v>-4983176.57</v>
          </cell>
          <cell r="P500">
            <v>-9061072.4600000009</v>
          </cell>
          <cell r="Q500">
            <v>-9061072.4600000009</v>
          </cell>
        </row>
        <row r="501">
          <cell r="A501" t="str">
            <v>F92600E</v>
          </cell>
          <cell r="B501" t="str">
            <v>EMPLOYEE PENSIONS AND BENEFITS</v>
          </cell>
          <cell r="C501">
            <v>0</v>
          </cell>
          <cell r="D501">
            <v>-480737.14</v>
          </cell>
          <cell r="E501">
            <v>1888748.07</v>
          </cell>
          <cell r="F501">
            <v>3295556.56</v>
          </cell>
          <cell r="G501">
            <v>-2599574.85</v>
          </cell>
          <cell r="H501">
            <v>193646.57</v>
          </cell>
          <cell r="I501">
            <v>-205697.56</v>
          </cell>
          <cell r="J501">
            <v>161933.72</v>
          </cell>
          <cell r="K501">
            <v>258591.77</v>
          </cell>
          <cell r="L501">
            <v>2299123.42</v>
          </cell>
          <cell r="M501">
            <v>259433.66</v>
          </cell>
          <cell r="N501">
            <v>171166.45</v>
          </cell>
          <cell r="O501">
            <v>582291.56999999995</v>
          </cell>
          <cell r="P501">
            <v>5824482.2400000012</v>
          </cell>
          <cell r="Q501">
            <v>5824482.2400000012</v>
          </cell>
        </row>
        <row r="502">
          <cell r="A502" t="str">
            <v>F92600G</v>
          </cell>
          <cell r="B502" t="str">
            <v>EMPLOYEE PENSIONS AND BENEFITS</v>
          </cell>
          <cell r="C502">
            <v>0</v>
          </cell>
          <cell r="D502">
            <v>-193193.55</v>
          </cell>
          <cell r="E502">
            <v>755225.05</v>
          </cell>
          <cell r="F502">
            <v>1317789.21</v>
          </cell>
          <cell r="G502">
            <v>-1040105.81</v>
          </cell>
          <cell r="H502">
            <v>77638.740000000005</v>
          </cell>
          <cell r="I502">
            <v>-82452.820000000007</v>
          </cell>
          <cell r="J502">
            <v>64351.4</v>
          </cell>
          <cell r="K502">
            <v>103054.73</v>
          </cell>
          <cell r="L502">
            <v>918884.75</v>
          </cell>
          <cell r="M502">
            <v>103687.7</v>
          </cell>
          <cell r="N502">
            <v>67915.100000000006</v>
          </cell>
          <cell r="O502">
            <v>231969.07</v>
          </cell>
          <cell r="P502">
            <v>2324763.5699999998</v>
          </cell>
          <cell r="Q502">
            <v>2324763.5699999998</v>
          </cell>
        </row>
        <row r="503">
          <cell r="A503" t="str">
            <v>F92700E</v>
          </cell>
          <cell r="B503" t="str">
            <v>FRANCHISE REQUIREMENTS</v>
          </cell>
          <cell r="C503">
            <v>0</v>
          </cell>
          <cell r="D503">
            <v>2406033</v>
          </cell>
          <cell r="E503">
            <v>2313158.33</v>
          </cell>
          <cell r="F503">
            <v>1565894.58</v>
          </cell>
          <cell r="G503">
            <v>2034456</v>
          </cell>
          <cell r="H503">
            <v>2421092.54</v>
          </cell>
          <cell r="I503">
            <v>3245748</v>
          </cell>
          <cell r="J503">
            <v>5311677</v>
          </cell>
          <cell r="K503">
            <v>6276883.54</v>
          </cell>
          <cell r="L503">
            <v>4642084</v>
          </cell>
          <cell r="M503">
            <v>3038186</v>
          </cell>
          <cell r="N503">
            <v>-1135426.46</v>
          </cell>
          <cell r="O503">
            <v>4000833</v>
          </cell>
          <cell r="P503">
            <v>36120619.530000001</v>
          </cell>
          <cell r="Q503">
            <v>36120619.530000001</v>
          </cell>
        </row>
        <row r="504">
          <cell r="A504" t="str">
            <v>F92700G</v>
          </cell>
          <cell r="B504" t="str">
            <v>FRANCHISE REQUIREMENTS</v>
          </cell>
          <cell r="C504">
            <v>0</v>
          </cell>
          <cell r="D504">
            <v>1061979</v>
          </cell>
          <cell r="E504">
            <v>892428</v>
          </cell>
          <cell r="F504">
            <v>902059.37</v>
          </cell>
          <cell r="G504">
            <v>708955</v>
          </cell>
          <cell r="H504">
            <v>577305</v>
          </cell>
          <cell r="I504">
            <v>551591</v>
          </cell>
          <cell r="J504">
            <v>578717</v>
          </cell>
          <cell r="K504">
            <v>569616</v>
          </cell>
          <cell r="L504">
            <v>603158</v>
          </cell>
          <cell r="M504">
            <v>660718</v>
          </cell>
          <cell r="N504">
            <v>939954</v>
          </cell>
          <cell r="O504">
            <v>1476346</v>
          </cell>
          <cell r="P504">
            <v>9522826.370000001</v>
          </cell>
          <cell r="Q504">
            <v>9522826.370000001</v>
          </cell>
        </row>
        <row r="505">
          <cell r="A505" t="str">
            <v>F92800C</v>
          </cell>
          <cell r="B505" t="str">
            <v>REGULATORY COMMISSION EXPENSES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80057.83</v>
          </cell>
          <cell r="P505">
            <v>80057.83</v>
          </cell>
          <cell r="Q505">
            <v>80057.83</v>
          </cell>
        </row>
        <row r="506">
          <cell r="A506" t="str">
            <v>F92800E</v>
          </cell>
          <cell r="B506" t="str">
            <v>REGULATORY COMMISSION EXPENSES</v>
          </cell>
          <cell r="C506">
            <v>0</v>
          </cell>
          <cell r="D506">
            <v>346177</v>
          </cell>
          <cell r="E506">
            <v>561254.30000000005</v>
          </cell>
          <cell r="F506">
            <v>463917.41</v>
          </cell>
          <cell r="G506">
            <v>643359.36</v>
          </cell>
          <cell r="H506">
            <v>556679.80000000005</v>
          </cell>
          <cell r="I506">
            <v>489093.25</v>
          </cell>
          <cell r="J506">
            <v>381174.71</v>
          </cell>
          <cell r="K506">
            <v>403592.76</v>
          </cell>
          <cell r="L506">
            <v>496346.83</v>
          </cell>
          <cell r="M506">
            <v>581895.49</v>
          </cell>
          <cell r="N506">
            <v>884527.35</v>
          </cell>
          <cell r="O506">
            <v>806619.34</v>
          </cell>
          <cell r="P506">
            <v>6614637.5999999996</v>
          </cell>
          <cell r="Q506">
            <v>6614637.5999999996</v>
          </cell>
        </row>
        <row r="507">
          <cell r="A507" t="str">
            <v>F92800G</v>
          </cell>
          <cell r="B507" t="str">
            <v>REGULATORY COMMISSION EXPENSES</v>
          </cell>
          <cell r="C507">
            <v>0</v>
          </cell>
          <cell r="D507">
            <v>166843.48000000001</v>
          </cell>
          <cell r="E507">
            <v>162157.78</v>
          </cell>
          <cell r="F507">
            <v>177626.61</v>
          </cell>
          <cell r="G507">
            <v>111474.49</v>
          </cell>
          <cell r="H507">
            <v>134084.87</v>
          </cell>
          <cell r="I507">
            <v>200862.15</v>
          </cell>
          <cell r="J507">
            <v>130193.61</v>
          </cell>
          <cell r="K507">
            <v>146470.82999999999</v>
          </cell>
          <cell r="L507">
            <v>144711.82</v>
          </cell>
          <cell r="M507">
            <v>181826.03</v>
          </cell>
          <cell r="N507">
            <v>196254.51</v>
          </cell>
          <cell r="O507">
            <v>162408.60999999999</v>
          </cell>
          <cell r="P507">
            <v>1914914.79</v>
          </cell>
          <cell r="Q507">
            <v>1914914.79</v>
          </cell>
        </row>
        <row r="508">
          <cell r="A508" t="str">
            <v>F92900E</v>
          </cell>
          <cell r="B508" t="str">
            <v>DUPLICATE CHARGES-CR.</v>
          </cell>
          <cell r="C508">
            <v>0</v>
          </cell>
          <cell r="D508">
            <v>0</v>
          </cell>
          <cell r="E508">
            <v>-129692.79</v>
          </cell>
          <cell r="F508">
            <v>-50661.51</v>
          </cell>
          <cell r="G508">
            <v>0</v>
          </cell>
          <cell r="H508">
            <v>-97305.61</v>
          </cell>
          <cell r="I508">
            <v>-48210.62</v>
          </cell>
          <cell r="J508">
            <v>-97144.15</v>
          </cell>
          <cell r="K508">
            <v>-155027.45000000001</v>
          </cell>
          <cell r="L508">
            <v>-251518.51</v>
          </cell>
          <cell r="M508">
            <v>0</v>
          </cell>
          <cell r="N508">
            <v>0</v>
          </cell>
          <cell r="O508">
            <v>-741345.42</v>
          </cell>
          <cell r="P508">
            <v>-1570906.06</v>
          </cell>
          <cell r="Q508">
            <v>-1570906.06</v>
          </cell>
        </row>
        <row r="509">
          <cell r="A509" t="str">
            <v>F93010E</v>
          </cell>
          <cell r="B509" t="str">
            <v>GENERAL ADVERTISING EXPENSES</v>
          </cell>
          <cell r="C509">
            <v>0</v>
          </cell>
          <cell r="D509">
            <v>-205.39</v>
          </cell>
          <cell r="E509">
            <v>-3946.99</v>
          </cell>
          <cell r="F509">
            <v>7.18</v>
          </cell>
          <cell r="G509">
            <v>-814.56</v>
          </cell>
          <cell r="H509">
            <v>0</v>
          </cell>
          <cell r="I509">
            <v>265.66000000000003</v>
          </cell>
          <cell r="J509">
            <v>-3803.64</v>
          </cell>
          <cell r="K509">
            <v>-375.18</v>
          </cell>
          <cell r="L509">
            <v>30864.42</v>
          </cell>
          <cell r="M509">
            <v>4970.4799999999996</v>
          </cell>
          <cell r="N509">
            <v>8565.0499999999993</v>
          </cell>
          <cell r="O509">
            <v>11052.47</v>
          </cell>
          <cell r="P509">
            <v>46579.5</v>
          </cell>
          <cell r="Q509">
            <v>46579.5</v>
          </cell>
        </row>
        <row r="510">
          <cell r="A510" t="str">
            <v>F93010G</v>
          </cell>
          <cell r="B510" t="str">
            <v>GENERAL ADVERTISING EXPENSES</v>
          </cell>
          <cell r="C510">
            <v>0</v>
          </cell>
          <cell r="D510">
            <v>-66.22</v>
          </cell>
          <cell r="E510">
            <v>6633.15</v>
          </cell>
          <cell r="F510">
            <v>11881.03</v>
          </cell>
          <cell r="G510">
            <v>1800.75</v>
          </cell>
          <cell r="H510">
            <v>68408.42</v>
          </cell>
          <cell r="I510">
            <v>41902.300000000003</v>
          </cell>
          <cell r="J510">
            <v>2732.31</v>
          </cell>
          <cell r="K510">
            <v>41543.629999999997</v>
          </cell>
          <cell r="L510">
            <v>44416.42</v>
          </cell>
          <cell r="M510">
            <v>21914.77</v>
          </cell>
          <cell r="N510">
            <v>21890.58</v>
          </cell>
          <cell r="O510">
            <v>27502.76</v>
          </cell>
          <cell r="P510">
            <v>290559.90000000002</v>
          </cell>
          <cell r="Q510">
            <v>290559.90000000002</v>
          </cell>
        </row>
        <row r="511">
          <cell r="A511" t="str">
            <v>F93020C</v>
          </cell>
          <cell r="B511" t="str">
            <v>MISCELLANEOUS GENERAL EXPENSES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-481.95</v>
          </cell>
          <cell r="N511">
            <v>-240699.32</v>
          </cell>
          <cell r="O511">
            <v>-2341975.17</v>
          </cell>
          <cell r="P511">
            <v>-2583156.44</v>
          </cell>
          <cell r="Q511">
            <v>-2583156.44</v>
          </cell>
        </row>
        <row r="512">
          <cell r="A512" t="str">
            <v>F93020E</v>
          </cell>
          <cell r="B512" t="str">
            <v>MISCELLANEOUS GENERAL EXPENSES</v>
          </cell>
          <cell r="C512">
            <v>0</v>
          </cell>
          <cell r="D512">
            <v>99248.1</v>
          </cell>
          <cell r="E512">
            <v>444186.61</v>
          </cell>
          <cell r="F512">
            <v>3777590.64</v>
          </cell>
          <cell r="G512">
            <v>715459.29</v>
          </cell>
          <cell r="H512">
            <v>257828.1</v>
          </cell>
          <cell r="I512">
            <v>4440133.92</v>
          </cell>
          <cell r="J512">
            <v>197906.2</v>
          </cell>
          <cell r="K512">
            <v>-16951.439999999999</v>
          </cell>
          <cell r="L512">
            <v>4335096.41</v>
          </cell>
          <cell r="M512">
            <v>337998.83</v>
          </cell>
          <cell r="N512">
            <v>177392.41</v>
          </cell>
          <cell r="O512">
            <v>4419153.4400000004</v>
          </cell>
          <cell r="P512">
            <v>19185042.510000002</v>
          </cell>
          <cell r="Q512">
            <v>19185042.510000002</v>
          </cell>
        </row>
        <row r="513">
          <cell r="A513" t="str">
            <v>F93020G</v>
          </cell>
          <cell r="B513" t="str">
            <v>MISCELLANEOUS GENERAL EXPENSES</v>
          </cell>
          <cell r="C513">
            <v>0</v>
          </cell>
          <cell r="D513">
            <v>125016.42</v>
          </cell>
          <cell r="E513">
            <v>75131.360000000001</v>
          </cell>
          <cell r="F513">
            <v>-139677.99</v>
          </cell>
          <cell r="G513">
            <v>245518.25</v>
          </cell>
          <cell r="H513">
            <v>107742.25</v>
          </cell>
          <cell r="I513">
            <v>127065.05</v>
          </cell>
          <cell r="J513">
            <v>-138593.21</v>
          </cell>
          <cell r="K513">
            <v>45290.74</v>
          </cell>
          <cell r="L513">
            <v>61217.55</v>
          </cell>
          <cell r="M513">
            <v>106816.65</v>
          </cell>
          <cell r="N513">
            <v>70256.759999999995</v>
          </cell>
          <cell r="O513">
            <v>507728.95</v>
          </cell>
          <cell r="P513">
            <v>1193512.78</v>
          </cell>
          <cell r="Q513">
            <v>1193512.78</v>
          </cell>
        </row>
        <row r="514">
          <cell r="A514" t="str">
            <v>F93022C</v>
          </cell>
          <cell r="B514" t="str">
            <v>MISCELLANEOUS GENERAL EXPENSES-V&amp;S ADJU</v>
          </cell>
          <cell r="C514">
            <v>0</v>
          </cell>
          <cell r="D514">
            <v>184830.29</v>
          </cell>
          <cell r="E514">
            <v>97361.39</v>
          </cell>
          <cell r="F514">
            <v>45715.199999999997</v>
          </cell>
          <cell r="G514">
            <v>74284.58</v>
          </cell>
          <cell r="H514">
            <v>99706.58</v>
          </cell>
          <cell r="I514">
            <v>122078.18</v>
          </cell>
          <cell r="J514">
            <v>145926.75</v>
          </cell>
          <cell r="K514">
            <v>131587.14000000001</v>
          </cell>
          <cell r="L514">
            <v>145927.13</v>
          </cell>
          <cell r="M514">
            <v>109055.16</v>
          </cell>
          <cell r="N514">
            <v>161655.29999999999</v>
          </cell>
          <cell r="O514">
            <v>199342.59</v>
          </cell>
          <cell r="P514">
            <v>1517470.29</v>
          </cell>
          <cell r="Q514">
            <v>1517470.29</v>
          </cell>
        </row>
        <row r="515">
          <cell r="A515" t="str">
            <v>F93030E</v>
          </cell>
          <cell r="B515" t="str">
            <v>MISC GENERAL EXP-AFFIL. BILLING</v>
          </cell>
          <cell r="C515">
            <v>0</v>
          </cell>
          <cell r="D515">
            <v>0</v>
          </cell>
          <cell r="E515">
            <v>-23855.41</v>
          </cell>
          <cell r="F515">
            <v>0</v>
          </cell>
          <cell r="G515">
            <v>1000</v>
          </cell>
          <cell r="H515">
            <v>-940.9</v>
          </cell>
          <cell r="I515">
            <v>-61.19</v>
          </cell>
          <cell r="J515">
            <v>82.5</v>
          </cell>
          <cell r="K515">
            <v>-99.3</v>
          </cell>
          <cell r="L515">
            <v>0</v>
          </cell>
          <cell r="M515">
            <v>-444.46</v>
          </cell>
          <cell r="N515">
            <v>-55.93</v>
          </cell>
          <cell r="O515">
            <v>733.07</v>
          </cell>
          <cell r="P515">
            <v>-23641.62</v>
          </cell>
          <cell r="Q515">
            <v>-23641.62</v>
          </cell>
        </row>
        <row r="516">
          <cell r="A516" t="str">
            <v>F93040E</v>
          </cell>
          <cell r="B516" t="str">
            <v>EMERGING BUSINESS ENT. COSTS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57.03</v>
          </cell>
          <cell r="O516">
            <v>0</v>
          </cell>
          <cell r="P516">
            <v>57.03</v>
          </cell>
          <cell r="Q516">
            <v>57.03</v>
          </cell>
        </row>
        <row r="517">
          <cell r="A517" t="str">
            <v>F93040G</v>
          </cell>
          <cell r="B517" t="str">
            <v>FLEET COSTS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18.39</v>
          </cell>
          <cell r="O517">
            <v>0</v>
          </cell>
          <cell r="P517">
            <v>18.39</v>
          </cell>
          <cell r="Q517">
            <v>18.39</v>
          </cell>
        </row>
        <row r="518">
          <cell r="A518" t="str">
            <v>F93100E</v>
          </cell>
          <cell r="B518" t="str">
            <v>RENTS</v>
          </cell>
          <cell r="C518">
            <v>0</v>
          </cell>
          <cell r="D518">
            <v>354699.04</v>
          </cell>
          <cell r="E518">
            <v>169082.03</v>
          </cell>
          <cell r="F518">
            <v>232970.56</v>
          </cell>
          <cell r="G518">
            <v>241778.88</v>
          </cell>
          <cell r="H518">
            <v>232391.47</v>
          </cell>
          <cell r="I518">
            <v>250583.9</v>
          </cell>
          <cell r="J518">
            <v>283011.01</v>
          </cell>
          <cell r="K518">
            <v>275906.08</v>
          </cell>
          <cell r="L518">
            <v>265617.88</v>
          </cell>
          <cell r="M518">
            <v>334563.76</v>
          </cell>
          <cell r="N518">
            <v>281042.99</v>
          </cell>
          <cell r="O518">
            <v>288889.65999999997</v>
          </cell>
          <cell r="P518">
            <v>3210537.2600000007</v>
          </cell>
          <cell r="Q518">
            <v>3210537.2600000007</v>
          </cell>
        </row>
        <row r="519">
          <cell r="A519" t="str">
            <v>F93100G</v>
          </cell>
          <cell r="B519" t="str">
            <v>RENTS</v>
          </cell>
          <cell r="C519">
            <v>0</v>
          </cell>
          <cell r="D519">
            <v>114394.01</v>
          </cell>
          <cell r="E519">
            <v>54552.160000000003</v>
          </cell>
          <cell r="F519">
            <v>75479.47</v>
          </cell>
          <cell r="G519">
            <v>77986.66</v>
          </cell>
          <cell r="H519">
            <v>75137.710000000006</v>
          </cell>
          <cell r="I519">
            <v>81132.72</v>
          </cell>
          <cell r="J519">
            <v>91285.31</v>
          </cell>
          <cell r="K519">
            <v>88999.53</v>
          </cell>
          <cell r="L519">
            <v>85675.57</v>
          </cell>
          <cell r="M519">
            <v>91413.3</v>
          </cell>
          <cell r="N519">
            <v>90689.54</v>
          </cell>
          <cell r="O519">
            <v>93161.17</v>
          </cell>
          <cell r="P519">
            <v>1019907.1500000003</v>
          </cell>
          <cell r="Q519">
            <v>1019907.1500000003</v>
          </cell>
        </row>
        <row r="520">
          <cell r="A520" t="str">
            <v>F93500C</v>
          </cell>
          <cell r="B520" t="str">
            <v>MAINTENANCE OF GENERAL PLANT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-3.38</v>
          </cell>
          <cell r="I520">
            <v>-25421.7</v>
          </cell>
          <cell r="J520">
            <v>29.79</v>
          </cell>
          <cell r="K520">
            <v>0</v>
          </cell>
          <cell r="L520">
            <v>1913.88</v>
          </cell>
          <cell r="M520">
            <v>0</v>
          </cell>
          <cell r="N520">
            <v>0</v>
          </cell>
          <cell r="O520">
            <v>0</v>
          </cell>
          <cell r="P520">
            <v>-23481.41</v>
          </cell>
          <cell r="Q520">
            <v>-23481.41</v>
          </cell>
        </row>
        <row r="521">
          <cell r="A521" t="str">
            <v>F93500E</v>
          </cell>
          <cell r="B521" t="str">
            <v>MAINTENANCE OF GENERAL PLANT</v>
          </cell>
          <cell r="C521">
            <v>0</v>
          </cell>
          <cell r="D521">
            <v>986951.8</v>
          </cell>
          <cell r="E521">
            <v>1064058.5</v>
          </cell>
          <cell r="F521">
            <v>1019431.67</v>
          </cell>
          <cell r="G521">
            <v>738853.06</v>
          </cell>
          <cell r="H521">
            <v>1023729.21</v>
          </cell>
          <cell r="I521">
            <v>1052056.3799999999</v>
          </cell>
          <cell r="J521">
            <v>798662.16</v>
          </cell>
          <cell r="K521">
            <v>990252.59</v>
          </cell>
          <cell r="L521">
            <v>1041743.34</v>
          </cell>
          <cell r="M521">
            <v>1281888.3999999999</v>
          </cell>
          <cell r="N521">
            <v>1190039.51</v>
          </cell>
          <cell r="O521">
            <v>21687359.640000001</v>
          </cell>
          <cell r="P521">
            <v>32875026.260000002</v>
          </cell>
          <cell r="Q521">
            <v>32875026.260000002</v>
          </cell>
        </row>
        <row r="522">
          <cell r="A522" t="str">
            <v>F93500G</v>
          </cell>
          <cell r="B522" t="str">
            <v>MAINTENANCE OF GENERAL PLANT</v>
          </cell>
          <cell r="C522">
            <v>0</v>
          </cell>
          <cell r="D522">
            <v>327009.65000000002</v>
          </cell>
          <cell r="E522">
            <v>347301.49</v>
          </cell>
          <cell r="F522">
            <v>323315.84000000003</v>
          </cell>
          <cell r="G522">
            <v>238072.58</v>
          </cell>
          <cell r="H522">
            <v>330033.76</v>
          </cell>
          <cell r="I522">
            <v>337461.46</v>
          </cell>
          <cell r="J522">
            <v>257550.74</v>
          </cell>
          <cell r="K522">
            <v>318781.43</v>
          </cell>
          <cell r="L522">
            <v>336030.6</v>
          </cell>
          <cell r="M522">
            <v>413619.91</v>
          </cell>
          <cell r="N522">
            <v>383244.79999999999</v>
          </cell>
          <cell r="O522">
            <v>6970138.9299999997</v>
          </cell>
          <cell r="P522">
            <v>10582561.189999999</v>
          </cell>
          <cell r="Q522">
            <v>10582561.189999999</v>
          </cell>
        </row>
        <row r="523">
          <cell r="A523" t="str">
            <v>F93510E</v>
          </cell>
          <cell r="B523" t="str">
            <v>MAINT OF GENERAL PLA</v>
          </cell>
          <cell r="C523">
            <v>0</v>
          </cell>
          <cell r="D523">
            <v>99423.679999999993</v>
          </cell>
          <cell r="E523">
            <v>108717.52</v>
          </cell>
          <cell r="F523">
            <v>92700.26</v>
          </cell>
          <cell r="G523">
            <v>100195.67</v>
          </cell>
          <cell r="H523">
            <v>88397.68</v>
          </cell>
          <cell r="I523">
            <v>66613.100000000006</v>
          </cell>
          <cell r="J523">
            <v>76571.45</v>
          </cell>
          <cell r="K523">
            <v>76703.509999999995</v>
          </cell>
          <cell r="L523">
            <v>73454.39</v>
          </cell>
          <cell r="M523">
            <v>105719.51</v>
          </cell>
          <cell r="N523">
            <v>68930.789999999994</v>
          </cell>
          <cell r="O523">
            <v>76775.240000000005</v>
          </cell>
          <cell r="P523">
            <v>1034202.8</v>
          </cell>
          <cell r="Q523">
            <v>1034202.8</v>
          </cell>
        </row>
        <row r="524">
          <cell r="A524" t="str">
            <v>F93510G</v>
          </cell>
          <cell r="B524" t="str">
            <v>MAINT OF GENERAL PLA</v>
          </cell>
          <cell r="C524">
            <v>0</v>
          </cell>
          <cell r="D524">
            <v>39459.29</v>
          </cell>
          <cell r="E524">
            <v>43650.61</v>
          </cell>
          <cell r="F524">
            <v>35685.03</v>
          </cell>
          <cell r="G524">
            <v>40523.879999999997</v>
          </cell>
          <cell r="H524">
            <v>37449.17</v>
          </cell>
          <cell r="I524">
            <v>27288.91</v>
          </cell>
          <cell r="J524">
            <v>30284.23</v>
          </cell>
          <cell r="K524">
            <v>32447.82</v>
          </cell>
          <cell r="L524">
            <v>28475.68</v>
          </cell>
          <cell r="M524">
            <v>42711.41</v>
          </cell>
          <cell r="N524">
            <v>27997.89</v>
          </cell>
          <cell r="O524">
            <v>43142.22</v>
          </cell>
          <cell r="P524">
            <v>429116.14</v>
          </cell>
          <cell r="Q524">
            <v>429116.14</v>
          </cell>
        </row>
        <row r="525">
          <cell r="A525" t="str">
            <v>F99912C</v>
          </cell>
          <cell r="B525" t="str">
            <v>OVERHEAD RECONCILIATION-DEBIT</v>
          </cell>
          <cell r="C525">
            <v>52057.98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52057.98</v>
          </cell>
        </row>
        <row r="526">
          <cell r="A526" t="str">
            <v>F99913C</v>
          </cell>
          <cell r="B526" t="str">
            <v>OVERHEAD RECONCILIATION-CREDIT</v>
          </cell>
          <cell r="C526">
            <v>-52057.98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-52057.98</v>
          </cell>
        </row>
        <row r="527">
          <cell r="A527" t="str">
            <v>F99914C</v>
          </cell>
          <cell r="B527" t="str">
            <v>SEMPRA CHARGES RECON-DEBIT</v>
          </cell>
          <cell r="C527">
            <v>843660.1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843660.1</v>
          </cell>
        </row>
        <row r="528">
          <cell r="A528" t="str">
            <v>F99915C</v>
          </cell>
          <cell r="B528" t="str">
            <v>SEMPRA CHARGES RECON-CREDIT</v>
          </cell>
          <cell r="C528">
            <v>-843660.1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-843660.1</v>
          </cell>
        </row>
        <row r="529">
          <cell r="A529" t="str">
            <v>F99970C</v>
          </cell>
          <cell r="B529" t="str">
            <v>NEGATIVE ADJUSTMENTS-DEBITS</v>
          </cell>
          <cell r="C529">
            <v>1440991.19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1440991.19</v>
          </cell>
        </row>
        <row r="530">
          <cell r="A530" t="str">
            <v>F99971C</v>
          </cell>
          <cell r="B530" t="str">
            <v>NEGATIVE ADJUSTMENTS-DEBITS</v>
          </cell>
          <cell r="C530">
            <v>560771.13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560771.13</v>
          </cell>
        </row>
        <row r="531">
          <cell r="A531" t="str">
            <v>F99972C</v>
          </cell>
          <cell r="B531" t="str">
            <v>SDGE O/H NEGATIVE ADJUSTMENTS-DEBITS</v>
          </cell>
          <cell r="C531">
            <v>282062.7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282062.7</v>
          </cell>
        </row>
        <row r="532">
          <cell r="A532" t="str">
            <v>F99980C</v>
          </cell>
          <cell r="B532" t="str">
            <v>NEGATIVE ADJUSTMENTS-CREDITS</v>
          </cell>
          <cell r="C532">
            <v>-1440991.19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-1440991.19</v>
          </cell>
        </row>
        <row r="533">
          <cell r="A533" t="str">
            <v>F99981C</v>
          </cell>
          <cell r="B533" t="str">
            <v>NEGATIVE ADJUSTMENTS-CREDITS</v>
          </cell>
          <cell r="C533">
            <v>-560771.13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-560771.13</v>
          </cell>
        </row>
        <row r="534">
          <cell r="A534" t="str">
            <v>F99982C</v>
          </cell>
          <cell r="B534" t="str">
            <v>SDGE O/H NEGATIVE ADJUSTMENTS-CREDITS</v>
          </cell>
          <cell r="C534">
            <v>-282062.7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-282062.7</v>
          </cell>
        </row>
        <row r="535">
          <cell r="A535" t="str">
            <v>F99990C</v>
          </cell>
          <cell r="B535" t="str">
            <v>PROFIT AND LOSS OFFSET ACCOUNT</v>
          </cell>
          <cell r="C535">
            <v>0</v>
          </cell>
          <cell r="D535">
            <v>-50516726.799999997</v>
          </cell>
          <cell r="E535">
            <v>-62460241.329999998</v>
          </cell>
          <cell r="F535">
            <v>-57197847.840000004</v>
          </cell>
          <cell r="G535">
            <v>-40105254.25</v>
          </cell>
          <cell r="H535">
            <v>-53555595.390000001</v>
          </cell>
          <cell r="I535">
            <v>-55022782.530000001</v>
          </cell>
          <cell r="J535">
            <v>-52857198.469999999</v>
          </cell>
          <cell r="K535">
            <v>-62724998.939999998</v>
          </cell>
          <cell r="L535">
            <v>-64124086.880000003</v>
          </cell>
          <cell r="M535">
            <v>-68564665.280000001</v>
          </cell>
          <cell r="N535">
            <v>-53084959.810000002</v>
          </cell>
          <cell r="O535">
            <v>-91130668.230000004</v>
          </cell>
          <cell r="P535">
            <v>-711345025.75</v>
          </cell>
          <cell r="Q535">
            <v>-711345025.75</v>
          </cell>
        </row>
        <row r="536">
          <cell r="A536" t="str">
            <v>FERROR1</v>
          </cell>
          <cell r="B536" t="str">
            <v>FERC FLOW OF COSTS TRACE ERRORS</v>
          </cell>
          <cell r="C536">
            <v>0</v>
          </cell>
          <cell r="D536">
            <v>-113.15</v>
          </cell>
          <cell r="E536">
            <v>-0.04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-113.19000000000001</v>
          </cell>
          <cell r="Q536">
            <v>-113.19000000000001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2.9802322387695313E-8</v>
          </cell>
          <cell r="P537">
            <v>-8.9645386935899296E-7</v>
          </cell>
          <cell r="Q537">
            <v>2.9802322387695313E-8</v>
          </cell>
        </row>
      </sheetData>
      <sheetData sheetId="3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25940448.66</v>
          </cell>
          <cell r="E26">
            <v>17929176.25</v>
          </cell>
          <cell r="F26">
            <v>15446801.810000001</v>
          </cell>
          <cell r="G26">
            <v>9841464.6699999999</v>
          </cell>
          <cell r="H26">
            <v>8372962.2400000002</v>
          </cell>
          <cell r="I26">
            <v>35325174.700000003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225160380.94</v>
          </cell>
        </row>
        <row r="27">
          <cell r="A27" t="str">
            <v>F10100G</v>
          </cell>
          <cell r="B27" t="str">
            <v>PLANT IN SERVICE</v>
          </cell>
          <cell r="D27">
            <v>717567.8</v>
          </cell>
          <cell r="E27">
            <v>1948665.07</v>
          </cell>
          <cell r="F27">
            <v>1960692.9</v>
          </cell>
          <cell r="G27">
            <v>2769975.46</v>
          </cell>
          <cell r="H27">
            <v>1551142.09</v>
          </cell>
          <cell r="I27">
            <v>2300293.91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29982326.039999999</v>
          </cell>
        </row>
        <row r="28">
          <cell r="A28" t="str">
            <v>F10200E</v>
          </cell>
          <cell r="B28" t="str">
            <v>PLANT PURCHASED OR SOLD</v>
          </cell>
          <cell r="E28">
            <v>10232.040000000001</v>
          </cell>
          <cell r="I28">
            <v>0</v>
          </cell>
          <cell r="N28">
            <v>0</v>
          </cell>
          <cell r="O28">
            <v>0</v>
          </cell>
          <cell r="Q28">
            <v>10232.040000000001</v>
          </cell>
        </row>
        <row r="29">
          <cell r="A29" t="str">
            <v>F10500C</v>
          </cell>
          <cell r="B29" t="str">
            <v>HELD FOR FUTURE USE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-4020357.23</v>
          </cell>
          <cell r="E30">
            <v>-5585037.0099999998</v>
          </cell>
          <cell r="F30">
            <v>-323510.15999999997</v>
          </cell>
          <cell r="G30">
            <v>5764123.1100000003</v>
          </cell>
          <cell r="H30">
            <v>4013987.54</v>
          </cell>
          <cell r="I30">
            <v>-15587431.210000001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-10822583.350000001</v>
          </cell>
        </row>
        <row r="31">
          <cell r="A31" t="str">
            <v>F10700E</v>
          </cell>
          <cell r="Q31">
            <v>0</v>
          </cell>
        </row>
        <row r="32">
          <cell r="A32" t="str">
            <v>F10700G</v>
          </cell>
          <cell r="Q32">
            <v>0</v>
          </cell>
        </row>
        <row r="33">
          <cell r="A33" t="str">
            <v>F10800E</v>
          </cell>
          <cell r="B33" t="str">
            <v>ACCUMULATED PROVISION FOR DEPRECIATION</v>
          </cell>
          <cell r="D33">
            <v>-10434159.09</v>
          </cell>
          <cell r="E33">
            <v>-7880761.3399999999</v>
          </cell>
          <cell r="F33">
            <v>-7297371.6600000001</v>
          </cell>
          <cell r="G33">
            <v>-11487093.84</v>
          </cell>
          <cell r="H33">
            <v>-10242584.07</v>
          </cell>
          <cell r="I33">
            <v>-6345584.5599999996</v>
          </cell>
          <cell r="J33">
            <v>-10611088.880000001</v>
          </cell>
          <cell r="K33">
            <v>-10156127.970000001</v>
          </cell>
          <cell r="L33">
            <v>-1200453.06</v>
          </cell>
          <cell r="M33">
            <v>-10418804.390000001</v>
          </cell>
          <cell r="N33">
            <v>-9863965.2400000002</v>
          </cell>
          <cell r="O33">
            <v>-13115016.76</v>
          </cell>
          <cell r="Q33">
            <v>-109053010.86000001</v>
          </cell>
        </row>
        <row r="34">
          <cell r="A34" t="str">
            <v>F10800G</v>
          </cell>
          <cell r="B34" t="str">
            <v>ACCUMULATED PROVISION FOR DEPRECIATION</v>
          </cell>
          <cell r="D34">
            <v>-2749112.4</v>
          </cell>
          <cell r="E34">
            <v>-2619386.7200000002</v>
          </cell>
          <cell r="F34">
            <v>-2614343.4</v>
          </cell>
          <cell r="G34">
            <v>-2632218.91</v>
          </cell>
          <cell r="H34">
            <v>-2643990.7799999998</v>
          </cell>
          <cell r="I34">
            <v>-2652290.4300000002</v>
          </cell>
          <cell r="J34">
            <v>-2629735.56</v>
          </cell>
          <cell r="K34">
            <v>-2554886.54</v>
          </cell>
          <cell r="L34">
            <v>-2638800.62</v>
          </cell>
          <cell r="M34">
            <v>-2657122.14</v>
          </cell>
          <cell r="N34">
            <v>-2701946.33</v>
          </cell>
          <cell r="O34">
            <v>-2545273.4900000002</v>
          </cell>
          <cell r="Q34">
            <v>-31639107.32</v>
          </cell>
        </row>
        <row r="35">
          <cell r="A35" t="str">
            <v>F11100C</v>
          </cell>
          <cell r="B35" t="str">
            <v>ACCUMULATED PROVISION FOR AMORTIZATION AND DEPLETI</v>
          </cell>
          <cell r="D35">
            <v>-620411.32999999996</v>
          </cell>
          <cell r="E35">
            <v>-578905.94999999995</v>
          </cell>
          <cell r="F35">
            <v>-578905.94999999995</v>
          </cell>
          <cell r="G35">
            <v>-576658.32999999996</v>
          </cell>
          <cell r="H35">
            <v>-584493.68000000005</v>
          </cell>
          <cell r="I35">
            <v>-596643.18999999994</v>
          </cell>
          <cell r="J35">
            <v>2245453.16</v>
          </cell>
          <cell r="K35">
            <v>-487956.76</v>
          </cell>
          <cell r="L35">
            <v>-487956.76</v>
          </cell>
          <cell r="M35">
            <v>-485926.17</v>
          </cell>
          <cell r="N35">
            <v>-566359.52</v>
          </cell>
          <cell r="O35">
            <v>-654130.59</v>
          </cell>
          <cell r="Q35">
            <v>-3972895.0699999994</v>
          </cell>
        </row>
        <row r="36">
          <cell r="A36" t="str">
            <v>F11100E</v>
          </cell>
          <cell r="B36" t="str">
            <v>ACCUMULATED PROVISION FOR AMORTIZATION AND DEPLETI</v>
          </cell>
          <cell r="D36">
            <v>-169241.32</v>
          </cell>
          <cell r="E36">
            <v>-171851.85</v>
          </cell>
          <cell r="F36">
            <v>-168824.16</v>
          </cell>
          <cell r="G36">
            <v>-168257.21</v>
          </cell>
          <cell r="H36">
            <v>-173158.15</v>
          </cell>
          <cell r="I36">
            <v>-169271.49</v>
          </cell>
          <cell r="J36">
            <v>-3039584.28</v>
          </cell>
          <cell r="K36">
            <v>-324275.51</v>
          </cell>
          <cell r="L36">
            <v>-323149.46999999997</v>
          </cell>
          <cell r="M36">
            <v>-321933.62</v>
          </cell>
          <cell r="N36">
            <v>-313683.95</v>
          </cell>
          <cell r="O36">
            <v>-322399.90999999997</v>
          </cell>
          <cell r="Q36">
            <v>-5665630.9199999999</v>
          </cell>
        </row>
        <row r="37">
          <cell r="A37" t="str">
            <v>F11100G</v>
          </cell>
          <cell r="B37" t="str">
            <v>ACCUMULATED PROVISION FOR AMORTIZATION AND DEPLETI</v>
          </cell>
          <cell r="D37">
            <v>-23566.959999999999</v>
          </cell>
          <cell r="E37">
            <v>-23568.34</v>
          </cell>
          <cell r="F37">
            <v>-23572.3</v>
          </cell>
          <cell r="G37">
            <v>-25369.62</v>
          </cell>
          <cell r="H37">
            <v>-27172.02</v>
          </cell>
          <cell r="I37">
            <v>-27188.67</v>
          </cell>
          <cell r="J37">
            <v>-27128.46</v>
          </cell>
          <cell r="K37">
            <v>-27294.25</v>
          </cell>
          <cell r="L37">
            <v>-27298.73</v>
          </cell>
          <cell r="M37">
            <v>-27338.28</v>
          </cell>
          <cell r="N37">
            <v>-27486.79</v>
          </cell>
          <cell r="O37">
            <v>-27701.19</v>
          </cell>
          <cell r="Q37">
            <v>-314685.61</v>
          </cell>
        </row>
        <row r="38">
          <cell r="A38" t="str">
            <v>F11800C</v>
          </cell>
          <cell r="B38" t="str">
            <v>OTHER UTILITY PLANT</v>
          </cell>
          <cell r="D38">
            <v>2073681.32</v>
          </cell>
          <cell r="E38">
            <v>122895.49</v>
          </cell>
          <cell r="F38">
            <v>-180699.79</v>
          </cell>
          <cell r="G38">
            <v>527451.42000000004</v>
          </cell>
          <cell r="H38">
            <v>1949582.13</v>
          </cell>
          <cell r="I38">
            <v>-2434513.17</v>
          </cell>
          <cell r="J38">
            <v>-2531920.5099999998</v>
          </cell>
          <cell r="K38">
            <v>-206347.48</v>
          </cell>
          <cell r="L38">
            <v>-297420.06</v>
          </cell>
          <cell r="M38">
            <v>44811.12</v>
          </cell>
          <cell r="N38">
            <v>9994148.8800000008</v>
          </cell>
          <cell r="O38">
            <v>2422803.64</v>
          </cell>
          <cell r="Q38">
            <v>11484472.990000002</v>
          </cell>
        </row>
        <row r="39">
          <cell r="A39" t="str">
            <v>F11830C</v>
          </cell>
          <cell r="B39" t="str">
            <v>OTHER UTILITY PLANT CWIP</v>
          </cell>
          <cell r="D39">
            <v>-2476917.46</v>
          </cell>
          <cell r="E39">
            <v>1228308.8</v>
          </cell>
          <cell r="F39">
            <v>1353230.11</v>
          </cell>
          <cell r="G39">
            <v>1080200.21</v>
          </cell>
          <cell r="H39">
            <v>-697361.51</v>
          </cell>
          <cell r="I39">
            <v>-4266910.17</v>
          </cell>
          <cell r="J39">
            <v>-3082703.3</v>
          </cell>
          <cell r="K39">
            <v>1152627.52</v>
          </cell>
          <cell r="L39">
            <v>2272203.7000000002</v>
          </cell>
          <cell r="M39">
            <v>2169658.02</v>
          </cell>
          <cell r="N39">
            <v>-7779150.5999999996</v>
          </cell>
          <cell r="O39">
            <v>3628657.84</v>
          </cell>
          <cell r="Q39">
            <v>-5418156.839999998</v>
          </cell>
        </row>
        <row r="40">
          <cell r="A40" t="str">
            <v>F11900C</v>
          </cell>
          <cell r="B40" t="str">
            <v>ACCUM AMORT-OTHER UTILITY PLANT</v>
          </cell>
          <cell r="D40">
            <v>-1116960.6100000001</v>
          </cell>
          <cell r="E40">
            <v>-1163042.6299999999</v>
          </cell>
          <cell r="F40">
            <v>-885214.01</v>
          </cell>
          <cell r="G40">
            <v>-1162401.96</v>
          </cell>
          <cell r="H40">
            <v>-1177384.23</v>
          </cell>
          <cell r="I40">
            <v>6162431.9500000002</v>
          </cell>
          <cell r="J40">
            <v>-1151209</v>
          </cell>
          <cell r="K40">
            <v>-1178494.95</v>
          </cell>
          <cell r="L40">
            <v>-813913.62</v>
          </cell>
          <cell r="M40">
            <v>-1110594.29</v>
          </cell>
          <cell r="N40">
            <v>-803560.69</v>
          </cell>
          <cell r="O40">
            <v>-1019059.76</v>
          </cell>
          <cell r="Q40">
            <v>-5419403.7999999989</v>
          </cell>
        </row>
        <row r="41">
          <cell r="A41" t="str">
            <v>F12060E</v>
          </cell>
          <cell r="B41" t="str">
            <v>NUCLEAR FUEL UNDER CAPITAL LEASES-ACC DEPRECIATION</v>
          </cell>
          <cell r="D41">
            <v>26211221.920000002</v>
          </cell>
          <cell r="E41">
            <v>-523420</v>
          </cell>
          <cell r="F41">
            <v>-550292</v>
          </cell>
          <cell r="G41">
            <v>-532042</v>
          </cell>
          <cell r="H41">
            <v>-544736</v>
          </cell>
          <cell r="I41">
            <v>-1007268</v>
          </cell>
          <cell r="J41">
            <v>-1069121</v>
          </cell>
          <cell r="K41">
            <v>-1117620</v>
          </cell>
          <cell r="L41">
            <v>-1091057</v>
          </cell>
          <cell r="M41">
            <v>-949078</v>
          </cell>
          <cell r="N41">
            <v>-1096493</v>
          </cell>
          <cell r="O41">
            <v>-1135019</v>
          </cell>
          <cell r="Q41">
            <v>16595075.920000002</v>
          </cell>
        </row>
        <row r="42">
          <cell r="A42" t="str">
            <v>F12061E</v>
          </cell>
          <cell r="B42" t="str">
            <v>NUCLEAR FUEL UNDER CAPITAL LEASES-CWIP</v>
          </cell>
          <cell r="D42">
            <v>12911.33</v>
          </cell>
          <cell r="E42">
            <v>1672860.57</v>
          </cell>
          <cell r="F42">
            <v>-9617592.5099999998</v>
          </cell>
          <cell r="G42">
            <v>-2386</v>
          </cell>
          <cell r="H42">
            <v>144166.34</v>
          </cell>
          <cell r="I42">
            <v>9000</v>
          </cell>
          <cell r="K42">
            <v>2099873.4300000002</v>
          </cell>
          <cell r="L42">
            <v>-4000</v>
          </cell>
          <cell r="M42">
            <v>588093.75</v>
          </cell>
          <cell r="N42">
            <v>550098.25</v>
          </cell>
          <cell r="O42">
            <v>604.79999999999995</v>
          </cell>
          <cell r="Q42">
            <v>-4546370.04</v>
          </cell>
        </row>
        <row r="43">
          <cell r="A43" t="str">
            <v>F12063E</v>
          </cell>
          <cell r="B43" t="str">
            <v>NUCLEAR FUEL UNDER CAPITAL LEASES-PLANT IN SERVICE</v>
          </cell>
          <cell r="D43">
            <v>-26783109.920000002</v>
          </cell>
          <cell r="F43">
            <v>9653914.1300000008</v>
          </cell>
          <cell r="G43">
            <v>55727.6</v>
          </cell>
          <cell r="I43">
            <v>0</v>
          </cell>
          <cell r="K43">
            <v>1900719.6</v>
          </cell>
          <cell r="N43">
            <v>0</v>
          </cell>
          <cell r="O43">
            <v>0</v>
          </cell>
          <cell r="Q43">
            <v>-15172748.589999998</v>
          </cell>
        </row>
        <row r="44">
          <cell r="A44" t="str">
            <v>F12100C</v>
          </cell>
          <cell r="B44" t="str">
            <v>NONUTILITY PROPERTY</v>
          </cell>
          <cell r="D44">
            <v>1730.22</v>
          </cell>
          <cell r="E44">
            <v>-371725.03</v>
          </cell>
          <cell r="F44">
            <v>258822.72</v>
          </cell>
          <cell r="G44">
            <v>57595.88</v>
          </cell>
          <cell r="H44">
            <v>3751009.23</v>
          </cell>
          <cell r="I44">
            <v>578.79</v>
          </cell>
          <cell r="J44">
            <v>1838.17</v>
          </cell>
          <cell r="K44">
            <v>117314.66</v>
          </cell>
          <cell r="L44">
            <v>-1445.53</v>
          </cell>
          <cell r="M44">
            <v>227687.63</v>
          </cell>
          <cell r="N44">
            <v>-100261.23</v>
          </cell>
          <cell r="O44">
            <v>85515.66</v>
          </cell>
          <cell r="Q44">
            <v>4028661.1700000004</v>
          </cell>
        </row>
        <row r="45">
          <cell r="A45" t="str">
            <v>F12200C</v>
          </cell>
          <cell r="B45" t="str">
            <v>ACCUM. PROV. FOR DEPR. AND AMORT.</v>
          </cell>
          <cell r="D45">
            <v>-12756.23</v>
          </cell>
          <cell r="E45">
            <v>-12756.24</v>
          </cell>
          <cell r="F45">
            <v>-12756.23</v>
          </cell>
          <cell r="G45">
            <v>-12756.24</v>
          </cell>
          <cell r="H45">
            <v>-12756.23</v>
          </cell>
          <cell r="I45">
            <v>-12756.25</v>
          </cell>
          <cell r="J45">
            <v>-12756.22</v>
          </cell>
          <cell r="K45">
            <v>-12756.23</v>
          </cell>
          <cell r="L45">
            <v>-12756.24</v>
          </cell>
          <cell r="M45">
            <v>-12756.23</v>
          </cell>
          <cell r="N45">
            <v>-12756.24</v>
          </cell>
          <cell r="O45">
            <v>-12756.23</v>
          </cell>
          <cell r="Q45">
            <v>-153074.81</v>
          </cell>
        </row>
        <row r="46">
          <cell r="A46" t="str">
            <v>F12310C</v>
          </cell>
          <cell r="Q46">
            <v>0</v>
          </cell>
        </row>
        <row r="47">
          <cell r="A47" t="str">
            <v>F12400C</v>
          </cell>
          <cell r="B47" t="str">
            <v>OTHER INVESTMENTS</v>
          </cell>
          <cell r="G47">
            <v>-5355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112248.1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85276.9</v>
          </cell>
          <cell r="E48">
            <v>133435.69</v>
          </cell>
          <cell r="F48">
            <v>112647</v>
          </cell>
          <cell r="G48">
            <v>209090.16</v>
          </cell>
          <cell r="H48">
            <v>96427.4</v>
          </cell>
          <cell r="I48">
            <v>131951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326194.64000000013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-3673827.05</v>
          </cell>
          <cell r="G49">
            <v>410600</v>
          </cell>
          <cell r="H49">
            <v>410600</v>
          </cell>
          <cell r="I49">
            <v>-2915481.27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-16723104.000000002</v>
          </cell>
        </row>
        <row r="50">
          <cell r="A50" t="str">
            <v>F13100C</v>
          </cell>
          <cell r="B50" t="str">
            <v>CASH</v>
          </cell>
          <cell r="D50">
            <v>7513437.4100000001</v>
          </cell>
          <cell r="E50">
            <v>3483478.12</v>
          </cell>
          <cell r="F50">
            <v>-8206841.1399999997</v>
          </cell>
          <cell r="G50">
            <v>4879293.88</v>
          </cell>
          <cell r="H50">
            <v>-2736209.81</v>
          </cell>
          <cell r="I50">
            <v>-2703084.95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3461823.5400000005</v>
          </cell>
        </row>
        <row r="51">
          <cell r="A51" t="str">
            <v>F13400C</v>
          </cell>
          <cell r="B51" t="str">
            <v>OTHER SPECIAL DEPOSITS</v>
          </cell>
          <cell r="D51">
            <v>-100763.1</v>
          </cell>
          <cell r="E51">
            <v>12.92</v>
          </cell>
          <cell r="F51">
            <v>12.61</v>
          </cell>
          <cell r="G51">
            <v>9.92</v>
          </cell>
          <cell r="H51">
            <v>-235283.46</v>
          </cell>
          <cell r="I51">
            <v>663622.76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72345.929999999993</v>
          </cell>
        </row>
        <row r="52">
          <cell r="A52" t="str">
            <v>F13500C</v>
          </cell>
          <cell r="B52" t="str">
            <v>WORKING FUND</v>
          </cell>
          <cell r="F52">
            <v>1000</v>
          </cell>
          <cell r="H52">
            <v>-2090.67</v>
          </cell>
          <cell r="I52">
            <v>-6909.9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-17940</v>
          </cell>
        </row>
        <row r="53">
          <cell r="A53" t="str">
            <v>F13600C</v>
          </cell>
          <cell r="B53" t="str">
            <v>TEMPORARY CASH INVESTMENTS</v>
          </cell>
          <cell r="D53">
            <v>-55241221.799999997</v>
          </cell>
          <cell r="E53">
            <v>240236513.11000001</v>
          </cell>
          <cell r="F53">
            <v>111004961.56999999</v>
          </cell>
          <cell r="G53">
            <v>30738253.079999998</v>
          </cell>
          <cell r="H53">
            <v>-316499536.69999999</v>
          </cell>
          <cell r="I53">
            <v>106223934.18000001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61931248.659999996</v>
          </cell>
        </row>
        <row r="54">
          <cell r="A54" t="str">
            <v>F14200C</v>
          </cell>
          <cell r="B54" t="str">
            <v>CUSTOMER ACCOUNTS RECEIVABLE</v>
          </cell>
          <cell r="D54">
            <v>90783741.890000001</v>
          </cell>
          <cell r="E54">
            <v>25821856.18</v>
          </cell>
          <cell r="F54">
            <v>-13964461.15</v>
          </cell>
          <cell r="G54">
            <v>-54285099.18</v>
          </cell>
          <cell r="H54">
            <v>-22894221.25</v>
          </cell>
          <cell r="I54">
            <v>-2289760.4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-47042384.839999989</v>
          </cell>
        </row>
        <row r="55">
          <cell r="A55" t="str">
            <v>F14300C</v>
          </cell>
          <cell r="B55" t="str">
            <v>OTHER ACCOUNTS RECEIVABLE</v>
          </cell>
          <cell r="D55">
            <v>-6503081.21</v>
          </cell>
          <cell r="E55">
            <v>-17970498.43</v>
          </cell>
          <cell r="F55">
            <v>5270207.28</v>
          </cell>
          <cell r="G55">
            <v>4094465.84</v>
          </cell>
          <cell r="H55">
            <v>12139692.43</v>
          </cell>
          <cell r="I55">
            <v>-2909986.79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-17594056.990000002</v>
          </cell>
        </row>
        <row r="56">
          <cell r="A56" t="str">
            <v>F14400C</v>
          </cell>
          <cell r="Q56">
            <v>0</v>
          </cell>
        </row>
        <row r="57">
          <cell r="A57" t="str">
            <v>F14500C</v>
          </cell>
          <cell r="B57" t="str">
            <v>NOTES REC FROM ASSOC</v>
          </cell>
          <cell r="D57">
            <v>-19087729.07</v>
          </cell>
          <cell r="H57">
            <v>146883180.28999999</v>
          </cell>
          <cell r="I57">
            <v>-146580476.66999999</v>
          </cell>
          <cell r="J57">
            <v>3546911.12</v>
          </cell>
          <cell r="K57">
            <v>138543994.84999999</v>
          </cell>
          <cell r="L57">
            <v>31142952.530000001</v>
          </cell>
          <cell r="M57">
            <v>41374603.950000003</v>
          </cell>
          <cell r="N57">
            <v>-19716138.43</v>
          </cell>
          <cell r="O57">
            <v>-143432350.00999999</v>
          </cell>
          <cell r="Q57">
            <v>32674948.560000002</v>
          </cell>
        </row>
        <row r="58">
          <cell r="A58" t="str">
            <v>F14600C</v>
          </cell>
          <cell r="B58" t="str">
            <v>ACCOUNTS RECEIVABLE FROM ASSOC. COMPANIES</v>
          </cell>
          <cell r="D58">
            <v>-6948913.9699999997</v>
          </cell>
          <cell r="E58">
            <v>9291785.6699999999</v>
          </cell>
          <cell r="F58">
            <v>1966347.8</v>
          </cell>
          <cell r="G58">
            <v>7579757.9100000001</v>
          </cell>
          <cell r="H58">
            <v>-6192670.6799999997</v>
          </cell>
          <cell r="I58">
            <v>76598.679999999993</v>
          </cell>
          <cell r="J58">
            <v>-1799175.24</v>
          </cell>
          <cell r="K58">
            <v>3380399.61</v>
          </cell>
          <cell r="L58">
            <v>951171.52</v>
          </cell>
          <cell r="M58">
            <v>-6163089.1299999999</v>
          </cell>
          <cell r="N58">
            <v>5028848.33</v>
          </cell>
          <cell r="O58">
            <v>-11434258.59</v>
          </cell>
          <cell r="Q58">
            <v>-4263198.0900000008</v>
          </cell>
        </row>
        <row r="59">
          <cell r="A59" t="str">
            <v>F15200C</v>
          </cell>
          <cell r="Q59">
            <v>0</v>
          </cell>
        </row>
        <row r="60">
          <cell r="A60" t="str">
            <v>F15400C</v>
          </cell>
          <cell r="B60" t="str">
            <v>PLANT MATERIALS AND OPERATING SUPPLIES</v>
          </cell>
          <cell r="D60">
            <v>-651454.52</v>
          </cell>
          <cell r="E60">
            <v>-219848.22</v>
          </cell>
          <cell r="F60">
            <v>-519100.37</v>
          </cell>
          <cell r="G60">
            <v>1899669.15</v>
          </cell>
          <cell r="H60">
            <v>-173280.15</v>
          </cell>
          <cell r="I60">
            <v>-1092566.6100000001</v>
          </cell>
          <cell r="J60">
            <v>-320566.09000000003</v>
          </cell>
          <cell r="K60">
            <v>727549.72</v>
          </cell>
          <cell r="L60">
            <v>-1724128.1</v>
          </cell>
          <cell r="M60">
            <v>2168113.79</v>
          </cell>
          <cell r="N60">
            <v>-2352968.2200000002</v>
          </cell>
          <cell r="O60">
            <v>266764.79999999999</v>
          </cell>
          <cell r="Q60">
            <v>-1991814.82</v>
          </cell>
        </row>
        <row r="61">
          <cell r="A61" t="str">
            <v>F15600C</v>
          </cell>
          <cell r="B61" t="str">
            <v>OTHER MATERIALS AND SUPPLIES</v>
          </cell>
          <cell r="D61">
            <v>-301.92</v>
          </cell>
          <cell r="E61">
            <v>701.15</v>
          </cell>
          <cell r="F61">
            <v>952.82</v>
          </cell>
          <cell r="G61">
            <v>2903.32</v>
          </cell>
          <cell r="H61">
            <v>280</v>
          </cell>
          <cell r="I61">
            <v>-8331.35</v>
          </cell>
          <cell r="J61">
            <v>-37604.839999999997</v>
          </cell>
          <cell r="K61">
            <v>2908.13</v>
          </cell>
          <cell r="L61">
            <v>-735.53</v>
          </cell>
          <cell r="M61">
            <v>10301.42</v>
          </cell>
          <cell r="N61">
            <v>-176.41</v>
          </cell>
          <cell r="O61">
            <v>-10125.01</v>
          </cell>
          <cell r="Q61">
            <v>-39228.22</v>
          </cell>
        </row>
        <row r="62">
          <cell r="A62" t="str">
            <v>F15700C</v>
          </cell>
          <cell r="Q62">
            <v>0</v>
          </cell>
        </row>
        <row r="63">
          <cell r="A63" t="str">
            <v>F16300C</v>
          </cell>
          <cell r="B63" t="str">
            <v>STORES EXPENSE UNDISTRIBUTED</v>
          </cell>
          <cell r="D63">
            <v>244573.57</v>
          </cell>
          <cell r="E63">
            <v>137612.95000000001</v>
          </cell>
          <cell r="F63">
            <v>11337.92</v>
          </cell>
          <cell r="G63">
            <v>857385.24</v>
          </cell>
          <cell r="H63">
            <v>342876.7</v>
          </cell>
          <cell r="I63">
            <v>-104401.66</v>
          </cell>
          <cell r="J63">
            <v>856271.73</v>
          </cell>
          <cell r="K63">
            <v>139120.53</v>
          </cell>
          <cell r="L63">
            <v>-1429832.63</v>
          </cell>
          <cell r="M63">
            <v>-2678314.69</v>
          </cell>
          <cell r="N63">
            <v>1955901.55</v>
          </cell>
          <cell r="O63">
            <v>-25960.75</v>
          </cell>
          <cell r="Q63">
            <v>306570.4600000002</v>
          </cell>
        </row>
        <row r="64">
          <cell r="A64" t="str">
            <v>F16410C</v>
          </cell>
          <cell r="B64" t="str">
            <v>GAS STORED UNDERGROUND-CURRENT</v>
          </cell>
          <cell r="D64">
            <v>-5555239</v>
          </cell>
          <cell r="E64">
            <v>-3152571</v>
          </cell>
          <cell r="F64">
            <v>223555</v>
          </cell>
          <cell r="G64">
            <v>3466164</v>
          </cell>
          <cell r="H64">
            <v>11082045</v>
          </cell>
          <cell r="I64">
            <v>9013380</v>
          </cell>
          <cell r="J64">
            <v>2399738</v>
          </cell>
          <cell r="K64">
            <v>1200193</v>
          </cell>
          <cell r="L64">
            <v>3582041</v>
          </cell>
          <cell r="M64">
            <v>1646309</v>
          </cell>
          <cell r="N64">
            <v>24135</v>
          </cell>
          <cell r="O64">
            <v>-2231773</v>
          </cell>
          <cell r="Q64">
            <v>21697977</v>
          </cell>
        </row>
        <row r="65">
          <cell r="A65" t="str">
            <v>F16420C</v>
          </cell>
          <cell r="B65" t="str">
            <v>LIQUEFIED NATURAL GAS STORED</v>
          </cell>
          <cell r="D65">
            <v>-24.46</v>
          </cell>
          <cell r="E65">
            <v>-2764.54</v>
          </cell>
          <cell r="F65">
            <v>4818.83</v>
          </cell>
          <cell r="G65">
            <v>-5336.02</v>
          </cell>
          <cell r="H65">
            <v>383.76</v>
          </cell>
          <cell r="I65">
            <v>869.23</v>
          </cell>
          <cell r="J65">
            <v>1216.01</v>
          </cell>
          <cell r="K65">
            <v>-1560.79</v>
          </cell>
          <cell r="L65">
            <v>1097.95</v>
          </cell>
          <cell r="M65">
            <v>1306.01</v>
          </cell>
          <cell r="N65">
            <v>-2898.51</v>
          </cell>
          <cell r="O65">
            <v>3606.41</v>
          </cell>
          <cell r="Q65">
            <v>713.8799999999992</v>
          </cell>
        </row>
        <row r="66">
          <cell r="A66" t="str">
            <v>F16500C</v>
          </cell>
          <cell r="B66" t="str">
            <v>PREPAYMENTS</v>
          </cell>
          <cell r="D66">
            <v>-906794.99</v>
          </cell>
          <cell r="E66">
            <v>-294897.78999999998</v>
          </cell>
          <cell r="F66">
            <v>-297930.78999999998</v>
          </cell>
          <cell r="G66">
            <v>1457619.11</v>
          </cell>
          <cell r="H66">
            <v>-2093306.98</v>
          </cell>
          <cell r="I66">
            <v>-251729.07</v>
          </cell>
          <cell r="J66">
            <v>932018.24</v>
          </cell>
          <cell r="K66">
            <v>-297281.71999999997</v>
          </cell>
          <cell r="L66">
            <v>1187606.98</v>
          </cell>
          <cell r="M66">
            <v>-268504.52</v>
          </cell>
          <cell r="N66">
            <v>-268504.46999999997</v>
          </cell>
          <cell r="O66">
            <v>-3320078.35</v>
          </cell>
          <cell r="Q66">
            <v>-4421784.3499999996</v>
          </cell>
        </row>
        <row r="67">
          <cell r="A67" t="str">
            <v>F17100C</v>
          </cell>
          <cell r="B67" t="str">
            <v>INTEREST AND DIVIDENDS RECEIVABLE</v>
          </cell>
          <cell r="D67">
            <v>7710738.3600000003</v>
          </cell>
          <cell r="E67">
            <v>213035754.69</v>
          </cell>
          <cell r="F67">
            <v>-220274097.78999999</v>
          </cell>
          <cell r="G67">
            <v>3693890.22</v>
          </cell>
          <cell r="H67">
            <v>-3868696.55</v>
          </cell>
          <cell r="I67">
            <v>-477613.16</v>
          </cell>
          <cell r="J67">
            <v>721711.59</v>
          </cell>
          <cell r="K67">
            <v>-160367.42000000001</v>
          </cell>
          <cell r="L67">
            <v>-103808.47</v>
          </cell>
          <cell r="M67">
            <v>-247117</v>
          </cell>
          <cell r="N67">
            <v>212307.48</v>
          </cell>
          <cell r="O67">
            <v>72508625.079999998</v>
          </cell>
          <cell r="Q67">
            <v>72751327.030000016</v>
          </cell>
        </row>
        <row r="68">
          <cell r="A68" t="str">
            <v>F17300C</v>
          </cell>
          <cell r="B68" t="str">
            <v>ACCRUED UTILITY REVENUES</v>
          </cell>
          <cell r="O68">
            <v>-1259000</v>
          </cell>
          <cell r="Q68">
            <v>-1259000</v>
          </cell>
        </row>
        <row r="69">
          <cell r="A69" t="str">
            <v>F17400C</v>
          </cell>
          <cell r="B69" t="str">
            <v>MISCELLANEOUS CURRENT AND ACCRUED ASSETS</v>
          </cell>
          <cell r="D69">
            <v>119502474</v>
          </cell>
          <cell r="E69">
            <v>-14430775</v>
          </cell>
          <cell r="F69">
            <v>-38602426</v>
          </cell>
          <cell r="G69">
            <v>43949154</v>
          </cell>
          <cell r="H69">
            <v>-66522252</v>
          </cell>
          <cell r="I69">
            <v>-32176527</v>
          </cell>
          <cell r="J69">
            <v>-4650701</v>
          </cell>
          <cell r="K69">
            <v>-3719714</v>
          </cell>
          <cell r="L69">
            <v>-859042</v>
          </cell>
          <cell r="M69">
            <v>12889277</v>
          </cell>
          <cell r="N69">
            <v>-14404777</v>
          </cell>
          <cell r="O69">
            <v>21862</v>
          </cell>
          <cell r="Q69">
            <v>996553</v>
          </cell>
        </row>
        <row r="70">
          <cell r="A70" t="str">
            <v>F17401C</v>
          </cell>
          <cell r="B70" t="str">
            <v>MISC. CURRENT AND ACCRUED ASSETS-BALANCING ACCOUNT</v>
          </cell>
          <cell r="D70">
            <v>153278983</v>
          </cell>
          <cell r="E70">
            <v>25911539</v>
          </cell>
          <cell r="F70">
            <v>28100050</v>
          </cell>
          <cell r="G70">
            <v>47918095</v>
          </cell>
          <cell r="H70">
            <v>-77267363</v>
          </cell>
          <cell r="I70">
            <v>-11018197</v>
          </cell>
          <cell r="J70">
            <v>4938027</v>
          </cell>
          <cell r="K70">
            <v>-91816044</v>
          </cell>
          <cell r="L70">
            <v>847882.66</v>
          </cell>
          <cell r="M70">
            <v>16817330.280000001</v>
          </cell>
          <cell r="N70">
            <v>-115764467.94</v>
          </cell>
          <cell r="O70">
            <v>-14194993</v>
          </cell>
          <cell r="Q70">
            <v>-32249158</v>
          </cell>
        </row>
        <row r="71">
          <cell r="A71" t="str">
            <v>F18100C</v>
          </cell>
          <cell r="B71" t="str">
            <v>UNAMORTIZED DEBT EXPENSES</v>
          </cell>
          <cell r="D71">
            <v>-48511.54</v>
          </cell>
          <cell r="E71">
            <v>-48511.54</v>
          </cell>
          <cell r="F71">
            <v>-48511.54</v>
          </cell>
          <cell r="G71">
            <v>-48511.54</v>
          </cell>
          <cell r="H71">
            <v>-48511.54</v>
          </cell>
          <cell r="I71">
            <v>-48511.54</v>
          </cell>
          <cell r="J71">
            <v>-48511.54</v>
          </cell>
          <cell r="K71">
            <v>-48511.54</v>
          </cell>
          <cell r="L71">
            <v>-48511.54</v>
          </cell>
          <cell r="M71">
            <v>-48511.54</v>
          </cell>
          <cell r="N71">
            <v>-48511.54</v>
          </cell>
          <cell r="O71">
            <v>-48511.54</v>
          </cell>
          <cell r="Q71">
            <v>-582138.48</v>
          </cell>
        </row>
        <row r="72">
          <cell r="A72" t="str">
            <v>F18220C</v>
          </cell>
          <cell r="Q72">
            <v>0</v>
          </cell>
        </row>
        <row r="73">
          <cell r="A73" t="str">
            <v>F18230C</v>
          </cell>
          <cell r="B73" t="str">
            <v>OTHER REGULATORY ASSETS</v>
          </cell>
          <cell r="D73">
            <v>269509887.64999998</v>
          </cell>
          <cell r="E73">
            <v>595420720.64999998</v>
          </cell>
          <cell r="F73">
            <v>-159952634.34999999</v>
          </cell>
          <cell r="G73">
            <v>77208173.650000006</v>
          </cell>
          <cell r="H73">
            <v>-89671161.349999994</v>
          </cell>
          <cell r="I73">
            <v>-225253089.12</v>
          </cell>
          <cell r="J73">
            <v>-7918186.3399999999</v>
          </cell>
          <cell r="K73">
            <v>-140435267.59</v>
          </cell>
          <cell r="L73">
            <v>540619453.38</v>
          </cell>
          <cell r="M73">
            <v>-45944843.590000004</v>
          </cell>
          <cell r="N73">
            <v>38090072.259999998</v>
          </cell>
          <cell r="O73">
            <v>-48227459.960000001</v>
          </cell>
          <cell r="Q73">
            <v>803445665.28999984</v>
          </cell>
        </row>
        <row r="74">
          <cell r="A74" t="str">
            <v>F18300C</v>
          </cell>
          <cell r="B74" t="str">
            <v>PRELIM. SURVEY AND INVESTIGATION CHARGES (ELECTRIC</v>
          </cell>
          <cell r="D74">
            <v>306375.07</v>
          </cell>
          <cell r="E74">
            <v>411246.37</v>
          </cell>
          <cell r="F74">
            <v>72617.990000000005</v>
          </cell>
          <cell r="G74">
            <v>578197.4</v>
          </cell>
          <cell r="H74">
            <v>315685.53999999998</v>
          </cell>
          <cell r="I74">
            <v>342646.36</v>
          </cell>
          <cell r="J74">
            <v>294895.27</v>
          </cell>
          <cell r="K74">
            <v>615651.31999999995</v>
          </cell>
          <cell r="L74">
            <v>552406.93999999994</v>
          </cell>
          <cell r="M74">
            <v>377812.92</v>
          </cell>
          <cell r="N74">
            <v>748915.04</v>
          </cell>
          <cell r="O74">
            <v>386262.24</v>
          </cell>
          <cell r="Q74">
            <v>5002712.46</v>
          </cell>
        </row>
        <row r="75">
          <cell r="A75" t="str">
            <v>F18400C</v>
          </cell>
          <cell r="B75" t="str">
            <v>CLEARING ACCOUNTS</v>
          </cell>
          <cell r="D75">
            <v>-193734.73</v>
          </cell>
          <cell r="E75">
            <v>7822.08</v>
          </cell>
          <cell r="F75">
            <v>598382.09</v>
          </cell>
          <cell r="G75">
            <v>-469348.22</v>
          </cell>
          <cell r="H75">
            <v>-751411.14</v>
          </cell>
          <cell r="I75">
            <v>-254707.8</v>
          </cell>
          <cell r="J75">
            <v>-246168.46</v>
          </cell>
          <cell r="K75">
            <v>-2858202.75</v>
          </cell>
          <cell r="L75">
            <v>2390475.1</v>
          </cell>
          <cell r="M75">
            <v>56617.85</v>
          </cell>
          <cell r="N75">
            <v>-13060.44</v>
          </cell>
          <cell r="O75">
            <v>75254.34</v>
          </cell>
          <cell r="Q75">
            <v>-1658082.0799999994</v>
          </cell>
        </row>
        <row r="76">
          <cell r="A76" t="str">
            <v>F18500C</v>
          </cell>
          <cell r="B76" t="str">
            <v>TEMPORARY FACILITIES</v>
          </cell>
          <cell r="D76">
            <v>53131.96</v>
          </cell>
          <cell r="E76">
            <v>36444.879999999997</v>
          </cell>
          <cell r="F76">
            <v>1937.11</v>
          </cell>
          <cell r="G76">
            <v>-732385.93</v>
          </cell>
          <cell r="H76">
            <v>184799.48</v>
          </cell>
          <cell r="I76">
            <v>16802.560000000001</v>
          </cell>
          <cell r="J76">
            <v>-33553.72</v>
          </cell>
          <cell r="K76">
            <v>-30071.7</v>
          </cell>
          <cell r="L76">
            <v>-43962.21</v>
          </cell>
          <cell r="M76">
            <v>-7057.48</v>
          </cell>
          <cell r="N76">
            <v>-65736.39</v>
          </cell>
          <cell r="O76">
            <v>203034.34</v>
          </cell>
          <cell r="Q76">
            <v>-416617.10000000021</v>
          </cell>
        </row>
        <row r="77">
          <cell r="A77" t="str">
            <v>F18600C</v>
          </cell>
          <cell r="B77" t="str">
            <v>MISCELLANEOUS DEFERRED DEBITS</v>
          </cell>
          <cell r="D77">
            <v>108626095.5</v>
          </cell>
          <cell r="E77">
            <v>-551307632.36000001</v>
          </cell>
          <cell r="F77">
            <v>-40951647.490000002</v>
          </cell>
          <cell r="G77">
            <v>25617346.57</v>
          </cell>
          <cell r="H77">
            <v>231962432.84</v>
          </cell>
          <cell r="I77">
            <v>-315642.32</v>
          </cell>
          <cell r="J77">
            <v>1555594.69</v>
          </cell>
          <cell r="K77">
            <v>-82523051.5</v>
          </cell>
          <cell r="L77">
            <v>33167405.829999998</v>
          </cell>
          <cell r="M77">
            <v>13435598.050000001</v>
          </cell>
          <cell r="N77">
            <v>-117259347.95</v>
          </cell>
          <cell r="O77">
            <v>110026084.83</v>
          </cell>
          <cell r="Q77">
            <v>-267966763.31000006</v>
          </cell>
        </row>
        <row r="78">
          <cell r="A78" t="str">
            <v>F18800C</v>
          </cell>
          <cell r="B78" t="str">
            <v>RESEARCH  DEVEL. AND DEMONSTRATION EXPEND.</v>
          </cell>
          <cell r="I78">
            <v>0</v>
          </cell>
          <cell r="K78">
            <v>4719.09</v>
          </cell>
          <cell r="N78">
            <v>0</v>
          </cell>
          <cell r="O78">
            <v>0</v>
          </cell>
          <cell r="Q78">
            <v>4719.09</v>
          </cell>
        </row>
        <row r="79">
          <cell r="A79" t="str">
            <v>F18900C</v>
          </cell>
          <cell r="B79" t="str">
            <v>UNAMORTIZED LOSS ON REACQUIRED DEBT</v>
          </cell>
          <cell r="D79">
            <v>-374872.7</v>
          </cell>
          <cell r="E79">
            <v>-374872.7</v>
          </cell>
          <cell r="F79">
            <v>-374872.7</v>
          </cell>
          <cell r="G79">
            <v>-374872.7</v>
          </cell>
          <cell r="H79">
            <v>-374872.7</v>
          </cell>
          <cell r="I79">
            <v>-374872.7</v>
          </cell>
          <cell r="J79">
            <v>-374872.7</v>
          </cell>
          <cell r="K79">
            <v>-374872.71</v>
          </cell>
          <cell r="L79">
            <v>-363294.65</v>
          </cell>
          <cell r="M79">
            <v>-363294.65</v>
          </cell>
          <cell r="N79">
            <v>-363294.65</v>
          </cell>
          <cell r="O79">
            <v>-363294.65</v>
          </cell>
          <cell r="Q79">
            <v>-4452160.21</v>
          </cell>
        </row>
        <row r="80">
          <cell r="A80" t="str">
            <v>F19000C</v>
          </cell>
          <cell r="B80" t="str">
            <v>ACCUMULATED DEFERRED INCOME TAXES</v>
          </cell>
          <cell r="D80">
            <v>232697807</v>
          </cell>
          <cell r="E80">
            <v>-217983807</v>
          </cell>
          <cell r="F80">
            <v>30096000</v>
          </cell>
          <cell r="G80">
            <v>121000</v>
          </cell>
          <cell r="H80">
            <v>290451000</v>
          </cell>
          <cell r="I80">
            <v>89000</v>
          </cell>
          <cell r="J80">
            <v>260000</v>
          </cell>
          <cell r="K80">
            <v>87200000</v>
          </cell>
          <cell r="L80">
            <v>-9224000</v>
          </cell>
          <cell r="M80">
            <v>122000</v>
          </cell>
          <cell r="N80">
            <v>11289000</v>
          </cell>
          <cell r="O80">
            <v>-28947000</v>
          </cell>
          <cell r="Q80">
            <v>396171000</v>
          </cell>
        </row>
        <row r="81">
          <cell r="A81" t="str">
            <v>F19002C</v>
          </cell>
          <cell r="B81" t="str">
            <v>ACCUMULATED DEFERRED INCOME TAXES</v>
          </cell>
          <cell r="D81">
            <v>-61526238.229999997</v>
          </cell>
          <cell r="I81">
            <v>0</v>
          </cell>
          <cell r="N81">
            <v>0</v>
          </cell>
          <cell r="O81">
            <v>0</v>
          </cell>
          <cell r="Q81">
            <v>-61526238.229999997</v>
          </cell>
        </row>
        <row r="82">
          <cell r="A82" t="str">
            <v>F19100C</v>
          </cell>
          <cell r="B82" t="str">
            <v>UNRECOVERED PURCHASED GAS COSTS</v>
          </cell>
          <cell r="I82">
            <v>0</v>
          </cell>
          <cell r="L82">
            <v>46327738</v>
          </cell>
          <cell r="M82">
            <v>16609840</v>
          </cell>
          <cell r="N82">
            <v>4996641</v>
          </cell>
          <cell r="O82">
            <v>-765736</v>
          </cell>
          <cell r="Q82">
            <v>67168483</v>
          </cell>
        </row>
        <row r="83">
          <cell r="A83" t="str">
            <v>F20100C</v>
          </cell>
          <cell r="B83" t="str">
            <v>COMMON STOCK ISSUED</v>
          </cell>
          <cell r="I83">
            <v>0</v>
          </cell>
          <cell r="N83">
            <v>0</v>
          </cell>
          <cell r="O83">
            <v>0</v>
          </cell>
          <cell r="Q83">
            <v>0</v>
          </cell>
        </row>
        <row r="84">
          <cell r="A84" t="str">
            <v>F20400C</v>
          </cell>
          <cell r="Q84">
            <v>0</v>
          </cell>
        </row>
        <row r="85">
          <cell r="A85" t="str">
            <v>F20401C</v>
          </cell>
          <cell r="Q85">
            <v>0</v>
          </cell>
        </row>
        <row r="86">
          <cell r="A86" t="str">
            <v>F20700C</v>
          </cell>
          <cell r="Q86">
            <v>0</v>
          </cell>
        </row>
        <row r="87">
          <cell r="A87" t="str">
            <v>F21100C</v>
          </cell>
          <cell r="B87" t="str">
            <v>MISCELLANEOUS PAID-IN CAPITAL</v>
          </cell>
          <cell r="I87">
            <v>-104163</v>
          </cell>
          <cell r="J87">
            <v>-100613</v>
          </cell>
          <cell r="N87">
            <v>0</v>
          </cell>
          <cell r="O87">
            <v>14324</v>
          </cell>
          <cell r="Q87">
            <v>-190452</v>
          </cell>
        </row>
        <row r="88">
          <cell r="A88" t="str">
            <v>F21400C</v>
          </cell>
          <cell r="Q88">
            <v>0</v>
          </cell>
        </row>
        <row r="89">
          <cell r="A89" t="str">
            <v>F21600C</v>
          </cell>
          <cell r="B89" t="str">
            <v>RETAINED EARNINGS</v>
          </cell>
          <cell r="E89">
            <v>0</v>
          </cell>
          <cell r="I89">
            <v>0</v>
          </cell>
          <cell r="N89">
            <v>0</v>
          </cell>
          <cell r="O89">
            <v>150000000</v>
          </cell>
          <cell r="Q89">
            <v>150000000</v>
          </cell>
        </row>
        <row r="90">
          <cell r="A90" t="str">
            <v>F22101C</v>
          </cell>
          <cell r="B90" t="str">
            <v>BONDS-LT DEBT</v>
          </cell>
          <cell r="I90">
            <v>0</v>
          </cell>
          <cell r="J90">
            <v>-27647000</v>
          </cell>
          <cell r="N90">
            <v>0</v>
          </cell>
          <cell r="O90">
            <v>0</v>
          </cell>
          <cell r="Q90">
            <v>-27647000</v>
          </cell>
        </row>
        <row r="91">
          <cell r="A91" t="str">
            <v>F22200C</v>
          </cell>
          <cell r="B91" t="str">
            <v>REACQUIRED BONDS</v>
          </cell>
          <cell r="D91">
            <v>30756734</v>
          </cell>
          <cell r="E91">
            <v>-79243266</v>
          </cell>
          <cell r="F91">
            <v>-11513468</v>
          </cell>
          <cell r="G91">
            <v>4931249.5</v>
          </cell>
          <cell r="H91">
            <v>4931249.5</v>
          </cell>
          <cell r="I91">
            <v>-9862499</v>
          </cell>
          <cell r="J91">
            <v>5258290.07</v>
          </cell>
          <cell r="K91">
            <v>5258290.07</v>
          </cell>
          <cell r="L91">
            <v>-10516580.140000001</v>
          </cell>
          <cell r="M91">
            <v>5987059.7699999996</v>
          </cell>
          <cell r="N91">
            <v>5987059.7699999996</v>
          </cell>
          <cell r="O91">
            <v>-11974119.539999999</v>
          </cell>
          <cell r="Q91">
            <v>-60000000.000000007</v>
          </cell>
        </row>
        <row r="92">
          <cell r="A92" t="str">
            <v>F22400C</v>
          </cell>
          <cell r="B92" t="str">
            <v>OTHER LT DEBT-CURRENT PORTION</v>
          </cell>
          <cell r="N92">
            <v>52000</v>
          </cell>
          <cell r="O92">
            <v>0</v>
          </cell>
          <cell r="Q92">
            <v>52000</v>
          </cell>
        </row>
        <row r="93">
          <cell r="A93" t="str">
            <v>F22401C</v>
          </cell>
          <cell r="B93" t="str">
            <v>OTHER LT DEBT</v>
          </cell>
          <cell r="D93">
            <v>67996.53</v>
          </cell>
          <cell r="G93">
            <v>4755.91</v>
          </cell>
          <cell r="I93">
            <v>0</v>
          </cell>
          <cell r="N93">
            <v>192870.42</v>
          </cell>
          <cell r="O93">
            <v>0.04</v>
          </cell>
          <cell r="Q93">
            <v>265622.89999999997</v>
          </cell>
        </row>
        <row r="94">
          <cell r="A94" t="str">
            <v>F22500C</v>
          </cell>
          <cell r="B94" t="str">
            <v>UNAMORTIZED PREMIUM ON LONG-TERM DEBT</v>
          </cell>
          <cell r="D94">
            <v>2106.09</v>
          </cell>
          <cell r="E94">
            <v>2106.09</v>
          </cell>
          <cell r="F94">
            <v>2106.09</v>
          </cell>
          <cell r="G94">
            <v>2106.09</v>
          </cell>
          <cell r="H94">
            <v>2106.09</v>
          </cell>
          <cell r="I94">
            <v>2106.09</v>
          </cell>
          <cell r="J94">
            <v>2106.09</v>
          </cell>
          <cell r="K94">
            <v>2106.09</v>
          </cell>
          <cell r="L94">
            <v>2106.09</v>
          </cell>
          <cell r="M94">
            <v>2106.09</v>
          </cell>
          <cell r="N94">
            <v>2106.09</v>
          </cell>
          <cell r="O94">
            <v>2106.09</v>
          </cell>
          <cell r="Q94">
            <v>25273.08</v>
          </cell>
        </row>
        <row r="95">
          <cell r="A95" t="str">
            <v>F22600C</v>
          </cell>
          <cell r="B95" t="str">
            <v>(LESS) UNAMORTIZED DISCOUNT ON LONG-TERM DEBT-DEBI</v>
          </cell>
          <cell r="D95">
            <v>-9709.9500000000007</v>
          </cell>
          <cell r="E95">
            <v>-9709.9500000000007</v>
          </cell>
          <cell r="F95">
            <v>-9709.9500000000007</v>
          </cell>
          <cell r="G95">
            <v>-9709.9500000000007</v>
          </cell>
          <cell r="H95">
            <v>-9709.9500000000007</v>
          </cell>
          <cell r="I95">
            <v>-9709.9500000000007</v>
          </cell>
          <cell r="J95">
            <v>-9709.9500000000007</v>
          </cell>
          <cell r="K95">
            <v>-9709.9500000000007</v>
          </cell>
          <cell r="L95">
            <v>-9709.9500000000007</v>
          </cell>
          <cell r="M95">
            <v>-9709.9500000000007</v>
          </cell>
          <cell r="N95">
            <v>-9709.9500000000007</v>
          </cell>
          <cell r="O95">
            <v>-9709.9500000000007</v>
          </cell>
          <cell r="Q95">
            <v>-116519.39999999998</v>
          </cell>
        </row>
        <row r="96">
          <cell r="A96" t="str">
            <v>F22700C</v>
          </cell>
          <cell r="B96" t="str">
            <v>OBLIGATIONS UNDER CAPITAL LEASES-NONCURRENT</v>
          </cell>
          <cell r="D96">
            <v>560014.39</v>
          </cell>
          <cell r="E96">
            <v>-7503379.1200000001</v>
          </cell>
          <cell r="F96">
            <v>513970.38</v>
          </cell>
          <cell r="G96">
            <v>532042</v>
          </cell>
          <cell r="H96">
            <v>544736</v>
          </cell>
          <cell r="I96">
            <v>11710244.880000001</v>
          </cell>
          <cell r="N96">
            <v>0</v>
          </cell>
          <cell r="O96">
            <v>0</v>
          </cell>
          <cell r="Q96">
            <v>6357628.5300000003</v>
          </cell>
        </row>
        <row r="97">
          <cell r="A97" t="str">
            <v>F22820C</v>
          </cell>
          <cell r="B97" t="str">
            <v>ACCUMULATED PROVISION FOR INJURIES AND DAMAGES</v>
          </cell>
          <cell r="D97">
            <v>-26010.76</v>
          </cell>
          <cell r="E97">
            <v>-34246.93</v>
          </cell>
          <cell r="F97">
            <v>-703058.48</v>
          </cell>
          <cell r="G97">
            <v>-48336.25</v>
          </cell>
          <cell r="H97">
            <v>-197407.07</v>
          </cell>
          <cell r="I97">
            <v>-3804282.08</v>
          </cell>
          <cell r="J97">
            <v>-66978.350000000006</v>
          </cell>
          <cell r="K97">
            <v>260586.49</v>
          </cell>
          <cell r="L97">
            <v>1140038.56</v>
          </cell>
          <cell r="M97">
            <v>-397230.61</v>
          </cell>
          <cell r="N97">
            <v>140067.10999999999</v>
          </cell>
          <cell r="O97">
            <v>-214770.84</v>
          </cell>
          <cell r="Q97">
            <v>-3951629.2099999995</v>
          </cell>
        </row>
        <row r="98">
          <cell r="A98" t="str">
            <v>F22830C</v>
          </cell>
          <cell r="B98" t="str">
            <v>ACCUMULATED PROVISION FOR PENSIONS AND BENEFITS</v>
          </cell>
          <cell r="D98">
            <v>-188266.78</v>
          </cell>
          <cell r="E98">
            <v>-186003.76</v>
          </cell>
          <cell r="F98">
            <v>-189149.29</v>
          </cell>
          <cell r="G98">
            <v>-186897.3</v>
          </cell>
          <cell r="H98">
            <v>-184774.57</v>
          </cell>
          <cell r="I98">
            <v>-166823.93</v>
          </cell>
          <cell r="J98">
            <v>-243547.11</v>
          </cell>
          <cell r="K98">
            <v>-217936.83</v>
          </cell>
          <cell r="L98">
            <v>-206888.13</v>
          </cell>
          <cell r="M98">
            <v>-198994.95</v>
          </cell>
          <cell r="N98">
            <v>-202575.89</v>
          </cell>
          <cell r="O98">
            <v>2020344.93</v>
          </cell>
          <cell r="Q98">
            <v>-151513.6100000001</v>
          </cell>
        </row>
        <row r="99">
          <cell r="A99" t="str">
            <v>F22840C</v>
          </cell>
          <cell r="B99" t="str">
            <v>ACCUMULATED MISCELLANEOUS OPERATING PROVISIONS</v>
          </cell>
          <cell r="D99">
            <v>170358.63</v>
          </cell>
          <cell r="E99">
            <v>141352.14000000001</v>
          </cell>
          <cell r="F99">
            <v>1583124.89</v>
          </cell>
          <cell r="G99">
            <v>330096.62</v>
          </cell>
          <cell r="H99">
            <v>1252981.43</v>
          </cell>
          <cell r="I99">
            <v>7519401.5499999998</v>
          </cell>
          <cell r="J99">
            <v>110986.62</v>
          </cell>
          <cell r="K99">
            <v>1120698.42</v>
          </cell>
          <cell r="L99">
            <v>7161310.9400000004</v>
          </cell>
          <cell r="M99">
            <v>2112114.33</v>
          </cell>
          <cell r="N99">
            <v>-708297.48</v>
          </cell>
          <cell r="O99">
            <v>308373.90999999997</v>
          </cell>
          <cell r="Q99">
            <v>21102502</v>
          </cell>
        </row>
        <row r="100">
          <cell r="A100" t="str">
            <v>F23100C</v>
          </cell>
          <cell r="B100" t="str">
            <v>NOTES PAYABLE</v>
          </cell>
          <cell r="D100">
            <v>-75000000</v>
          </cell>
          <cell r="E100">
            <v>-175000000</v>
          </cell>
          <cell r="H100">
            <v>250000000</v>
          </cell>
          <cell r="I100">
            <v>0</v>
          </cell>
          <cell r="J100">
            <v>27647000</v>
          </cell>
          <cell r="N100">
            <v>0</v>
          </cell>
          <cell r="O100">
            <v>0</v>
          </cell>
          <cell r="Q100">
            <v>27647000</v>
          </cell>
        </row>
        <row r="101">
          <cell r="A101" t="str">
            <v>F23200C</v>
          </cell>
          <cell r="B101" t="str">
            <v>ACCOUNTS PAYABLE</v>
          </cell>
          <cell r="D101">
            <v>-79015580.890000001</v>
          </cell>
          <cell r="E101">
            <v>62655582.390000001</v>
          </cell>
          <cell r="F101">
            <v>137267681.44</v>
          </cell>
          <cell r="G101">
            <v>62564689.030000001</v>
          </cell>
          <cell r="H101">
            <v>29342044.440000001</v>
          </cell>
          <cell r="I101">
            <v>20615732.09</v>
          </cell>
          <cell r="J101">
            <v>10036283.49</v>
          </cell>
          <cell r="K101">
            <v>47376785.100000001</v>
          </cell>
          <cell r="L101">
            <v>-3147840.03</v>
          </cell>
          <cell r="M101">
            <v>5199810.37</v>
          </cell>
          <cell r="N101">
            <v>-95510.93</v>
          </cell>
          <cell r="O101">
            <v>-26659587.539999999</v>
          </cell>
          <cell r="Q101">
            <v>266140088.96000007</v>
          </cell>
        </row>
        <row r="102">
          <cell r="A102" t="str">
            <v>F23300C</v>
          </cell>
          <cell r="Q102">
            <v>0</v>
          </cell>
        </row>
        <row r="103">
          <cell r="A103" t="str">
            <v>F23301C</v>
          </cell>
          <cell r="B103" t="str">
            <v>NOTES PAYABLE TO ASSOC. COS-RATE REDUCTION BONDS</v>
          </cell>
          <cell r="F103">
            <v>17270202</v>
          </cell>
          <cell r="I103">
            <v>14793748.49</v>
          </cell>
          <cell r="L103">
            <v>15774870.199999999</v>
          </cell>
          <cell r="N103">
            <v>0</v>
          </cell>
          <cell r="O103">
            <v>17961179.309999999</v>
          </cell>
          <cell r="Q103">
            <v>65800000</v>
          </cell>
        </row>
        <row r="104">
          <cell r="A104" t="str">
            <v>F23302C</v>
          </cell>
          <cell r="Q104">
            <v>0</v>
          </cell>
        </row>
        <row r="105">
          <cell r="A105" t="str">
            <v>F23400C</v>
          </cell>
          <cell r="B105" t="str">
            <v>ACCOUNTS PAYABLE TO ASSOCIATED COMPANIES</v>
          </cell>
          <cell r="D105">
            <v>28346200.670000002</v>
          </cell>
          <cell r="E105">
            <v>-21759053.030000001</v>
          </cell>
          <cell r="F105">
            <v>4205775.8600000003</v>
          </cell>
          <cell r="G105">
            <v>-2409463.81</v>
          </cell>
          <cell r="H105">
            <v>-2496770.3199999998</v>
          </cell>
          <cell r="I105">
            <v>4722950.8099999996</v>
          </cell>
          <cell r="J105">
            <v>-1935654.77</v>
          </cell>
          <cell r="K105">
            <v>-2417672.34</v>
          </cell>
          <cell r="L105">
            <v>1576073.96</v>
          </cell>
          <cell r="M105">
            <v>-3117704.9</v>
          </cell>
          <cell r="N105">
            <v>-1557783.94</v>
          </cell>
          <cell r="O105">
            <v>1240418.69</v>
          </cell>
          <cell r="Q105">
            <v>4397316.8800000008</v>
          </cell>
        </row>
        <row r="106">
          <cell r="A106" t="str">
            <v>F23500C</v>
          </cell>
          <cell r="B106" t="str">
            <v>CUSTOMER DEPOSITS</v>
          </cell>
          <cell r="D106">
            <v>911926</v>
          </cell>
          <cell r="E106">
            <v>1968127</v>
          </cell>
          <cell r="F106">
            <v>931695</v>
          </cell>
          <cell r="G106">
            <v>232413</v>
          </cell>
          <cell r="H106">
            <v>777</v>
          </cell>
          <cell r="I106">
            <v>-427199</v>
          </cell>
          <cell r="J106">
            <v>-1195458</v>
          </cell>
          <cell r="K106">
            <v>-667664</v>
          </cell>
          <cell r="L106">
            <v>-749279</v>
          </cell>
          <cell r="M106">
            <v>-713845</v>
          </cell>
          <cell r="N106">
            <v>-1163701</v>
          </cell>
          <cell r="O106">
            <v>-413611</v>
          </cell>
          <cell r="Q106">
            <v>-1285819</v>
          </cell>
        </row>
        <row r="107">
          <cell r="A107" t="str">
            <v>F23600C</v>
          </cell>
          <cell r="B107" t="str">
            <v>TAXES ACCRUED</v>
          </cell>
          <cell r="D107">
            <v>-2307730.41</v>
          </cell>
          <cell r="E107">
            <v>-2382382.0099999998</v>
          </cell>
          <cell r="F107">
            <v>-8504096.6099999994</v>
          </cell>
          <cell r="G107">
            <v>14543658.92</v>
          </cell>
          <cell r="H107">
            <v>-4856331.0999999996</v>
          </cell>
          <cell r="I107">
            <v>-15350270.98</v>
          </cell>
          <cell r="J107">
            <v>-16270182.119999999</v>
          </cell>
          <cell r="K107">
            <v>-22192450.030000001</v>
          </cell>
          <cell r="L107">
            <v>17743561.989999998</v>
          </cell>
          <cell r="M107">
            <v>-13085479.91</v>
          </cell>
          <cell r="N107">
            <v>-22797361.120000001</v>
          </cell>
          <cell r="O107">
            <v>77228569.640000001</v>
          </cell>
          <cell r="Q107">
            <v>1769506.2600000054</v>
          </cell>
        </row>
        <row r="108">
          <cell r="A108" t="str">
            <v>F23601C</v>
          </cell>
          <cell r="B108" t="str">
            <v>INCOME TAXES ACCRUED</v>
          </cell>
          <cell r="D108">
            <v>-235912068.69</v>
          </cell>
          <cell r="I108">
            <v>0</v>
          </cell>
          <cell r="N108">
            <v>0</v>
          </cell>
          <cell r="O108">
            <v>0</v>
          </cell>
          <cell r="Q108">
            <v>-235912068.69</v>
          </cell>
        </row>
        <row r="109">
          <cell r="A109" t="str">
            <v>F23700C</v>
          </cell>
          <cell r="B109" t="str">
            <v>INTEREST ACCRUED</v>
          </cell>
          <cell r="D109">
            <v>-1765856.59</v>
          </cell>
          <cell r="E109">
            <v>-878629.5</v>
          </cell>
          <cell r="F109">
            <v>-2408923.6</v>
          </cell>
          <cell r="G109">
            <v>-1490486.96</v>
          </cell>
          <cell r="H109">
            <v>1446528.45</v>
          </cell>
          <cell r="I109">
            <v>1982022.87</v>
          </cell>
          <cell r="J109">
            <v>-2548477.86</v>
          </cell>
          <cell r="K109">
            <v>-2389171.7200000002</v>
          </cell>
          <cell r="L109">
            <v>3930759.3</v>
          </cell>
          <cell r="M109">
            <v>-712963.85</v>
          </cell>
          <cell r="N109">
            <v>-2531118.31</v>
          </cell>
          <cell r="O109">
            <v>4308323.9400000004</v>
          </cell>
          <cell r="Q109">
            <v>-3057993.8299999991</v>
          </cell>
        </row>
        <row r="110">
          <cell r="A110" t="str">
            <v>F23800C</v>
          </cell>
          <cell r="B110" t="str">
            <v>DIVIDENDS DECLARED</v>
          </cell>
          <cell r="D110">
            <v>1097028.07</v>
          </cell>
          <cell r="E110">
            <v>-548514.03</v>
          </cell>
          <cell r="F110">
            <v>-548514.03</v>
          </cell>
          <cell r="G110">
            <v>1097028.07</v>
          </cell>
          <cell r="H110">
            <v>-548514.03</v>
          </cell>
          <cell r="I110">
            <v>-548514.03</v>
          </cell>
          <cell r="J110">
            <v>1097028.07</v>
          </cell>
          <cell r="K110">
            <v>-548514.03</v>
          </cell>
          <cell r="L110">
            <v>-548514.03</v>
          </cell>
          <cell r="M110">
            <v>1097028.07</v>
          </cell>
          <cell r="N110">
            <v>-150548514.03</v>
          </cell>
          <cell r="O110">
            <v>149451485.97</v>
          </cell>
          <cell r="Q110">
            <v>3.9999991655349731E-2</v>
          </cell>
        </row>
        <row r="111">
          <cell r="A111" t="str">
            <v>F24100C</v>
          </cell>
          <cell r="B111" t="str">
            <v>TAX COLLECTIONS PAYABLE</v>
          </cell>
          <cell r="D111">
            <v>1819552.47</v>
          </cell>
          <cell r="E111">
            <v>-1349033.01</v>
          </cell>
          <cell r="F111">
            <v>-2235404.2599999998</v>
          </cell>
          <cell r="G111">
            <v>2941593.02</v>
          </cell>
          <cell r="H111">
            <v>-96662</v>
          </cell>
          <cell r="I111">
            <v>-3514723.11</v>
          </cell>
          <cell r="J111">
            <v>-1655401.59</v>
          </cell>
          <cell r="K111">
            <v>3603670.04</v>
          </cell>
          <cell r="L111">
            <v>-1405797.28</v>
          </cell>
          <cell r="M111">
            <v>-1345380.28</v>
          </cell>
          <cell r="N111">
            <v>669109.48</v>
          </cell>
          <cell r="O111">
            <v>-796786.13</v>
          </cell>
          <cell r="Q111">
            <v>-3365262.6499999994</v>
          </cell>
        </row>
        <row r="112">
          <cell r="A112" t="str">
            <v>F24200C</v>
          </cell>
          <cell r="B112" t="str">
            <v>MISCELLANEOUS CURRENT AND ACCRUED LIABILITIES</v>
          </cell>
          <cell r="D112">
            <v>-20872244.300000001</v>
          </cell>
          <cell r="E112">
            <v>10844471.93</v>
          </cell>
          <cell r="F112">
            <v>19750828.170000002</v>
          </cell>
          <cell r="G112">
            <v>-126393099</v>
          </cell>
          <cell r="H112">
            <v>-32383355.890000001</v>
          </cell>
          <cell r="I112">
            <v>-23100928.210000001</v>
          </cell>
          <cell r="J112">
            <v>-11642246.619999999</v>
          </cell>
          <cell r="K112">
            <v>-9313660.4800000004</v>
          </cell>
          <cell r="L112">
            <v>-45456699.090000004</v>
          </cell>
          <cell r="M112">
            <v>103585038.52</v>
          </cell>
          <cell r="N112">
            <v>14152849.84</v>
          </cell>
          <cell r="O112">
            <v>17173786.620000001</v>
          </cell>
          <cell r="Q112">
            <v>-103655258.51000002</v>
          </cell>
        </row>
        <row r="113">
          <cell r="A113" t="str">
            <v>F24201C</v>
          </cell>
          <cell r="B113" t="str">
            <v>MISC. CURRENT AND ACCRUED LIABILITIES-BALANCING AC</v>
          </cell>
          <cell r="D113">
            <v>-247756511.09</v>
          </cell>
          <cell r="E113">
            <v>-85190455.75</v>
          </cell>
          <cell r="F113">
            <v>-63354647.920000002</v>
          </cell>
          <cell r="G113">
            <v>-125684146.33</v>
          </cell>
          <cell r="H113">
            <v>175907840.56999999</v>
          </cell>
          <cell r="I113">
            <v>298397365.81</v>
          </cell>
          <cell r="J113">
            <v>-23075436.129999999</v>
          </cell>
          <cell r="K113">
            <v>160096221.66999999</v>
          </cell>
          <cell r="L113">
            <v>-3604461.69</v>
          </cell>
          <cell r="M113">
            <v>-25289488.129999999</v>
          </cell>
          <cell r="N113">
            <v>127084723.04000001</v>
          </cell>
          <cell r="O113">
            <v>13311037.689999999</v>
          </cell>
          <cell r="Q113">
            <v>200842041.73999995</v>
          </cell>
        </row>
        <row r="114">
          <cell r="A114" t="str">
            <v>F24202C</v>
          </cell>
          <cell r="B114" t="str">
            <v>MISC. CURRENT AND ACCRUED LIABILITIES-APPLICANT IN</v>
          </cell>
          <cell r="D114">
            <v>18230</v>
          </cell>
          <cell r="E114">
            <v>-189384</v>
          </cell>
          <cell r="F114">
            <v>-51984</v>
          </cell>
          <cell r="G114">
            <v>-111415</v>
          </cell>
          <cell r="H114">
            <v>102769</v>
          </cell>
          <cell r="I114">
            <v>58642</v>
          </cell>
          <cell r="J114">
            <v>468939</v>
          </cell>
          <cell r="K114">
            <v>-365963</v>
          </cell>
          <cell r="L114">
            <v>-89347</v>
          </cell>
          <cell r="M114">
            <v>370640</v>
          </cell>
          <cell r="N114">
            <v>149040</v>
          </cell>
          <cell r="O114">
            <v>19832</v>
          </cell>
          <cell r="Q114">
            <v>379999</v>
          </cell>
        </row>
        <row r="115">
          <cell r="A115" t="str">
            <v>F24300C</v>
          </cell>
          <cell r="B115" t="str">
            <v>OBLIGATIONS UNDER CAPITAL LEASES-CURRENT PORTION</v>
          </cell>
          <cell r="I115">
            <v>12000000</v>
          </cell>
          <cell r="N115">
            <v>0</v>
          </cell>
          <cell r="O115">
            <v>0</v>
          </cell>
          <cell r="Q115">
            <v>12000000</v>
          </cell>
        </row>
        <row r="116">
          <cell r="A116" t="str">
            <v>F24301C</v>
          </cell>
          <cell r="Q116">
            <v>0</v>
          </cell>
        </row>
        <row r="117">
          <cell r="A117" t="str">
            <v>F25200C</v>
          </cell>
          <cell r="B117" t="str">
            <v>CUSTOMER ADVANCES FOR CONSTRUCTION</v>
          </cell>
          <cell r="D117">
            <v>853581.3</v>
          </cell>
          <cell r="E117">
            <v>-502585.63</v>
          </cell>
          <cell r="F117">
            <v>515414.04</v>
          </cell>
          <cell r="G117">
            <v>865360.55</v>
          </cell>
          <cell r="H117">
            <v>-1628414.01</v>
          </cell>
          <cell r="I117">
            <v>-1974987.17</v>
          </cell>
          <cell r="J117">
            <v>24371.17</v>
          </cell>
          <cell r="K117">
            <v>-5471.29</v>
          </cell>
          <cell r="L117">
            <v>130983.12</v>
          </cell>
          <cell r="M117">
            <v>-563785.71</v>
          </cell>
          <cell r="N117">
            <v>198360.75</v>
          </cell>
          <cell r="O117">
            <v>226970.77</v>
          </cell>
          <cell r="Q117">
            <v>-1860202.1099999999</v>
          </cell>
        </row>
        <row r="118">
          <cell r="A118" t="str">
            <v>F25300C</v>
          </cell>
          <cell r="B118" t="str">
            <v>OTHER DEFERRED CREDITS-CAC</v>
          </cell>
          <cell r="D118">
            <v>317731.34000000003</v>
          </cell>
          <cell r="E118">
            <v>-250381.36</v>
          </cell>
          <cell r="F118">
            <v>171778.77</v>
          </cell>
          <cell r="G118">
            <v>219920.19</v>
          </cell>
          <cell r="H118">
            <v>-589126.16</v>
          </cell>
          <cell r="I118">
            <v>-714681.92</v>
          </cell>
          <cell r="J118">
            <v>186453.21</v>
          </cell>
          <cell r="K118">
            <v>-135274.45000000001</v>
          </cell>
          <cell r="L118">
            <v>8882.2000000000007</v>
          </cell>
          <cell r="M118">
            <v>-85814.16</v>
          </cell>
          <cell r="N118">
            <v>130180.86</v>
          </cell>
          <cell r="O118">
            <v>89577.09</v>
          </cell>
          <cell r="Q118">
            <v>-650754.39000000025</v>
          </cell>
        </row>
        <row r="119">
          <cell r="A119" t="str">
            <v>F25301C</v>
          </cell>
          <cell r="B119" t="str">
            <v>OTHER DEFERRED CREDITS</v>
          </cell>
          <cell r="D119">
            <v>-147131313.22999999</v>
          </cell>
          <cell r="E119">
            <v>-61603688.899999999</v>
          </cell>
          <cell r="F119">
            <v>210635039.72</v>
          </cell>
          <cell r="G119">
            <v>-278882.27</v>
          </cell>
          <cell r="H119">
            <v>-839946.52</v>
          </cell>
          <cell r="I119">
            <v>1315920.53</v>
          </cell>
          <cell r="J119">
            <v>-705952.16</v>
          </cell>
          <cell r="K119">
            <v>-202984.64</v>
          </cell>
          <cell r="L119">
            <v>-620260098.75999999</v>
          </cell>
          <cell r="M119">
            <v>-12622100.41</v>
          </cell>
          <cell r="N119">
            <v>-59627394.689999998</v>
          </cell>
          <cell r="O119">
            <v>19322108.5</v>
          </cell>
          <cell r="Q119">
            <v>-671999292.82999992</v>
          </cell>
        </row>
        <row r="120">
          <cell r="A120" t="str">
            <v>F25400C</v>
          </cell>
          <cell r="B120" t="str">
            <v>OTH REG LIABILITIES</v>
          </cell>
          <cell r="D120">
            <v>-77603600</v>
          </cell>
          <cell r="E120">
            <v>69015621</v>
          </cell>
          <cell r="F120">
            <v>2828365</v>
          </cell>
          <cell r="G120">
            <v>-25348616</v>
          </cell>
          <cell r="H120">
            <v>-54976863</v>
          </cell>
          <cell r="I120">
            <v>124760</v>
          </cell>
          <cell r="J120">
            <v>-1280537</v>
          </cell>
          <cell r="K120">
            <v>382995</v>
          </cell>
          <cell r="L120">
            <v>6262289</v>
          </cell>
          <cell r="M120">
            <v>-13342427</v>
          </cell>
          <cell r="N120">
            <v>97676604</v>
          </cell>
          <cell r="O120">
            <v>1472320</v>
          </cell>
          <cell r="Q120">
            <v>5210911</v>
          </cell>
        </row>
        <row r="121">
          <cell r="A121" t="str">
            <v>F25500C</v>
          </cell>
          <cell r="B121" t="str">
            <v>ACCUMULATED DEFERRED INVESTMENT TAX CREDITS</v>
          </cell>
          <cell r="D121">
            <v>233000</v>
          </cell>
          <cell r="E121">
            <v>137000</v>
          </cell>
          <cell r="F121">
            <v>466000</v>
          </cell>
          <cell r="G121">
            <v>195000</v>
          </cell>
          <cell r="H121">
            <v>140000</v>
          </cell>
          <cell r="I121">
            <v>140000</v>
          </cell>
          <cell r="J121">
            <v>416000</v>
          </cell>
          <cell r="K121">
            <v>213000</v>
          </cell>
          <cell r="L121">
            <v>263000</v>
          </cell>
          <cell r="M121">
            <v>196000</v>
          </cell>
          <cell r="N121">
            <v>132000</v>
          </cell>
          <cell r="O121">
            <v>269000</v>
          </cell>
          <cell r="Q121">
            <v>2800000</v>
          </cell>
        </row>
        <row r="122">
          <cell r="A122" t="str">
            <v>F28100C</v>
          </cell>
          <cell r="B122" t="str">
            <v>ACCUMULATED DEFERRED INCOME TAXES</v>
          </cell>
          <cell r="O122">
            <v>-8000</v>
          </cell>
          <cell r="Q122">
            <v>-8000</v>
          </cell>
        </row>
        <row r="123">
          <cell r="A123" t="str">
            <v>F28200C</v>
          </cell>
          <cell r="B123" t="str">
            <v>ACCUMULATED DEFERRED INCOME TAXES-OTHER PROPERTY</v>
          </cell>
          <cell r="D123">
            <v>367000</v>
          </cell>
          <cell r="E123">
            <v>-41000</v>
          </cell>
          <cell r="F123">
            <v>5443000</v>
          </cell>
          <cell r="G123">
            <v>308000</v>
          </cell>
          <cell r="H123">
            <v>221000</v>
          </cell>
          <cell r="I123">
            <v>5128000</v>
          </cell>
          <cell r="J123">
            <v>655000</v>
          </cell>
          <cell r="K123">
            <v>334000</v>
          </cell>
          <cell r="L123">
            <v>4496000</v>
          </cell>
          <cell r="M123">
            <v>311000</v>
          </cell>
          <cell r="N123">
            <v>209000</v>
          </cell>
          <cell r="O123">
            <v>-34146000</v>
          </cell>
          <cell r="Q123">
            <v>-16715000</v>
          </cell>
        </row>
        <row r="124">
          <cell r="A124" t="str">
            <v>F28301C</v>
          </cell>
          <cell r="B124" t="str">
            <v>ACCUMULATED DEFERRED INCOME TAXES-TAXES ACCRUED</v>
          </cell>
          <cell r="D124">
            <v>1361000</v>
          </cell>
          <cell r="E124">
            <v>803000</v>
          </cell>
          <cell r="F124">
            <v>2726000</v>
          </cell>
          <cell r="G124">
            <v>1139000</v>
          </cell>
          <cell r="H124">
            <v>-289541000</v>
          </cell>
          <cell r="I124">
            <v>827439</v>
          </cell>
          <cell r="J124">
            <v>2437254</v>
          </cell>
          <cell r="K124">
            <v>1240000</v>
          </cell>
          <cell r="L124">
            <v>1541000</v>
          </cell>
          <cell r="M124">
            <v>1150000</v>
          </cell>
          <cell r="N124">
            <v>-16000</v>
          </cell>
          <cell r="O124">
            <v>3190252</v>
          </cell>
          <cell r="Q124">
            <v>-273142055</v>
          </cell>
        </row>
        <row r="125">
          <cell r="A125" t="str">
            <v>F28302C</v>
          </cell>
          <cell r="B125" t="str">
            <v>ACCUMULATED DEFERRED INC TAXES</v>
          </cell>
          <cell r="D125">
            <v>-948000</v>
          </cell>
          <cell r="E125">
            <v>-896216.43</v>
          </cell>
          <cell r="F125">
            <v>1615000</v>
          </cell>
          <cell r="G125">
            <v>-777000</v>
          </cell>
          <cell r="H125">
            <v>-177430000</v>
          </cell>
          <cell r="I125">
            <v>3047000</v>
          </cell>
          <cell r="J125">
            <v>-1656000</v>
          </cell>
          <cell r="K125">
            <v>-844000</v>
          </cell>
          <cell r="L125">
            <v>1986000</v>
          </cell>
          <cell r="M125">
            <v>-781000</v>
          </cell>
          <cell r="N125">
            <v>-528000</v>
          </cell>
          <cell r="O125">
            <v>-106039837.63</v>
          </cell>
          <cell r="Q125">
            <v>-283252054.06</v>
          </cell>
        </row>
        <row r="126">
          <cell r="A126" t="str">
            <v>F29900C</v>
          </cell>
          <cell r="B126" t="str">
            <v>CLEARING ACCOUNT-ACCOUNTS PAYABLE</v>
          </cell>
          <cell r="D126">
            <v>358333.68</v>
          </cell>
          <cell r="E126">
            <v>-10679389.07</v>
          </cell>
          <cell r="F126">
            <v>-8678937.6400000006</v>
          </cell>
          <cell r="G126">
            <v>-3167800.21</v>
          </cell>
          <cell r="H126">
            <v>-9649244.1400000006</v>
          </cell>
          <cell r="I126">
            <v>-9525067.3499999996</v>
          </cell>
          <cell r="J126">
            <v>-10757391.289999999</v>
          </cell>
          <cell r="K126">
            <v>-7828524.5099999998</v>
          </cell>
          <cell r="L126">
            <v>-7252417.5</v>
          </cell>
          <cell r="M126">
            <v>-11399993.949999999</v>
          </cell>
          <cell r="N126">
            <v>-10083357.130000001</v>
          </cell>
          <cell r="O126">
            <v>-17467131.309999999</v>
          </cell>
          <cell r="Q126">
            <v>-106130920.42</v>
          </cell>
        </row>
        <row r="127">
          <cell r="A127" t="str">
            <v>F29910C</v>
          </cell>
          <cell r="B127" t="str">
            <v>CLEARING ACCOUNT-ACCOUNTS RECEIVABLE</v>
          </cell>
          <cell r="D127">
            <v>-167446.48000000001</v>
          </cell>
          <cell r="E127">
            <v>-226089.67</v>
          </cell>
          <cell r="F127">
            <v>-308214.93</v>
          </cell>
          <cell r="G127">
            <v>-244973.94</v>
          </cell>
          <cell r="H127">
            <v>-255376.2</v>
          </cell>
          <cell r="I127">
            <v>-247490.97</v>
          </cell>
          <cell r="J127">
            <v>-152526.28</v>
          </cell>
          <cell r="K127">
            <v>-269818.88</v>
          </cell>
          <cell r="N127">
            <v>72695.13</v>
          </cell>
          <cell r="O127">
            <v>0</v>
          </cell>
          <cell r="Q127">
            <v>-1799242.2200000002</v>
          </cell>
        </row>
        <row r="128">
          <cell r="A128" t="str">
            <v>F29920C</v>
          </cell>
          <cell r="B128" t="str">
            <v>CLEARING ACCOUNT-FI/CO RECONCILIATION ENTRIES</v>
          </cell>
          <cell r="D128">
            <v>-166646</v>
          </cell>
          <cell r="E128">
            <v>10965039.449999999</v>
          </cell>
          <cell r="F128">
            <v>8984486.7699999996</v>
          </cell>
          <cell r="G128">
            <v>3417647.59</v>
          </cell>
          <cell r="H128">
            <v>9945658.0999999996</v>
          </cell>
          <cell r="I128">
            <v>9817550.9600000009</v>
          </cell>
          <cell r="J128">
            <v>10955886.710000001</v>
          </cell>
          <cell r="K128">
            <v>8140811.6299999999</v>
          </cell>
          <cell r="L128">
            <v>7294241.4199999999</v>
          </cell>
          <cell r="M128">
            <v>11442051.07</v>
          </cell>
          <cell r="N128">
            <v>10051759.58</v>
          </cell>
          <cell r="O128">
            <v>17464634.68</v>
          </cell>
          <cell r="Q128">
            <v>108313121.95999998</v>
          </cell>
        </row>
        <row r="129">
          <cell r="A129" t="str">
            <v>F29990C</v>
          </cell>
          <cell r="B129" t="str">
            <v>BALANCE SHEET OFFSET ACCOUNT</v>
          </cell>
          <cell r="D129">
            <v>65802692.390000001</v>
          </cell>
          <cell r="E129">
            <v>56475969.340000004</v>
          </cell>
          <cell r="F129">
            <v>61681522.969999999</v>
          </cell>
          <cell r="G129">
            <v>57600900.140000001</v>
          </cell>
          <cell r="H129">
            <v>65188421</v>
          </cell>
          <cell r="I129">
            <v>53334603.219999999</v>
          </cell>
          <cell r="J129">
            <v>62958587.590000004</v>
          </cell>
          <cell r="K129">
            <v>56950255.469999999</v>
          </cell>
          <cell r="L129">
            <v>61410909.310000002</v>
          </cell>
          <cell r="M129">
            <v>62371151.369999997</v>
          </cell>
          <cell r="N129">
            <v>58139272.600000001</v>
          </cell>
          <cell r="O129">
            <v>96216725.930000007</v>
          </cell>
          <cell r="Q129">
            <v>758131011.33000016</v>
          </cell>
        </row>
        <row r="130">
          <cell r="A130" t="str">
            <v>F29995C</v>
          </cell>
          <cell r="Q130">
            <v>0</v>
          </cell>
        </row>
        <row r="131">
          <cell r="A131" t="str">
            <v>F40300C</v>
          </cell>
          <cell r="B131" t="str">
            <v>DEPRECIATION EXPENSE</v>
          </cell>
          <cell r="D131">
            <v>1150064.22</v>
          </cell>
          <cell r="E131">
            <v>1163439.6000000001</v>
          </cell>
          <cell r="F131">
            <v>1163313.55</v>
          </cell>
          <cell r="G131">
            <v>1165812.76</v>
          </cell>
          <cell r="H131">
            <v>1177541.21</v>
          </cell>
          <cell r="I131">
            <v>1159715.98</v>
          </cell>
          <cell r="J131">
            <v>1150324.6299999999</v>
          </cell>
          <cell r="K131">
            <v>1169128.19</v>
          </cell>
          <cell r="L131">
            <v>1174398.29</v>
          </cell>
          <cell r="M131">
            <v>1173941.8799999999</v>
          </cell>
          <cell r="N131">
            <v>1175616.3899999999</v>
          </cell>
          <cell r="O131">
            <v>1181566.95</v>
          </cell>
          <cell r="Q131">
            <v>14004863.649999999</v>
          </cell>
        </row>
        <row r="132">
          <cell r="A132" t="str">
            <v>F40300E</v>
          </cell>
          <cell r="B132" t="str">
            <v>DEPRECIATION EXPENSE</v>
          </cell>
          <cell r="D132">
            <v>13162939.550000001</v>
          </cell>
          <cell r="E132">
            <v>13232128.15</v>
          </cell>
          <cell r="F132">
            <v>13281205.02</v>
          </cell>
          <cell r="G132">
            <v>13293117.27</v>
          </cell>
          <cell r="H132">
            <v>13361213.65</v>
          </cell>
          <cell r="I132">
            <v>6772622.9500000002</v>
          </cell>
          <cell r="J132">
            <v>12400735.65</v>
          </cell>
          <cell r="K132">
            <v>12118797.18</v>
          </cell>
          <cell r="L132">
            <v>12859936</v>
          </cell>
          <cell r="M132">
            <v>12893829.17</v>
          </cell>
          <cell r="N132">
            <v>12339025.710000001</v>
          </cell>
          <cell r="O132">
            <v>12712124.140000001</v>
          </cell>
          <cell r="Q132">
            <v>148427674.44</v>
          </cell>
        </row>
        <row r="133">
          <cell r="A133" t="str">
            <v>F40300G</v>
          </cell>
          <cell r="B133" t="str">
            <v>DEPRECIATION EXPENSE</v>
          </cell>
          <cell r="D133">
            <v>2891770.39</v>
          </cell>
          <cell r="E133">
            <v>2898719.98</v>
          </cell>
          <cell r="F133">
            <v>2905012.66</v>
          </cell>
          <cell r="G133">
            <v>2910371.8</v>
          </cell>
          <cell r="H133">
            <v>2915550.21</v>
          </cell>
          <cell r="I133">
            <v>2912906.77</v>
          </cell>
          <cell r="J133">
            <v>2794763.42</v>
          </cell>
          <cell r="K133">
            <v>2799986.63</v>
          </cell>
          <cell r="L133">
            <v>2805543.17</v>
          </cell>
          <cell r="M133">
            <v>2811245.62</v>
          </cell>
          <cell r="N133">
            <v>2817715.4</v>
          </cell>
          <cell r="O133">
            <v>2829272.25</v>
          </cell>
          <cell r="Q133">
            <v>34292858.299999997</v>
          </cell>
        </row>
        <row r="134">
          <cell r="A134" t="str">
            <v>F40400C</v>
          </cell>
          <cell r="B134" t="str">
            <v>AMORTIZATION OF LIMITED-TERM INVESTMENTS</v>
          </cell>
          <cell r="D134">
            <v>620411.32999999996</v>
          </cell>
          <cell r="E134">
            <v>578905.94999999995</v>
          </cell>
          <cell r="F134">
            <v>578905.94999999995</v>
          </cell>
          <cell r="G134">
            <v>576658.32999999996</v>
          </cell>
          <cell r="H134">
            <v>584493.68000000005</v>
          </cell>
          <cell r="I134">
            <v>596643.18999999994</v>
          </cell>
          <cell r="J134">
            <v>544457</v>
          </cell>
          <cell r="K134">
            <v>487956.76</v>
          </cell>
          <cell r="L134">
            <v>487956.76</v>
          </cell>
          <cell r="M134">
            <v>485926.17</v>
          </cell>
          <cell r="N134">
            <v>566359.52</v>
          </cell>
          <cell r="O134">
            <v>654130.59</v>
          </cell>
          <cell r="Q134">
            <v>6762805.2299999986</v>
          </cell>
        </row>
        <row r="135">
          <cell r="A135" t="str">
            <v>F40400E</v>
          </cell>
          <cell r="B135" t="str">
            <v>AMORTIZATION OF LIMITED-TERM INVESTMENTS</v>
          </cell>
          <cell r="D135">
            <v>35961.24</v>
          </cell>
          <cell r="E135">
            <v>35961.24</v>
          </cell>
          <cell r="F135">
            <v>35961.24</v>
          </cell>
          <cell r="G135">
            <v>35961.230000000003</v>
          </cell>
          <cell r="H135">
            <v>35961.24</v>
          </cell>
          <cell r="I135">
            <v>40883.67</v>
          </cell>
          <cell r="J135">
            <v>115126.28</v>
          </cell>
          <cell r="K135">
            <v>185562.61</v>
          </cell>
          <cell r="L135">
            <v>186678.7</v>
          </cell>
          <cell r="M135">
            <v>186888.75</v>
          </cell>
          <cell r="N135">
            <v>189225.91</v>
          </cell>
          <cell r="O135">
            <v>191353.03</v>
          </cell>
          <cell r="Q135">
            <v>1275525.1399999999</v>
          </cell>
        </row>
        <row r="136">
          <cell r="A136" t="str">
            <v>F40400G</v>
          </cell>
          <cell r="B136" t="str">
            <v>AMORTIZATION OF LIMITED-TERM INVESTMENTS</v>
          </cell>
          <cell r="G136">
            <v>1800.65</v>
          </cell>
          <cell r="H136">
            <v>3602.73</v>
          </cell>
          <cell r="I136">
            <v>3609.15</v>
          </cell>
          <cell r="J136">
            <v>3633.19</v>
          </cell>
          <cell r="K136">
            <v>3692.54</v>
          </cell>
          <cell r="L136">
            <v>3763.63</v>
          </cell>
          <cell r="M136">
            <v>3772.6</v>
          </cell>
          <cell r="N136">
            <v>3750.78</v>
          </cell>
          <cell r="O136">
            <v>3750.79</v>
          </cell>
          <cell r="Q136">
            <v>31376.06</v>
          </cell>
        </row>
        <row r="137">
          <cell r="A137" t="str">
            <v>F40500C</v>
          </cell>
          <cell r="B137" t="str">
            <v>AMORTIZATION OF OTHER PLANT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F40500E</v>
          </cell>
          <cell r="B138" t="str">
            <v>AMORTIZATION OF OTHER PLANT</v>
          </cell>
          <cell r="D138">
            <v>136172.07</v>
          </cell>
          <cell r="E138">
            <v>136565.60999999999</v>
          </cell>
          <cell r="F138">
            <v>137173.19</v>
          </cell>
          <cell r="G138">
            <v>137615.93</v>
          </cell>
          <cell r="H138">
            <v>138204.65</v>
          </cell>
          <cell r="I138">
            <v>138562.76999999999</v>
          </cell>
          <cell r="J138">
            <v>138686.54999999999</v>
          </cell>
          <cell r="K138">
            <v>139098.6</v>
          </cell>
          <cell r="L138">
            <v>137201.47</v>
          </cell>
          <cell r="M138">
            <v>142130.59</v>
          </cell>
          <cell r="N138">
            <v>139402.49</v>
          </cell>
          <cell r="O138">
            <v>140484.51</v>
          </cell>
          <cell r="Q138">
            <v>1661298.4300000002</v>
          </cell>
        </row>
        <row r="139">
          <cell r="A139" t="str">
            <v>F40500G</v>
          </cell>
          <cell r="B139" t="str">
            <v>AMORTIZATION OF OTHER PLANT</v>
          </cell>
          <cell r="D139">
            <v>23566.959999999999</v>
          </cell>
          <cell r="E139">
            <v>23568.34</v>
          </cell>
          <cell r="F139">
            <v>23572.3</v>
          </cell>
          <cell r="G139">
            <v>23568.97</v>
          </cell>
          <cell r="H139">
            <v>23569.29</v>
          </cell>
          <cell r="I139">
            <v>23593.89</v>
          </cell>
          <cell r="J139">
            <v>23628.28</v>
          </cell>
          <cell r="K139">
            <v>23601.71</v>
          </cell>
          <cell r="L139">
            <v>23535.1</v>
          </cell>
          <cell r="M139">
            <v>23565.68</v>
          </cell>
          <cell r="N139">
            <v>23736.01</v>
          </cell>
          <cell r="O139">
            <v>23950.400000000001</v>
          </cell>
          <cell r="Q139">
            <v>283456.93</v>
          </cell>
        </row>
        <row r="140">
          <cell r="A140" t="str">
            <v>F40600C</v>
          </cell>
          <cell r="B140" t="str">
            <v>AMORT. OF UTILITY PLANT ACQ. ADJ.</v>
          </cell>
          <cell r="D140">
            <v>1312</v>
          </cell>
          <cell r="E140">
            <v>1312</v>
          </cell>
          <cell r="F140">
            <v>1312</v>
          </cell>
          <cell r="G140">
            <v>1312</v>
          </cell>
          <cell r="H140">
            <v>1312</v>
          </cell>
          <cell r="I140">
            <v>1312</v>
          </cell>
          <cell r="J140">
            <v>1312</v>
          </cell>
          <cell r="K140">
            <v>1312</v>
          </cell>
          <cell r="L140">
            <v>1312</v>
          </cell>
          <cell r="N140">
            <v>2624</v>
          </cell>
          <cell r="O140">
            <v>1312</v>
          </cell>
          <cell r="Q140">
            <v>15744</v>
          </cell>
        </row>
        <row r="141">
          <cell r="A141" t="str">
            <v>F40700E</v>
          </cell>
          <cell r="B141" t="str">
            <v>AMORT. OF PROP LOSSES  UNREC PLANT AND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F40710C</v>
          </cell>
          <cell r="B142" t="str">
            <v>AMORT. OF PROP LOSSES  UNREC PLANT AND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F40730E</v>
          </cell>
          <cell r="B143" t="str">
            <v>REGULATORY DEBITS</v>
          </cell>
          <cell r="I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 t="str">
            <v>F40810C</v>
          </cell>
          <cell r="B144" t="str">
            <v>TAXES OTHER THAN INCOME TAXES</v>
          </cell>
          <cell r="D144">
            <v>642608.68000000005</v>
          </cell>
          <cell r="E144">
            <v>510316.3</v>
          </cell>
          <cell r="F144">
            <v>537547.26</v>
          </cell>
          <cell r="G144">
            <v>520984.52</v>
          </cell>
          <cell r="H144">
            <v>678702.87</v>
          </cell>
          <cell r="I144">
            <v>516870.99</v>
          </cell>
          <cell r="J144">
            <v>650176.17000000004</v>
          </cell>
          <cell r="K144">
            <v>535561.97</v>
          </cell>
          <cell r="L144">
            <v>533564.76</v>
          </cell>
          <cell r="M144">
            <v>694766.62</v>
          </cell>
          <cell r="N144">
            <v>548476.88</v>
          </cell>
          <cell r="O144">
            <v>699487.66</v>
          </cell>
          <cell r="Q144">
            <v>7069064.6799999997</v>
          </cell>
        </row>
        <row r="145">
          <cell r="A145" t="str">
            <v>F40811E</v>
          </cell>
          <cell r="B145" t="str">
            <v>PROPERTY TAXES ELEC</v>
          </cell>
          <cell r="I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 t="str">
            <v>F40811G</v>
          </cell>
          <cell r="B146" t="str">
            <v>PROPERTY TAXES GAS</v>
          </cell>
          <cell r="I146">
            <v>0</v>
          </cell>
          <cell r="N146">
            <v>0</v>
          </cell>
          <cell r="O146">
            <v>0</v>
          </cell>
          <cell r="Q146">
            <v>0</v>
          </cell>
        </row>
        <row r="147">
          <cell r="A147" t="str">
            <v>F40820C</v>
          </cell>
          <cell r="B147" t="str">
            <v>TAXES OTHER THAN INCOME TAXES</v>
          </cell>
          <cell r="D147">
            <v>21719.57</v>
          </cell>
          <cell r="E147">
            <v>-21719.57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</row>
        <row r="148">
          <cell r="A148" t="str">
            <v>F40830E</v>
          </cell>
          <cell r="B148" t="str">
            <v>TAXES OTHER THAN INCOME TAXES-PROPERTY ELECTRIC</v>
          </cell>
          <cell r="D148">
            <v>1644325.64</v>
          </cell>
          <cell r="E148">
            <v>1717247.87</v>
          </cell>
          <cell r="F148">
            <v>1717781.33</v>
          </cell>
          <cell r="G148">
            <v>1657329.9</v>
          </cell>
          <cell r="H148">
            <v>1717781.33</v>
          </cell>
          <cell r="I148">
            <v>1717781.35</v>
          </cell>
          <cell r="J148">
            <v>1839537.01</v>
          </cell>
          <cell r="K148">
            <v>1842231.8</v>
          </cell>
          <cell r="L148">
            <v>1851451.81</v>
          </cell>
          <cell r="M148">
            <v>1850103.58</v>
          </cell>
          <cell r="N148">
            <v>1850103.58</v>
          </cell>
          <cell r="O148">
            <v>2151345.6800000002</v>
          </cell>
          <cell r="Q148">
            <v>21557020.880000003</v>
          </cell>
        </row>
        <row r="149">
          <cell r="A149" t="str">
            <v>F40830G</v>
          </cell>
          <cell r="B149" t="str">
            <v>TAXES OTHER THAN INCOME TAXES-PROPERTY GAS</v>
          </cell>
          <cell r="D149">
            <v>533439.09</v>
          </cell>
          <cell r="E149">
            <v>534614.73</v>
          </cell>
          <cell r="F149">
            <v>534710.5</v>
          </cell>
          <cell r="G149">
            <v>515221.93</v>
          </cell>
          <cell r="H149">
            <v>534710.5</v>
          </cell>
          <cell r="I149">
            <v>534710.5</v>
          </cell>
          <cell r="J149">
            <v>581668.05000000005</v>
          </cell>
          <cell r="K149">
            <v>583058</v>
          </cell>
          <cell r="L149">
            <v>583300.04</v>
          </cell>
          <cell r="M149">
            <v>583058</v>
          </cell>
          <cell r="N149">
            <v>583058</v>
          </cell>
          <cell r="O149">
            <v>401497.4</v>
          </cell>
          <cell r="Q149">
            <v>6503046.7400000002</v>
          </cell>
        </row>
        <row r="150">
          <cell r="A150" t="str">
            <v>F40840E</v>
          </cell>
          <cell r="B150" t="str">
            <v>TAXES OTHER THAN INCOME TAXES-OTHER ELE</v>
          </cell>
          <cell r="I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F40840G</v>
          </cell>
          <cell r="B151" t="str">
            <v>TAXES OTHER THAN INCOME TAXES-OTHER GAS</v>
          </cell>
          <cell r="I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F40910E</v>
          </cell>
          <cell r="B152" t="str">
            <v>INCOME TAXES-FEDERAL (409.1)</v>
          </cell>
          <cell r="D152">
            <v>2445000</v>
          </cell>
          <cell r="E152">
            <v>8929783.5700000003</v>
          </cell>
          <cell r="F152">
            <v>-239000</v>
          </cell>
          <cell r="G152">
            <v>5754000</v>
          </cell>
          <cell r="H152">
            <v>4002000</v>
          </cell>
          <cell r="I152">
            <v>18230000</v>
          </cell>
          <cell r="J152">
            <v>6346000</v>
          </cell>
          <cell r="K152">
            <v>14311000</v>
          </cell>
          <cell r="L152">
            <v>36762000</v>
          </cell>
          <cell r="M152">
            <v>6860000</v>
          </cell>
          <cell r="N152">
            <v>10448000</v>
          </cell>
          <cell r="O152">
            <v>-9992400.1699999999</v>
          </cell>
          <cell r="Q152">
            <v>103856383.39999999</v>
          </cell>
        </row>
        <row r="153">
          <cell r="A153" t="str">
            <v>F40910G</v>
          </cell>
          <cell r="B153" t="str">
            <v>INCOME TAXES-FEDERAL (409.1)</v>
          </cell>
          <cell r="D153">
            <v>1380000</v>
          </cell>
          <cell r="E153">
            <v>818000</v>
          </cell>
          <cell r="F153">
            <v>2768000</v>
          </cell>
          <cell r="G153">
            <v>1158000</v>
          </cell>
          <cell r="H153">
            <v>834000</v>
          </cell>
          <cell r="I153">
            <v>835000</v>
          </cell>
          <cell r="J153">
            <v>2471000</v>
          </cell>
          <cell r="K153">
            <v>1260000</v>
          </cell>
          <cell r="L153">
            <v>1565000</v>
          </cell>
          <cell r="M153">
            <v>1167000</v>
          </cell>
          <cell r="N153">
            <v>788000</v>
          </cell>
          <cell r="O153">
            <v>-17201000</v>
          </cell>
          <cell r="Q153">
            <v>-2157000</v>
          </cell>
        </row>
        <row r="154">
          <cell r="A154" t="str">
            <v>F40911E</v>
          </cell>
          <cell r="B154" t="str">
            <v>STATE INCOME TAXES ELEC</v>
          </cell>
          <cell r="D154">
            <v>-873000</v>
          </cell>
          <cell r="E154">
            <v>-509000</v>
          </cell>
          <cell r="F154">
            <v>2661000</v>
          </cell>
          <cell r="G154">
            <v>1832000</v>
          </cell>
          <cell r="H154">
            <v>1320000</v>
          </cell>
          <cell r="I154">
            <v>1320000</v>
          </cell>
          <cell r="J154">
            <v>3909000</v>
          </cell>
          <cell r="K154">
            <v>2965000</v>
          </cell>
          <cell r="L154">
            <v>8512000</v>
          </cell>
          <cell r="M154">
            <v>1846000</v>
          </cell>
          <cell r="N154">
            <v>1246000</v>
          </cell>
          <cell r="O154">
            <v>-8437.4599999999991</v>
          </cell>
          <cell r="Q154">
            <v>24220562.539999999</v>
          </cell>
        </row>
        <row r="155">
          <cell r="A155" t="str">
            <v>F40911G</v>
          </cell>
          <cell r="B155" t="str">
            <v>STATE INCOME TAXES GAS</v>
          </cell>
          <cell r="D155">
            <v>313000</v>
          </cell>
          <cell r="E155">
            <v>185000</v>
          </cell>
          <cell r="F155">
            <v>628000</v>
          </cell>
          <cell r="G155">
            <v>263000</v>
          </cell>
          <cell r="H155">
            <v>189000</v>
          </cell>
          <cell r="I155">
            <v>189000</v>
          </cell>
          <cell r="J155">
            <v>560000</v>
          </cell>
          <cell r="K155">
            <v>286000</v>
          </cell>
          <cell r="L155">
            <v>355000</v>
          </cell>
          <cell r="M155">
            <v>264000</v>
          </cell>
          <cell r="N155">
            <v>179000</v>
          </cell>
          <cell r="O155">
            <v>-2495000</v>
          </cell>
          <cell r="Q155">
            <v>916000</v>
          </cell>
        </row>
        <row r="156">
          <cell r="A156" t="str">
            <v>F40920C</v>
          </cell>
          <cell r="B156" t="str">
            <v>TAXES ON NON OPERATING INCOME</v>
          </cell>
          <cell r="D156">
            <v>973000</v>
          </cell>
          <cell r="E156">
            <v>1886000</v>
          </cell>
          <cell r="F156">
            <v>1632000</v>
          </cell>
          <cell r="G156">
            <v>1572000</v>
          </cell>
          <cell r="H156">
            <v>1116000</v>
          </cell>
          <cell r="I156">
            <v>892000</v>
          </cell>
          <cell r="J156">
            <v>1053000</v>
          </cell>
          <cell r="K156">
            <v>784000</v>
          </cell>
          <cell r="L156">
            <v>991000</v>
          </cell>
          <cell r="M156">
            <v>587000</v>
          </cell>
          <cell r="N156">
            <v>7597000</v>
          </cell>
          <cell r="O156">
            <v>4409000</v>
          </cell>
          <cell r="Q156">
            <v>23492000</v>
          </cell>
        </row>
        <row r="157">
          <cell r="A157" t="str">
            <v>F41010E</v>
          </cell>
          <cell r="B157" t="str">
            <v>PROVISION FOR DEFERRED INCOME TAXES FED ELECTRIC</v>
          </cell>
          <cell r="D157">
            <v>20822000</v>
          </cell>
          <cell r="E157">
            <v>12867216.43</v>
          </cell>
          <cell r="F157">
            <v>40328000</v>
          </cell>
          <cell r="G157">
            <v>1224000</v>
          </cell>
          <cell r="H157">
            <v>882000</v>
          </cell>
          <cell r="I157">
            <v>881000</v>
          </cell>
          <cell r="J157">
            <v>2611000</v>
          </cell>
          <cell r="K157">
            <v>-2519000</v>
          </cell>
          <cell r="L157">
            <v>-22245000</v>
          </cell>
          <cell r="M157">
            <v>1233000</v>
          </cell>
          <cell r="N157">
            <v>833000</v>
          </cell>
          <cell r="O157">
            <v>92408400.170000002</v>
          </cell>
          <cell r="Q157">
            <v>149325616.60000002</v>
          </cell>
        </row>
        <row r="158">
          <cell r="A158" t="str">
            <v>F41010G</v>
          </cell>
          <cell r="B158" t="str">
            <v>PROVISION FOR DEFERRED INCOME TAXES FED  GAS</v>
          </cell>
          <cell r="D158">
            <v>9000</v>
          </cell>
          <cell r="E158">
            <v>5000</v>
          </cell>
          <cell r="F158">
            <v>17000</v>
          </cell>
          <cell r="G158">
            <v>8000</v>
          </cell>
          <cell r="H158">
            <v>5000</v>
          </cell>
          <cell r="I158">
            <v>5000</v>
          </cell>
          <cell r="J158">
            <v>16000</v>
          </cell>
          <cell r="K158">
            <v>8000</v>
          </cell>
          <cell r="L158">
            <v>10000</v>
          </cell>
          <cell r="M158">
            <v>7000</v>
          </cell>
          <cell r="N158">
            <v>5000</v>
          </cell>
          <cell r="O158">
            <v>21791000</v>
          </cell>
          <cell r="Q158">
            <v>21886000</v>
          </cell>
        </row>
        <row r="159">
          <cell r="A159" t="str">
            <v>F41011E</v>
          </cell>
          <cell r="B159" t="str">
            <v>PROVISION FOR DEFERRED INCOME TAXES STATE ELECTRIC</v>
          </cell>
          <cell r="D159">
            <v>4890000</v>
          </cell>
          <cell r="E159">
            <v>2943000</v>
          </cell>
          <cell r="F159">
            <v>9447000</v>
          </cell>
          <cell r="I159">
            <v>0</v>
          </cell>
          <cell r="K159">
            <v>-972000</v>
          </cell>
          <cell r="L159">
            <v>-6036000</v>
          </cell>
          <cell r="N159">
            <v>0</v>
          </cell>
          <cell r="O159">
            <v>16472437.460000001</v>
          </cell>
          <cell r="Q159">
            <v>26744437.460000001</v>
          </cell>
        </row>
        <row r="160">
          <cell r="A160" t="str">
            <v>F41011G</v>
          </cell>
          <cell r="B160" t="str">
            <v>PROVISION FOR DEFERRED INCOME TAXES STA</v>
          </cell>
          <cell r="I160">
            <v>0</v>
          </cell>
          <cell r="N160">
            <v>0</v>
          </cell>
          <cell r="O160">
            <v>2843000</v>
          </cell>
          <cell r="Q160">
            <v>2843000</v>
          </cell>
        </row>
        <row r="161">
          <cell r="A161" t="str">
            <v>F41020C</v>
          </cell>
          <cell r="B161" t="str">
            <v>PROVISION FOR DEFERRED INC. TAXES NON OPERATING IN</v>
          </cell>
          <cell r="D161">
            <v>59000</v>
          </cell>
          <cell r="E161">
            <v>34000</v>
          </cell>
          <cell r="F161">
            <v>116000</v>
          </cell>
          <cell r="G161">
            <v>49000</v>
          </cell>
          <cell r="H161">
            <v>35000</v>
          </cell>
          <cell r="I161">
            <v>35000</v>
          </cell>
          <cell r="J161">
            <v>105000</v>
          </cell>
          <cell r="K161">
            <v>53000</v>
          </cell>
          <cell r="L161">
            <v>66000</v>
          </cell>
          <cell r="M161">
            <v>49000</v>
          </cell>
          <cell r="N161">
            <v>33000</v>
          </cell>
          <cell r="O161">
            <v>14481000</v>
          </cell>
          <cell r="Q161">
            <v>15115000</v>
          </cell>
        </row>
        <row r="162">
          <cell r="A162" t="str">
            <v>F41110E</v>
          </cell>
          <cell r="B162" t="str">
            <v>(LESS) PROVISION FOR DEFERRED INCOME TAXES-FED ELE</v>
          </cell>
          <cell r="D162">
            <v>-9010000</v>
          </cell>
          <cell r="E162">
            <v>-5344000</v>
          </cell>
          <cell r="F162">
            <v>-34138000</v>
          </cell>
          <cell r="G162">
            <v>-1475000</v>
          </cell>
          <cell r="H162">
            <v>-1063000</v>
          </cell>
          <cell r="I162">
            <v>-1065000</v>
          </cell>
          <cell r="J162">
            <v>-3148000</v>
          </cell>
          <cell r="K162">
            <v>-1604000</v>
          </cell>
          <cell r="L162">
            <v>-1996000</v>
          </cell>
          <cell r="M162">
            <v>-1487000</v>
          </cell>
          <cell r="N162">
            <v>-1003000</v>
          </cell>
          <cell r="O162">
            <v>-93418000</v>
          </cell>
          <cell r="Q162">
            <v>-154751000</v>
          </cell>
        </row>
        <row r="163">
          <cell r="A163" t="str">
            <v>F41110G</v>
          </cell>
          <cell r="B163" t="str">
            <v>(LESS) PROVISION FOR DEFERRED INCOME TAXES-FED GAS</v>
          </cell>
          <cell r="D163">
            <v>-256000</v>
          </cell>
          <cell r="E163">
            <v>-152000</v>
          </cell>
          <cell r="F163">
            <v>-517000</v>
          </cell>
          <cell r="G163">
            <v>-215000</v>
          </cell>
          <cell r="H163">
            <v>-155000</v>
          </cell>
          <cell r="I163">
            <v>-156000</v>
          </cell>
          <cell r="J163">
            <v>-459000</v>
          </cell>
          <cell r="K163">
            <v>-235000</v>
          </cell>
          <cell r="L163">
            <v>-290000</v>
          </cell>
          <cell r="M163">
            <v>-219000</v>
          </cell>
          <cell r="N163">
            <v>-147000</v>
          </cell>
          <cell r="O163">
            <v>-4907000</v>
          </cell>
          <cell r="Q163">
            <v>-7708000</v>
          </cell>
        </row>
        <row r="164">
          <cell r="A164" t="str">
            <v>F41112E</v>
          </cell>
          <cell r="B164" t="str">
            <v>(LESS) PROVISION FOR DEFERRED INCOME TAXES-STATE E</v>
          </cell>
          <cell r="D164">
            <v>-2338000</v>
          </cell>
          <cell r="E164">
            <v>-1388000</v>
          </cell>
          <cell r="F164">
            <v>-8748000</v>
          </cell>
          <cell r="G164">
            <v>-425000</v>
          </cell>
          <cell r="H164">
            <v>-308000</v>
          </cell>
          <cell r="I164">
            <v>-308000</v>
          </cell>
          <cell r="J164">
            <v>-908000</v>
          </cell>
          <cell r="K164">
            <v>-463000</v>
          </cell>
          <cell r="L164">
            <v>-576000</v>
          </cell>
          <cell r="M164">
            <v>-428000</v>
          </cell>
          <cell r="N164">
            <v>-290000</v>
          </cell>
          <cell r="O164">
            <v>-24502000</v>
          </cell>
          <cell r="Q164">
            <v>-40682000</v>
          </cell>
        </row>
        <row r="165">
          <cell r="A165" t="str">
            <v>F41112G</v>
          </cell>
          <cell r="B165" t="str">
            <v>(LESS) PROVISION FOR DEFERRED INCOME TAXES-STATE G</v>
          </cell>
          <cell r="D165">
            <v>-60000</v>
          </cell>
          <cell r="E165">
            <v>-37000</v>
          </cell>
          <cell r="F165">
            <v>-122000</v>
          </cell>
          <cell r="G165">
            <v>-51000</v>
          </cell>
          <cell r="H165">
            <v>-35000</v>
          </cell>
          <cell r="I165">
            <v>-38000</v>
          </cell>
          <cell r="J165">
            <v>-108000</v>
          </cell>
          <cell r="K165">
            <v>-55000</v>
          </cell>
          <cell r="L165">
            <v>-69000</v>
          </cell>
          <cell r="M165">
            <v>-51000</v>
          </cell>
          <cell r="N165">
            <v>-35000</v>
          </cell>
          <cell r="O165">
            <v>-1010000</v>
          </cell>
          <cell r="Q165">
            <v>-1671000</v>
          </cell>
        </row>
        <row r="166">
          <cell r="A166" t="str">
            <v>F41120C</v>
          </cell>
          <cell r="B166" t="str">
            <v>(LESS) PROVISION FOR DEFERRED INCOME TAXES-NON OP</v>
          </cell>
          <cell r="D166">
            <v>-90000</v>
          </cell>
          <cell r="E166">
            <v>-53000</v>
          </cell>
          <cell r="F166">
            <v>-181000</v>
          </cell>
          <cell r="G166">
            <v>-75000</v>
          </cell>
          <cell r="H166">
            <v>-55000</v>
          </cell>
          <cell r="I166">
            <v>-54000</v>
          </cell>
          <cell r="J166">
            <v>-161000</v>
          </cell>
          <cell r="K166">
            <v>-82000</v>
          </cell>
          <cell r="L166">
            <v>-102000</v>
          </cell>
          <cell r="M166">
            <v>-77000</v>
          </cell>
          <cell r="N166">
            <v>-10466000</v>
          </cell>
          <cell r="O166">
            <v>-5677000</v>
          </cell>
          <cell r="Q166">
            <v>-17073000</v>
          </cell>
        </row>
        <row r="167">
          <cell r="A167" t="str">
            <v>F41140E</v>
          </cell>
          <cell r="B167" t="str">
            <v>INVESTMENT TAX CREDIT ADJ.-FED ELECTRIC</v>
          </cell>
          <cell r="D167">
            <v>-183000</v>
          </cell>
          <cell r="E167">
            <v>-108000</v>
          </cell>
          <cell r="F167">
            <v>-366000</v>
          </cell>
          <cell r="G167">
            <v>-153000</v>
          </cell>
          <cell r="H167">
            <v>-110000</v>
          </cell>
          <cell r="I167">
            <v>-110000</v>
          </cell>
          <cell r="J167">
            <v>-327000</v>
          </cell>
          <cell r="K167">
            <v>-167000</v>
          </cell>
          <cell r="L167">
            <v>-207000</v>
          </cell>
          <cell r="M167">
            <v>-154000</v>
          </cell>
          <cell r="N167">
            <v>-104000</v>
          </cell>
          <cell r="O167">
            <v>-211000</v>
          </cell>
          <cell r="Q167">
            <v>-2200000</v>
          </cell>
        </row>
        <row r="168">
          <cell r="A168" t="str">
            <v>F41140G</v>
          </cell>
          <cell r="B168" t="str">
            <v>INVESTMENT TAX CREDIT ADJ.-FED GAS</v>
          </cell>
          <cell r="D168">
            <v>-50000</v>
          </cell>
          <cell r="E168">
            <v>-29000</v>
          </cell>
          <cell r="F168">
            <v>-100000</v>
          </cell>
          <cell r="G168">
            <v>-42000</v>
          </cell>
          <cell r="H168">
            <v>-30000</v>
          </cell>
          <cell r="I168">
            <v>-30000</v>
          </cell>
          <cell r="J168">
            <v>-89000</v>
          </cell>
          <cell r="K168">
            <v>-46000</v>
          </cell>
          <cell r="L168">
            <v>-56000</v>
          </cell>
          <cell r="M168">
            <v>-42000</v>
          </cell>
          <cell r="N168">
            <v>-28000</v>
          </cell>
          <cell r="O168">
            <v>-58000</v>
          </cell>
          <cell r="Q168">
            <v>-600000</v>
          </cell>
        </row>
        <row r="169">
          <cell r="A169" t="str">
            <v>F41160E</v>
          </cell>
          <cell r="B169" t="str">
            <v>GAIN FROM DISP UT PLANT</v>
          </cell>
          <cell r="E169">
            <v>1317.96</v>
          </cell>
          <cell r="F169">
            <v>123830.37</v>
          </cell>
          <cell r="I169">
            <v>0</v>
          </cell>
          <cell r="N169">
            <v>-3062665</v>
          </cell>
          <cell r="O169">
            <v>-32030.21</v>
          </cell>
          <cell r="Q169">
            <v>-2969546.88</v>
          </cell>
        </row>
        <row r="170">
          <cell r="A170" t="str">
            <v>F41170E</v>
          </cell>
          <cell r="B170" t="str">
            <v>LOSSES FROM DISP UT PLANT</v>
          </cell>
          <cell r="I170">
            <v>0</v>
          </cell>
          <cell r="N170">
            <v>0</v>
          </cell>
          <cell r="O170">
            <v>0</v>
          </cell>
          <cell r="Q170">
            <v>0</v>
          </cell>
        </row>
        <row r="171">
          <cell r="A171" t="str">
            <v>F41700C</v>
          </cell>
          <cell r="B171" t="str">
            <v>REVENUES FROM NONUTILITY OPERATIONS</v>
          </cell>
          <cell r="I171">
            <v>0</v>
          </cell>
          <cell r="K171">
            <v>19166.61</v>
          </cell>
          <cell r="N171">
            <v>0</v>
          </cell>
          <cell r="O171">
            <v>155</v>
          </cell>
          <cell r="Q171">
            <v>19321.61</v>
          </cell>
        </row>
        <row r="172">
          <cell r="A172" t="str">
            <v>F41710C</v>
          </cell>
          <cell r="B172" t="str">
            <v>EXPENSES OF NONUTILITY OPERATIONS</v>
          </cell>
          <cell r="D172">
            <v>12756.23</v>
          </cell>
          <cell r="E172">
            <v>61963.31</v>
          </cell>
          <cell r="F172">
            <v>40243.730000000003</v>
          </cell>
          <cell r="G172">
            <v>40243.74</v>
          </cell>
          <cell r="H172">
            <v>40243.730000000003</v>
          </cell>
          <cell r="I172">
            <v>40243.75</v>
          </cell>
          <cell r="J172">
            <v>34475.79</v>
          </cell>
          <cell r="K172">
            <v>40243.730000000003</v>
          </cell>
          <cell r="L172">
            <v>40243.74</v>
          </cell>
          <cell r="M172">
            <v>40243.730000000003</v>
          </cell>
          <cell r="N172">
            <v>40243.74</v>
          </cell>
          <cell r="O172">
            <v>37363.57</v>
          </cell>
          <cell r="Q172">
            <v>468508.78999999992</v>
          </cell>
        </row>
        <row r="173">
          <cell r="A173" t="str">
            <v>F41800C</v>
          </cell>
          <cell r="B173" t="str">
            <v>NONOPERATING RENTAL INCOME</v>
          </cell>
          <cell r="D173">
            <v>-17821.18</v>
          </cell>
          <cell r="E173">
            <v>-17850.400000000001</v>
          </cell>
          <cell r="F173">
            <v>-23532.58</v>
          </cell>
          <cell r="G173">
            <v>3849.67</v>
          </cell>
          <cell r="H173">
            <v>-17442.57</v>
          </cell>
          <cell r="I173">
            <v>-152962.07</v>
          </cell>
          <cell r="J173">
            <v>-335774.79</v>
          </cell>
          <cell r="K173">
            <v>-17781.990000000002</v>
          </cell>
          <cell r="L173">
            <v>-19181.990000000002</v>
          </cell>
          <cell r="M173">
            <v>39274.74</v>
          </cell>
          <cell r="N173">
            <v>129403.33</v>
          </cell>
          <cell r="O173">
            <v>-17081.990000000002</v>
          </cell>
          <cell r="Q173">
            <v>-446901.81999999989</v>
          </cell>
        </row>
        <row r="174">
          <cell r="A174" t="str">
            <v>F41900C</v>
          </cell>
          <cell r="B174" t="str">
            <v>INTEREST AND DIVIDEND INCOME</v>
          </cell>
          <cell r="D174">
            <v>-3971990.31</v>
          </cell>
          <cell r="E174">
            <v>-5527369.7699999996</v>
          </cell>
          <cell r="F174">
            <v>-4891071.1399999997</v>
          </cell>
          <cell r="G174">
            <v>-5006856.83</v>
          </cell>
          <cell r="H174">
            <v>-3560165.91</v>
          </cell>
          <cell r="I174">
            <v>-3655977.65</v>
          </cell>
          <cell r="J174">
            <v>-3283195.11</v>
          </cell>
          <cell r="K174">
            <v>-3336708.96</v>
          </cell>
          <cell r="L174">
            <v>-3348927.22</v>
          </cell>
          <cell r="M174">
            <v>-2788382.15</v>
          </cell>
          <cell r="N174">
            <v>-2723470.78</v>
          </cell>
          <cell r="O174">
            <v>-1748371.08</v>
          </cell>
          <cell r="Q174">
            <v>-43842486.909999996</v>
          </cell>
        </row>
        <row r="175">
          <cell r="A175" t="str">
            <v>F41910C</v>
          </cell>
          <cell r="B175" t="str">
            <v>ALLOWANCE FOR OTHER FUNDS USED DURING CONSTRUCTION</v>
          </cell>
          <cell r="D175">
            <v>-655058.18999999994</v>
          </cell>
          <cell r="E175">
            <v>118294.78</v>
          </cell>
          <cell r="F175">
            <v>-27579.15</v>
          </cell>
          <cell r="G175">
            <v>17923.27</v>
          </cell>
          <cell r="H175">
            <v>-325783.45</v>
          </cell>
          <cell r="I175">
            <v>-625899.75</v>
          </cell>
          <cell r="J175">
            <v>-614436.31999999995</v>
          </cell>
          <cell r="K175">
            <v>-637927.13</v>
          </cell>
          <cell r="L175">
            <v>-606674.64</v>
          </cell>
          <cell r="M175">
            <v>-682010.36</v>
          </cell>
          <cell r="N175">
            <v>-713615.7</v>
          </cell>
          <cell r="O175">
            <v>-576703.68999999994</v>
          </cell>
          <cell r="Q175">
            <v>-5329470.33</v>
          </cell>
        </row>
        <row r="176">
          <cell r="A176" t="str">
            <v>F42100C</v>
          </cell>
          <cell r="B176" t="str">
            <v>MISCELLANEOUS NONOPERATING INCOME</v>
          </cell>
          <cell r="D176">
            <v>1233188.8500000001</v>
          </cell>
          <cell r="E176">
            <v>372189</v>
          </cell>
          <cell r="F176">
            <v>44678</v>
          </cell>
          <cell r="G176">
            <v>-84067</v>
          </cell>
          <cell r="H176">
            <v>-24716.97</v>
          </cell>
          <cell r="I176">
            <v>-213737.59</v>
          </cell>
          <cell r="J176">
            <v>-17121.8</v>
          </cell>
          <cell r="K176">
            <v>-55079.4</v>
          </cell>
          <cell r="L176">
            <v>83242.600000000006</v>
          </cell>
          <cell r="M176">
            <v>-389693.05</v>
          </cell>
          <cell r="N176">
            <v>-133399.87</v>
          </cell>
          <cell r="O176">
            <v>-5626255.29</v>
          </cell>
          <cell r="Q176">
            <v>-4810772.5199999996</v>
          </cell>
        </row>
        <row r="177">
          <cell r="A177" t="str">
            <v>F42110C</v>
          </cell>
          <cell r="B177" t="str">
            <v>GAIN ON DISPOSITION OF PROPERTY</v>
          </cell>
          <cell r="F177">
            <v>-306527.57</v>
          </cell>
          <cell r="I177">
            <v>0</v>
          </cell>
          <cell r="J177">
            <v>3304.4</v>
          </cell>
          <cell r="N177">
            <v>-18803398.059999999</v>
          </cell>
          <cell r="O177">
            <v>-32677.279999999999</v>
          </cell>
          <cell r="Q177">
            <v>-19139298.510000002</v>
          </cell>
        </row>
        <row r="178">
          <cell r="A178" t="str">
            <v>F42120C</v>
          </cell>
          <cell r="B178" t="str">
            <v>LOSS ON DISPOSITION OF PROPERTY</v>
          </cell>
          <cell r="I178">
            <v>0</v>
          </cell>
          <cell r="N178">
            <v>0</v>
          </cell>
          <cell r="O178">
            <v>16966.900000000001</v>
          </cell>
          <cell r="Q178">
            <v>16966.900000000001</v>
          </cell>
        </row>
        <row r="179">
          <cell r="A179" t="str">
            <v>F42610C</v>
          </cell>
          <cell r="B179" t="str">
            <v>DONATIONS</v>
          </cell>
          <cell r="D179">
            <v>157022.43</v>
          </cell>
          <cell r="E179">
            <v>1612.98</v>
          </cell>
          <cell r="F179">
            <v>45131.57</v>
          </cell>
          <cell r="G179">
            <v>56239.63</v>
          </cell>
          <cell r="H179">
            <v>-5927.6</v>
          </cell>
          <cell r="I179">
            <v>35495.519999999997</v>
          </cell>
          <cell r="J179">
            <v>17522.39</v>
          </cell>
          <cell r="K179">
            <v>17901.37</v>
          </cell>
          <cell r="L179">
            <v>146070.35999999999</v>
          </cell>
          <cell r="M179">
            <v>17169.98</v>
          </cell>
          <cell r="N179">
            <v>573592</v>
          </cell>
          <cell r="O179">
            <v>590650.01</v>
          </cell>
          <cell r="Q179">
            <v>1652480.64</v>
          </cell>
        </row>
        <row r="180">
          <cell r="A180" t="str">
            <v>F42620C</v>
          </cell>
          <cell r="B180" t="str">
            <v>LIFE INSURANCE</v>
          </cell>
          <cell r="D180">
            <v>-112647</v>
          </cell>
          <cell r="E180">
            <v>-112647</v>
          </cell>
          <cell r="F180">
            <v>-112647</v>
          </cell>
          <cell r="G180">
            <v>-112647</v>
          </cell>
          <cell r="H180">
            <v>-112647</v>
          </cell>
          <cell r="I180">
            <v>-131951</v>
          </cell>
          <cell r="J180">
            <v>-129031</v>
          </cell>
          <cell r="K180">
            <v>-129031</v>
          </cell>
          <cell r="L180">
            <v>-129031</v>
          </cell>
          <cell r="M180">
            <v>-129031</v>
          </cell>
          <cell r="N180">
            <v>-129031</v>
          </cell>
          <cell r="O180">
            <v>-129031</v>
          </cell>
          <cell r="Q180">
            <v>-1469372</v>
          </cell>
        </row>
        <row r="181">
          <cell r="A181" t="str">
            <v>F42630C</v>
          </cell>
          <cell r="B181" t="str">
            <v>PENALTIES</v>
          </cell>
          <cell r="F181">
            <v>502.17</v>
          </cell>
          <cell r="G181">
            <v>23.68</v>
          </cell>
          <cell r="I181">
            <v>0</v>
          </cell>
          <cell r="K181">
            <v>18218.64</v>
          </cell>
          <cell r="N181">
            <v>0</v>
          </cell>
          <cell r="O181">
            <v>623.61</v>
          </cell>
          <cell r="Q181">
            <v>19368.099999999999</v>
          </cell>
        </row>
        <row r="182">
          <cell r="A182" t="str">
            <v>F42640C</v>
          </cell>
          <cell r="B182" t="str">
            <v>EXPENDITURES FOR CIVIC  POLITICAL AND R</v>
          </cell>
          <cell r="I182">
            <v>0</v>
          </cell>
          <cell r="N182">
            <v>0</v>
          </cell>
          <cell r="O182">
            <v>47305.55</v>
          </cell>
          <cell r="Q182">
            <v>47305.55</v>
          </cell>
        </row>
        <row r="183">
          <cell r="A183" t="str">
            <v>F42650C</v>
          </cell>
          <cell r="B183" t="str">
            <v>OTHER DEDUCTIONS</v>
          </cell>
          <cell r="D183">
            <v>-298881</v>
          </cell>
          <cell r="E183">
            <v>281661</v>
          </cell>
          <cell r="F183">
            <v>-21921</v>
          </cell>
          <cell r="I183">
            <v>0</v>
          </cell>
          <cell r="L183">
            <v>-109300</v>
          </cell>
          <cell r="M183">
            <v>2300</v>
          </cell>
          <cell r="N183">
            <v>1651951</v>
          </cell>
          <cell r="O183">
            <v>-24162000</v>
          </cell>
          <cell r="Q183">
            <v>-22656190</v>
          </cell>
        </row>
        <row r="184">
          <cell r="A184" t="str">
            <v>F42700C</v>
          </cell>
          <cell r="B184" t="str">
            <v>INTEREST ON LONG-TERM DEBT</v>
          </cell>
          <cell r="D184">
            <v>4477359.22</v>
          </cell>
          <cell r="E184">
            <v>4844926.18</v>
          </cell>
          <cell r="F184">
            <v>4702141.4000000004</v>
          </cell>
          <cell r="G184">
            <v>4704052.46</v>
          </cell>
          <cell r="H184">
            <v>5092146.43</v>
          </cell>
          <cell r="I184">
            <v>4625614.0999999996</v>
          </cell>
          <cell r="J184">
            <v>4561376.0599999996</v>
          </cell>
          <cell r="K184">
            <v>4564323.29</v>
          </cell>
          <cell r="L184">
            <v>4779948</v>
          </cell>
          <cell r="M184">
            <v>4825871.6900000004</v>
          </cell>
          <cell r="N184">
            <v>4754688.08</v>
          </cell>
          <cell r="O184">
            <v>4647211.68</v>
          </cell>
          <cell r="Q184">
            <v>56579658.589999996</v>
          </cell>
        </row>
        <row r="185">
          <cell r="A185" t="str">
            <v>F42800C</v>
          </cell>
          <cell r="B185" t="str">
            <v>AMORTIZATION OF DEBT DISC. AND EXPENSE</v>
          </cell>
          <cell r="D185">
            <v>58221.49</v>
          </cell>
          <cell r="E185">
            <v>58221.49</v>
          </cell>
          <cell r="F185">
            <v>58221.49</v>
          </cell>
          <cell r="G185">
            <v>58221.49</v>
          </cell>
          <cell r="H185">
            <v>58221.49</v>
          </cell>
          <cell r="I185">
            <v>58221.49</v>
          </cell>
          <cell r="J185">
            <v>58221.49</v>
          </cell>
          <cell r="K185">
            <v>58221.49</v>
          </cell>
          <cell r="L185">
            <v>58221.49</v>
          </cell>
          <cell r="M185">
            <v>58221.49</v>
          </cell>
          <cell r="N185">
            <v>58221.49</v>
          </cell>
          <cell r="O185">
            <v>58221.49</v>
          </cell>
          <cell r="Q185">
            <v>698657.88</v>
          </cell>
        </row>
        <row r="186">
          <cell r="A186" t="str">
            <v>F42810C</v>
          </cell>
          <cell r="B186" t="str">
            <v>AMORTIZATION OF LOSS ON REACQUIRED DEBT</v>
          </cell>
          <cell r="D186">
            <v>374872.7</v>
          </cell>
          <cell r="E186">
            <v>374872.7</v>
          </cell>
          <cell r="F186">
            <v>374872.7</v>
          </cell>
          <cell r="G186">
            <v>374872.7</v>
          </cell>
          <cell r="H186">
            <v>374872.7</v>
          </cell>
          <cell r="I186">
            <v>374872.7</v>
          </cell>
          <cell r="J186">
            <v>374872.7</v>
          </cell>
          <cell r="K186">
            <v>374872.71</v>
          </cell>
          <cell r="L186">
            <v>363294.65</v>
          </cell>
          <cell r="M186">
            <v>363294.65</v>
          </cell>
          <cell r="N186">
            <v>363294.65</v>
          </cell>
          <cell r="O186">
            <v>363294.65</v>
          </cell>
          <cell r="Q186">
            <v>4452160.21</v>
          </cell>
        </row>
        <row r="187">
          <cell r="A187" t="str">
            <v>F42900C</v>
          </cell>
          <cell r="B187" t="str">
            <v>(LESS) AMORT. OF PREMIUM ON DEBT-CREDIT</v>
          </cell>
          <cell r="D187">
            <v>-2106.09</v>
          </cell>
          <cell r="E187">
            <v>-2106.09</v>
          </cell>
          <cell r="F187">
            <v>-2106.09</v>
          </cell>
          <cell r="G187">
            <v>-2106.09</v>
          </cell>
          <cell r="H187">
            <v>-2106.09</v>
          </cell>
          <cell r="I187">
            <v>-2106.09</v>
          </cell>
          <cell r="J187">
            <v>-2106.09</v>
          </cell>
          <cell r="K187">
            <v>-2106.09</v>
          </cell>
          <cell r="L187">
            <v>-2106.09</v>
          </cell>
          <cell r="M187">
            <v>-2106.09</v>
          </cell>
          <cell r="N187">
            <v>-2106.09</v>
          </cell>
          <cell r="O187">
            <v>-2106.09</v>
          </cell>
          <cell r="Q187">
            <v>-25273.08</v>
          </cell>
        </row>
        <row r="188">
          <cell r="A188" t="str">
            <v>F43000C</v>
          </cell>
          <cell r="B188" t="str">
            <v>INTEREST ON DEBT TO ASSOC. COMPANIES</v>
          </cell>
          <cell r="D188">
            <v>2367783.9900000002</v>
          </cell>
          <cell r="E188">
            <v>2367783.9900000002</v>
          </cell>
          <cell r="F188">
            <v>2350012.23</v>
          </cell>
          <cell r="G188">
            <v>2280381.5099999998</v>
          </cell>
          <cell r="H188">
            <v>2280381.5099999998</v>
          </cell>
          <cell r="I188">
            <v>2192861.0699999998</v>
          </cell>
          <cell r="J188">
            <v>2204539.1</v>
          </cell>
          <cell r="K188">
            <v>2204539.1</v>
          </cell>
          <cell r="L188">
            <v>2191011.6</v>
          </cell>
          <cell r="M188">
            <v>2123664.89</v>
          </cell>
          <cell r="N188">
            <v>2123664.89</v>
          </cell>
          <cell r="O188">
            <v>2174773.65</v>
          </cell>
          <cell r="Q188">
            <v>26861397.530000001</v>
          </cell>
        </row>
        <row r="189">
          <cell r="A189" t="str">
            <v>F43100C</v>
          </cell>
          <cell r="B189" t="str">
            <v>OTHER INTEREST EXPENSE</v>
          </cell>
          <cell r="D189">
            <v>1252343.93</v>
          </cell>
          <cell r="E189">
            <v>2153340.81</v>
          </cell>
          <cell r="F189">
            <v>3354603.35</v>
          </cell>
          <cell r="G189">
            <v>3019988.56</v>
          </cell>
          <cell r="H189">
            <v>2085731.33</v>
          </cell>
          <cell r="I189">
            <v>2267332.37</v>
          </cell>
          <cell r="J189">
            <v>1724847.1</v>
          </cell>
          <cell r="K189">
            <v>1765600</v>
          </cell>
          <cell r="L189">
            <v>1736945</v>
          </cell>
          <cell r="M189">
            <v>2287400.8199999998</v>
          </cell>
          <cell r="N189">
            <v>1220998.3400000001</v>
          </cell>
          <cell r="O189">
            <v>1110021.29</v>
          </cell>
          <cell r="Q189">
            <v>23979152.900000002</v>
          </cell>
        </row>
        <row r="190">
          <cell r="A190" t="str">
            <v>F43200C</v>
          </cell>
          <cell r="B190" t="str">
            <v>(LESS) ALLOW FOR BORROWED FUNDS USED DURING CON-CR</v>
          </cell>
          <cell r="D190">
            <v>-289314.45</v>
          </cell>
          <cell r="E190">
            <v>-395938.77</v>
          </cell>
          <cell r="F190">
            <v>-511697.72</v>
          </cell>
          <cell r="G190">
            <v>-557290.31999999995</v>
          </cell>
          <cell r="H190">
            <v>-400627.95</v>
          </cell>
          <cell r="I190">
            <v>-278510.44</v>
          </cell>
          <cell r="J190">
            <v>-272188.82</v>
          </cell>
          <cell r="K190">
            <v>-277550.56</v>
          </cell>
          <cell r="L190">
            <v>-257627.19</v>
          </cell>
          <cell r="M190">
            <v>-285647.67</v>
          </cell>
          <cell r="N190">
            <v>-263973.86</v>
          </cell>
          <cell r="O190">
            <v>-258872.66</v>
          </cell>
          <cell r="Q190">
            <v>-4049240.4099999997</v>
          </cell>
        </row>
        <row r="191">
          <cell r="A191" t="str">
            <v>F43700C</v>
          </cell>
          <cell r="B191" t="str">
            <v>DIVIDENDS DECLARED-PREFERRED STOCK (ACCOUNT 437)</v>
          </cell>
          <cell r="D191">
            <v>548514.03</v>
          </cell>
          <cell r="E191">
            <v>548514.03</v>
          </cell>
          <cell r="F191">
            <v>548514.03</v>
          </cell>
          <cell r="G191">
            <v>548514.03</v>
          </cell>
          <cell r="H191">
            <v>548514.03</v>
          </cell>
          <cell r="I191">
            <v>548514.03</v>
          </cell>
          <cell r="J191">
            <v>548514.03</v>
          </cell>
          <cell r="K191">
            <v>548514.03</v>
          </cell>
          <cell r="L191">
            <v>548514.03</v>
          </cell>
          <cell r="M191">
            <v>548514.03</v>
          </cell>
          <cell r="N191">
            <v>548514.03</v>
          </cell>
          <cell r="O191">
            <v>548514.03</v>
          </cell>
          <cell r="Q191">
            <v>6582168.3600000022</v>
          </cell>
        </row>
        <row r="192">
          <cell r="A192" t="str">
            <v>F43701C</v>
          </cell>
          <cell r="B192" t="str">
            <v>DIVIDENDS DECLARED - PREFERRED STOCK (A</v>
          </cell>
          <cell r="I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 t="str">
            <v>F43800C</v>
          </cell>
          <cell r="B193" t="str">
            <v>DIVIDENDS DECLARED-COMMON STOCK (ACCOUN</v>
          </cell>
          <cell r="N193">
            <v>150000000</v>
          </cell>
          <cell r="O193">
            <v>-150000000</v>
          </cell>
          <cell r="Q193">
            <v>0</v>
          </cell>
        </row>
        <row r="194">
          <cell r="A194" t="str">
            <v>F44000C</v>
          </cell>
          <cell r="B194" t="str">
            <v>RESIDENTIAL SALES</v>
          </cell>
          <cell r="D194">
            <v>-81294285</v>
          </cell>
          <cell r="E194">
            <v>-73274464</v>
          </cell>
          <cell r="F194">
            <v>-70429636</v>
          </cell>
          <cell r="G194">
            <v>-61037677</v>
          </cell>
          <cell r="H194">
            <v>-57577305</v>
          </cell>
          <cell r="I194">
            <v>-61004957</v>
          </cell>
          <cell r="J194">
            <v>-64173785</v>
          </cell>
          <cell r="K194">
            <v>-65206747</v>
          </cell>
          <cell r="L194">
            <v>-72273351</v>
          </cell>
          <cell r="M194">
            <v>-58749670</v>
          </cell>
          <cell r="N194">
            <v>-48479232</v>
          </cell>
          <cell r="O194">
            <v>-61282106</v>
          </cell>
          <cell r="Q194">
            <v>-774783215</v>
          </cell>
        </row>
        <row r="195">
          <cell r="A195" t="str">
            <v>F44200C</v>
          </cell>
          <cell r="B195" t="str">
            <v>COMMERCIAL AND INDUSTRIAL SALES</v>
          </cell>
          <cell r="D195">
            <v>-145588399</v>
          </cell>
          <cell r="E195">
            <v>-136482663</v>
          </cell>
          <cell r="F195">
            <v>-143343395</v>
          </cell>
          <cell r="G195">
            <v>-125480427</v>
          </cell>
          <cell r="H195">
            <v>-94227055</v>
          </cell>
          <cell r="I195">
            <v>-88889023</v>
          </cell>
          <cell r="J195">
            <v>-89092225</v>
          </cell>
          <cell r="K195">
            <v>-88738948</v>
          </cell>
          <cell r="L195">
            <v>-94834624</v>
          </cell>
          <cell r="M195">
            <v>48215631</v>
          </cell>
          <cell r="N195">
            <v>-56923152</v>
          </cell>
          <cell r="O195">
            <v>-62959946</v>
          </cell>
          <cell r="Q195">
            <v>-1078344226</v>
          </cell>
        </row>
        <row r="196">
          <cell r="A196" t="str">
            <v>F44400C</v>
          </cell>
          <cell r="B196" t="str">
            <v>PUBLIC STREET AND HIGHWAY LIGHTING</v>
          </cell>
          <cell r="D196">
            <v>-825562</v>
          </cell>
          <cell r="E196">
            <v>-1023531</v>
          </cell>
          <cell r="F196">
            <v>-653673</v>
          </cell>
          <cell r="G196">
            <v>-1054214</v>
          </cell>
          <cell r="H196">
            <v>-649861</v>
          </cell>
          <cell r="I196">
            <v>-855915</v>
          </cell>
          <cell r="J196">
            <v>-856512</v>
          </cell>
          <cell r="K196">
            <v>-842887</v>
          </cell>
          <cell r="L196">
            <v>-863340</v>
          </cell>
          <cell r="M196">
            <v>-862771</v>
          </cell>
          <cell r="N196">
            <v>-755279</v>
          </cell>
          <cell r="O196">
            <v>-1036909</v>
          </cell>
          <cell r="Q196">
            <v>-10280454</v>
          </cell>
        </row>
        <row r="197">
          <cell r="A197" t="str">
            <v>F44700C</v>
          </cell>
          <cell r="B197" t="str">
            <v>SALES FOR RESALE</v>
          </cell>
          <cell r="D197">
            <v>-19956838</v>
          </cell>
          <cell r="E197">
            <v>-50246226.579999998</v>
          </cell>
          <cell r="F197">
            <v>-31910234.960000001</v>
          </cell>
          <cell r="G197">
            <v>-45814402.5</v>
          </cell>
          <cell r="H197">
            <v>-41578593</v>
          </cell>
          <cell r="I197">
            <v>-24838319</v>
          </cell>
          <cell r="J197">
            <v>-41596094</v>
          </cell>
          <cell r="K197">
            <v>-40655694</v>
          </cell>
          <cell r="L197">
            <v>-35156626</v>
          </cell>
          <cell r="M197">
            <v>-12996147.5</v>
          </cell>
          <cell r="N197">
            <v>-12493737</v>
          </cell>
          <cell r="O197">
            <v>317477859</v>
          </cell>
          <cell r="Q197">
            <v>-39765053.539999962</v>
          </cell>
        </row>
        <row r="198">
          <cell r="A198" t="str">
            <v>F44701C</v>
          </cell>
          <cell r="B198" t="str">
            <v>COST RECOVERY FROM ISO/PX</v>
          </cell>
          <cell r="D198">
            <v>157128.75</v>
          </cell>
          <cell r="E198">
            <v>343433.71</v>
          </cell>
          <cell r="F198">
            <v>1924764.54</v>
          </cell>
          <cell r="I198">
            <v>-1196029.6000000001</v>
          </cell>
          <cell r="N198">
            <v>0</v>
          </cell>
          <cell r="O198">
            <v>0</v>
          </cell>
          <cell r="Q198">
            <v>1229297.3999999999</v>
          </cell>
        </row>
        <row r="199">
          <cell r="A199" t="str">
            <v>F45100C</v>
          </cell>
          <cell r="B199" t="str">
            <v>MISCELLANEOUS SERVICE REVENUES</v>
          </cell>
          <cell r="D199">
            <v>-2416762</v>
          </cell>
          <cell r="E199">
            <v>-2412387</v>
          </cell>
          <cell r="F199">
            <v>-2631441</v>
          </cell>
          <cell r="G199">
            <v>-2551401.02</v>
          </cell>
          <cell r="H199">
            <v>-2289793.63</v>
          </cell>
          <cell r="I199">
            <v>-1977395.69</v>
          </cell>
          <cell r="J199">
            <v>-2181326.7599999998</v>
          </cell>
          <cell r="K199">
            <v>-2532794.7200000002</v>
          </cell>
          <cell r="L199">
            <v>-2339788.91</v>
          </cell>
          <cell r="M199">
            <v>-574593</v>
          </cell>
          <cell r="N199">
            <v>-1669477.96</v>
          </cell>
          <cell r="O199">
            <v>-1971335.77</v>
          </cell>
          <cell r="Q199">
            <v>-25548497.459999997</v>
          </cell>
        </row>
        <row r="200">
          <cell r="A200" t="str">
            <v>F45400C</v>
          </cell>
          <cell r="B200" t="str">
            <v>RENT FROM ELECTRIC PROPERTY</v>
          </cell>
          <cell r="D200">
            <v>-118455.49</v>
          </cell>
          <cell r="E200">
            <v>-230925.59</v>
          </cell>
          <cell r="F200">
            <v>-124429.84</v>
          </cell>
          <cell r="G200">
            <v>-195795.32</v>
          </cell>
          <cell r="H200">
            <v>-116836.18</v>
          </cell>
          <cell r="I200">
            <v>-149843.68</v>
          </cell>
          <cell r="J200">
            <v>-118069.84</v>
          </cell>
          <cell r="K200">
            <v>-138152.46</v>
          </cell>
          <cell r="L200">
            <v>-105645.48</v>
          </cell>
          <cell r="M200">
            <v>-215596.09</v>
          </cell>
          <cell r="N200">
            <v>-105807.64</v>
          </cell>
          <cell r="O200">
            <v>-194093.61</v>
          </cell>
          <cell r="Q200">
            <v>-1813651.2199999997</v>
          </cell>
        </row>
        <row r="201">
          <cell r="A201" t="str">
            <v>F45400E</v>
          </cell>
          <cell r="B201" t="str">
            <v>RENT FROM ELECTRIC PROPERTY</v>
          </cell>
          <cell r="D201">
            <v>-113732.51</v>
          </cell>
          <cell r="E201">
            <v>-1184407.23</v>
          </cell>
          <cell r="F201">
            <v>-22508.94</v>
          </cell>
          <cell r="G201">
            <v>-29400.9</v>
          </cell>
          <cell r="H201">
            <v>-54156.29</v>
          </cell>
          <cell r="I201">
            <v>-206420.45</v>
          </cell>
          <cell r="J201">
            <v>-74433.11</v>
          </cell>
          <cell r="K201">
            <v>-269552.71000000002</v>
          </cell>
          <cell r="L201">
            <v>-210646.65</v>
          </cell>
          <cell r="M201">
            <v>-160173.04999999999</v>
          </cell>
          <cell r="N201">
            <v>-46609.31</v>
          </cell>
          <cell r="O201">
            <v>-69304.820000000007</v>
          </cell>
          <cell r="Q201">
            <v>-2441345.9699999997</v>
          </cell>
        </row>
        <row r="202">
          <cell r="A202" t="str">
            <v>F45600C</v>
          </cell>
          <cell r="B202" t="str">
            <v>OTHER ELECTRIC REVENUES</v>
          </cell>
          <cell r="D202">
            <v>-113617611.3</v>
          </cell>
          <cell r="E202">
            <v>-45945819.93</v>
          </cell>
          <cell r="F202">
            <v>121668367.48</v>
          </cell>
          <cell r="G202">
            <v>112414782.61</v>
          </cell>
          <cell r="H202">
            <v>59981322.109999999</v>
          </cell>
          <cell r="I202">
            <v>9008441.9000000004</v>
          </cell>
          <cell r="J202">
            <v>40261644.729999997</v>
          </cell>
          <cell r="K202">
            <v>100617418.01000001</v>
          </cell>
          <cell r="L202">
            <v>62607869.810000002</v>
          </cell>
          <cell r="M202">
            <v>-89597248.420000002</v>
          </cell>
          <cell r="N202">
            <v>12267632.630000001</v>
          </cell>
          <cell r="O202">
            <v>44523186.18</v>
          </cell>
          <cell r="Q202">
            <v>314189985.81</v>
          </cell>
        </row>
        <row r="203">
          <cell r="A203" t="str">
            <v>F45600E</v>
          </cell>
          <cell r="B203" t="str">
            <v>OTHER ELECTRIC REVENUES</v>
          </cell>
          <cell r="I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 t="str">
            <v>F45601C</v>
          </cell>
          <cell r="B204" t="str">
            <v>OTHER ELECTRIC REVENUES</v>
          </cell>
          <cell r="D204">
            <v>-775376.97</v>
          </cell>
          <cell r="E204">
            <v>-763266.25</v>
          </cell>
          <cell r="F204">
            <v>-655753.07999999996</v>
          </cell>
          <cell r="G204">
            <v>-678496.54</v>
          </cell>
          <cell r="H204">
            <v>-659082.32999999996</v>
          </cell>
          <cell r="I204">
            <v>-459748.97</v>
          </cell>
          <cell r="J204">
            <v>1439.1</v>
          </cell>
          <cell r="K204">
            <v>166.3</v>
          </cell>
          <cell r="L204">
            <v>-963148.43</v>
          </cell>
          <cell r="M204">
            <v>-670715.86</v>
          </cell>
          <cell r="N204">
            <v>409950.69</v>
          </cell>
          <cell r="O204">
            <v>-322709.92</v>
          </cell>
          <cell r="Q204">
            <v>-5536742.2599999998</v>
          </cell>
        </row>
        <row r="205">
          <cell r="A205" t="str">
            <v>F48000C</v>
          </cell>
          <cell r="B205" t="str">
            <v>RESIDENTIAL SALES</v>
          </cell>
          <cell r="D205">
            <v>-75615678</v>
          </cell>
          <cell r="E205">
            <v>-85366150</v>
          </cell>
          <cell r="F205">
            <v>-71224394</v>
          </cell>
          <cell r="G205">
            <v>-47816218</v>
          </cell>
          <cell r="H205">
            <v>-37358905</v>
          </cell>
          <cell r="I205">
            <v>-34663245</v>
          </cell>
          <cell r="J205">
            <v>-23131893</v>
          </cell>
          <cell r="K205">
            <v>-12125024</v>
          </cell>
          <cell r="L205">
            <v>-11963411</v>
          </cell>
          <cell r="M205">
            <v>-12542886</v>
          </cell>
          <cell r="N205">
            <v>-15904654</v>
          </cell>
          <cell r="O205">
            <v>-33736806</v>
          </cell>
          <cell r="Q205">
            <v>-461449264</v>
          </cell>
        </row>
        <row r="206">
          <cell r="A206" t="str">
            <v>F48100C</v>
          </cell>
          <cell r="B206" t="str">
            <v>COMMERCIAL AND INDUSTRIAL SALES</v>
          </cell>
          <cell r="D206">
            <v>-31482105</v>
          </cell>
          <cell r="E206">
            <v>-34441325</v>
          </cell>
          <cell r="F206">
            <v>-29316489</v>
          </cell>
          <cell r="G206">
            <v>-31935563</v>
          </cell>
          <cell r="H206">
            <v>-21796650</v>
          </cell>
          <cell r="I206">
            <v>-23513759</v>
          </cell>
          <cell r="J206">
            <v>-14676316</v>
          </cell>
          <cell r="K206">
            <v>-8061351</v>
          </cell>
          <cell r="L206">
            <v>-9495623</v>
          </cell>
          <cell r="M206">
            <v>-7810869</v>
          </cell>
          <cell r="N206">
            <v>-8279085</v>
          </cell>
          <cell r="O206">
            <v>-11602145</v>
          </cell>
          <cell r="Q206">
            <v>-232411280</v>
          </cell>
        </row>
        <row r="207">
          <cell r="A207" t="str">
            <v>F48300C</v>
          </cell>
          <cell r="B207" t="str">
            <v>SALES FOR RESALE</v>
          </cell>
          <cell r="I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 t="str">
            <v>F48400C</v>
          </cell>
          <cell r="B208" t="str">
            <v>INTERDEPARTMENTAL SALES</v>
          </cell>
          <cell r="D208">
            <v>-4225214</v>
          </cell>
          <cell r="E208">
            <v>-3537540</v>
          </cell>
          <cell r="F208">
            <v>-3436130</v>
          </cell>
          <cell r="G208">
            <v>-3705121</v>
          </cell>
          <cell r="H208">
            <v>-3008776</v>
          </cell>
          <cell r="I208">
            <v>-3338773</v>
          </cell>
          <cell r="J208">
            <v>-2626938</v>
          </cell>
          <cell r="K208">
            <v>-3721110</v>
          </cell>
          <cell r="L208">
            <v>-3753127</v>
          </cell>
          <cell r="M208">
            <v>-3312023</v>
          </cell>
          <cell r="N208">
            <v>-3278445</v>
          </cell>
          <cell r="O208">
            <v>-3339838</v>
          </cell>
          <cell r="Q208">
            <v>-41283035</v>
          </cell>
        </row>
        <row r="209">
          <cell r="A209" t="str">
            <v>F48401C</v>
          </cell>
          <cell r="B209" t="str">
            <v>GAS FUEL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F48800C</v>
          </cell>
          <cell r="B210" t="str">
            <v>MISCELLANEOUS SERVICE REVENUES</v>
          </cell>
          <cell r="D210">
            <v>-673884</v>
          </cell>
          <cell r="E210">
            <v>-779054</v>
          </cell>
          <cell r="F210">
            <v>-703389</v>
          </cell>
          <cell r="G210">
            <v>-572532</v>
          </cell>
          <cell r="H210">
            <v>-490174.68</v>
          </cell>
          <cell r="I210">
            <v>-507319</v>
          </cell>
          <cell r="J210">
            <v>-423423</v>
          </cell>
          <cell r="K210">
            <v>-335052</v>
          </cell>
          <cell r="L210">
            <v>-310474</v>
          </cell>
          <cell r="M210">
            <v>-300809</v>
          </cell>
          <cell r="N210">
            <v>-291539</v>
          </cell>
          <cell r="O210">
            <v>-396597</v>
          </cell>
          <cell r="Q210">
            <v>-5784246.6799999997</v>
          </cell>
        </row>
        <row r="211">
          <cell r="A211" t="str">
            <v>F48900C</v>
          </cell>
          <cell r="B211" t="str">
            <v>REV. FROM TRANS. OF GAS OF OTHERS</v>
          </cell>
          <cell r="I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 t="str">
            <v>F49300C</v>
          </cell>
          <cell r="B212" t="str">
            <v>RENT FROM GAS PROPERTY</v>
          </cell>
          <cell r="D212">
            <v>-2158.06</v>
          </cell>
          <cell r="E212">
            <v>-2158.06</v>
          </cell>
          <cell r="F212">
            <v>-2158.06</v>
          </cell>
          <cell r="G212">
            <v>-2158.06</v>
          </cell>
          <cell r="H212">
            <v>-2158.06</v>
          </cell>
          <cell r="I212">
            <v>-2158.06</v>
          </cell>
          <cell r="J212">
            <v>-2158.06</v>
          </cell>
          <cell r="K212">
            <v>-2158.06</v>
          </cell>
          <cell r="L212">
            <v>-2158.06</v>
          </cell>
          <cell r="M212">
            <v>-2158.06</v>
          </cell>
          <cell r="N212">
            <v>-2158.06</v>
          </cell>
          <cell r="O212">
            <v>-35531.339999999997</v>
          </cell>
          <cell r="Q212">
            <v>-59270</v>
          </cell>
        </row>
        <row r="213">
          <cell r="A213" t="str">
            <v>F49500C</v>
          </cell>
          <cell r="B213" t="str">
            <v>OTHER GAS REVENUES</v>
          </cell>
          <cell r="D213">
            <v>-35091253.899999999</v>
          </cell>
          <cell r="E213">
            <v>30866519.879999999</v>
          </cell>
          <cell r="F213">
            <v>7080323.8099999996</v>
          </cell>
          <cell r="G213">
            <v>12182000.779999999</v>
          </cell>
          <cell r="H213">
            <v>6162860.9100000001</v>
          </cell>
          <cell r="I213">
            <v>-2251375.19</v>
          </cell>
          <cell r="J213">
            <v>24201596.969999999</v>
          </cell>
          <cell r="K213">
            <v>8876657.75</v>
          </cell>
          <cell r="L213">
            <v>6944439.7599999998</v>
          </cell>
          <cell r="M213">
            <v>3388981.32</v>
          </cell>
          <cell r="N213">
            <v>-13431311.039999999</v>
          </cell>
          <cell r="O213">
            <v>5833653.4900000002</v>
          </cell>
          <cell r="Q213">
            <v>54763094.539999999</v>
          </cell>
        </row>
        <row r="214">
          <cell r="A214" t="str">
            <v>F49500G</v>
          </cell>
          <cell r="B214" t="str">
            <v>OTHER GAS REVENUES</v>
          </cell>
          <cell r="D214">
            <v>-118.08</v>
          </cell>
          <cell r="E214">
            <v>-112.12</v>
          </cell>
          <cell r="G214">
            <v>-123.92</v>
          </cell>
          <cell r="I214">
            <v>0</v>
          </cell>
          <cell r="K214">
            <v>-14476.5</v>
          </cell>
          <cell r="M214">
            <v>-135.51</v>
          </cell>
          <cell r="N214">
            <v>0</v>
          </cell>
          <cell r="O214">
            <v>-1283.92</v>
          </cell>
          <cell r="Q214">
            <v>-16250.050000000001</v>
          </cell>
        </row>
        <row r="215">
          <cell r="A215" t="str">
            <v>F50000E</v>
          </cell>
          <cell r="B215" t="str">
            <v>OPERATION SUPERVISION AND ENGINEERING</v>
          </cell>
          <cell r="D215">
            <v>-4334.7299999999996</v>
          </cell>
          <cell r="E215">
            <v>4552.84</v>
          </cell>
          <cell r="F215">
            <v>2576.3000000000002</v>
          </cell>
          <cell r="G215">
            <v>408252.56</v>
          </cell>
          <cell r="H215">
            <v>4803.16</v>
          </cell>
          <cell r="I215">
            <v>2836.28</v>
          </cell>
          <cell r="J215">
            <v>715.87</v>
          </cell>
          <cell r="K215">
            <v>693.89</v>
          </cell>
          <cell r="L215">
            <v>3611.71</v>
          </cell>
          <cell r="M215">
            <v>13209.86</v>
          </cell>
          <cell r="N215">
            <v>714.01</v>
          </cell>
          <cell r="O215">
            <v>26504.99</v>
          </cell>
          <cell r="Q215">
            <v>464136.74</v>
          </cell>
        </row>
        <row r="216">
          <cell r="A216" t="str">
            <v>F50010E</v>
          </cell>
          <cell r="B216" t="str">
            <v>OPERATION SUPERVISION AND ENGINEERING</v>
          </cell>
          <cell r="D216">
            <v>13.16</v>
          </cell>
          <cell r="I216">
            <v>0</v>
          </cell>
          <cell r="N216">
            <v>0</v>
          </cell>
          <cell r="O216">
            <v>0</v>
          </cell>
          <cell r="Q216">
            <v>13.16</v>
          </cell>
        </row>
        <row r="217">
          <cell r="A217" t="str">
            <v>F50020E</v>
          </cell>
          <cell r="B217" t="str">
            <v>OPERATION SUPERVISION AND ENGINEERING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F50040E</v>
          </cell>
          <cell r="B218" t="str">
            <v>OPERATION SUPERVISION AND ENGINEERING</v>
          </cell>
          <cell r="I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 t="str">
            <v>F50060E</v>
          </cell>
          <cell r="B219" t="str">
            <v>OPERATION SUPERVISION AND ENGINEERING</v>
          </cell>
          <cell r="D219">
            <v>8186.97</v>
          </cell>
          <cell r="E219">
            <v>956.59</v>
          </cell>
          <cell r="F219">
            <v>1241.29</v>
          </cell>
          <cell r="G219">
            <v>1020.3</v>
          </cell>
          <cell r="H219">
            <v>1274.74</v>
          </cell>
          <cell r="I219">
            <v>919.65</v>
          </cell>
          <cell r="J219">
            <v>-15742.53</v>
          </cell>
          <cell r="K219">
            <v>503.96</v>
          </cell>
          <cell r="L219">
            <v>1003.98</v>
          </cell>
          <cell r="M219">
            <v>1203.6099999999999</v>
          </cell>
          <cell r="N219">
            <v>392.72</v>
          </cell>
          <cell r="O219">
            <v>0</v>
          </cell>
          <cell r="Q219">
            <v>961.27999999999656</v>
          </cell>
        </row>
        <row r="220">
          <cell r="A220" t="str">
            <v>F50070E</v>
          </cell>
          <cell r="B220" t="str">
            <v>OPERATION SUPERVISION AND ENGINEERING</v>
          </cell>
          <cell r="D220">
            <v>2965.11</v>
          </cell>
          <cell r="E220">
            <v>2421.85</v>
          </cell>
          <cell r="F220">
            <v>2770.17</v>
          </cell>
          <cell r="G220">
            <v>2398.06</v>
          </cell>
          <cell r="H220">
            <v>3215.77</v>
          </cell>
          <cell r="I220">
            <v>1838.42</v>
          </cell>
          <cell r="J220">
            <v>2950.86</v>
          </cell>
          <cell r="K220">
            <v>1569.99</v>
          </cell>
          <cell r="L220">
            <v>2413.56</v>
          </cell>
          <cell r="M220">
            <v>3131.82</v>
          </cell>
          <cell r="N220">
            <v>969.47</v>
          </cell>
          <cell r="O220">
            <v>0</v>
          </cell>
          <cell r="Q220">
            <v>26645.080000000005</v>
          </cell>
        </row>
        <row r="221">
          <cell r="A221" t="str">
            <v>F50100E</v>
          </cell>
          <cell r="B221" t="str">
            <v>FUEL</v>
          </cell>
          <cell r="I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 t="str">
            <v>F50140E</v>
          </cell>
          <cell r="B222" t="str">
            <v>FUEL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F50140E</v>
          </cell>
          <cell r="B223" t="str">
            <v>FUEL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F50200E</v>
          </cell>
          <cell r="B224" t="str">
            <v>STEAM EXPENSES</v>
          </cell>
          <cell r="I224">
            <v>2129.19</v>
          </cell>
          <cell r="J224">
            <v>102.33</v>
          </cell>
          <cell r="L224">
            <v>-142.34</v>
          </cell>
          <cell r="N224">
            <v>0</v>
          </cell>
          <cell r="O224">
            <v>0</v>
          </cell>
          <cell r="Q224">
            <v>2089.1799999999998</v>
          </cell>
        </row>
        <row r="225">
          <cell r="A225" t="str">
            <v>F50210E</v>
          </cell>
          <cell r="B225" t="str">
            <v>STEAM EXPENSES</v>
          </cell>
          <cell r="I225">
            <v>0</v>
          </cell>
          <cell r="N225">
            <v>0</v>
          </cell>
          <cell r="O225">
            <v>0</v>
          </cell>
          <cell r="Q225">
            <v>0</v>
          </cell>
        </row>
        <row r="226">
          <cell r="A226" t="str">
            <v>F50500E</v>
          </cell>
          <cell r="B226" t="str">
            <v>ELECTRIC EXPENSES</v>
          </cell>
          <cell r="D226">
            <v>4741.9799999999996</v>
          </cell>
          <cell r="E226">
            <v>1520.24</v>
          </cell>
          <cell r="F226">
            <v>1562.93</v>
          </cell>
          <cell r="G226">
            <v>1513.24</v>
          </cell>
          <cell r="H226">
            <v>1923.34</v>
          </cell>
          <cell r="I226">
            <v>734.2</v>
          </cell>
          <cell r="J226">
            <v>1081.05</v>
          </cell>
          <cell r="K226">
            <v>1192.32</v>
          </cell>
          <cell r="L226">
            <v>1293.92</v>
          </cell>
          <cell r="M226">
            <v>1566.32</v>
          </cell>
          <cell r="N226">
            <v>422.14</v>
          </cell>
          <cell r="O226">
            <v>0</v>
          </cell>
          <cell r="Q226">
            <v>17551.68</v>
          </cell>
        </row>
        <row r="227">
          <cell r="A227" t="str">
            <v>F50510E</v>
          </cell>
          <cell r="B227" t="str">
            <v>ELECTRIC EXPENSES</v>
          </cell>
          <cell r="D227">
            <v>337.65</v>
          </cell>
          <cell r="E227">
            <v>288.3</v>
          </cell>
          <cell r="F227">
            <v>386.98</v>
          </cell>
          <cell r="G227">
            <v>399.28</v>
          </cell>
          <cell r="H227">
            <v>502.8</v>
          </cell>
          <cell r="I227">
            <v>362.62</v>
          </cell>
          <cell r="J227">
            <v>3210.77</v>
          </cell>
          <cell r="K227">
            <v>205.27</v>
          </cell>
          <cell r="L227">
            <v>398.78</v>
          </cell>
          <cell r="M227">
            <v>478.8</v>
          </cell>
          <cell r="N227">
            <v>147.19999999999999</v>
          </cell>
          <cell r="O227">
            <v>0</v>
          </cell>
          <cell r="Q227">
            <v>6718.45</v>
          </cell>
        </row>
        <row r="228">
          <cell r="A228" t="str">
            <v>F50530E</v>
          </cell>
          <cell r="B228" t="str">
            <v>ELECTRIC EXPENSES</v>
          </cell>
          <cell r="I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F50540E</v>
          </cell>
          <cell r="B229" t="str">
            <v>ELECTRIC EXPENSES</v>
          </cell>
          <cell r="D229">
            <v>2164.06</v>
          </cell>
          <cell r="E229">
            <v>1947.29</v>
          </cell>
          <cell r="F229">
            <v>2072.71</v>
          </cell>
          <cell r="G229">
            <v>1936.02</v>
          </cell>
          <cell r="H229">
            <v>2634.97</v>
          </cell>
          <cell r="I229">
            <v>1335.45</v>
          </cell>
          <cell r="J229">
            <v>2325</v>
          </cell>
          <cell r="K229">
            <v>1669.27</v>
          </cell>
          <cell r="L229">
            <v>1958.35</v>
          </cell>
          <cell r="M229">
            <v>2667.9</v>
          </cell>
          <cell r="N229">
            <v>784.33</v>
          </cell>
          <cell r="O229">
            <v>0</v>
          </cell>
          <cell r="Q229">
            <v>21495.350000000002</v>
          </cell>
        </row>
        <row r="230">
          <cell r="A230" t="str">
            <v>F50560E</v>
          </cell>
          <cell r="B230" t="str">
            <v>ELECTRIC EXPENSES</v>
          </cell>
          <cell r="I230">
            <v>0</v>
          </cell>
          <cell r="N230">
            <v>0</v>
          </cell>
          <cell r="O230">
            <v>0</v>
          </cell>
          <cell r="Q230">
            <v>0</v>
          </cell>
        </row>
        <row r="231">
          <cell r="A231" t="str">
            <v>F50570E</v>
          </cell>
          <cell r="B231" t="str">
            <v>ELECTRIC EXPENSES</v>
          </cell>
          <cell r="I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F50600E</v>
          </cell>
          <cell r="B232" t="str">
            <v>MISCELLANEOUS STEAM POWER EXPENSES</v>
          </cell>
          <cell r="D232">
            <v>-450.45</v>
          </cell>
          <cell r="E232">
            <v>2513.65</v>
          </cell>
          <cell r="F232">
            <v>153479.04999999999</v>
          </cell>
          <cell r="G232">
            <v>4362.62</v>
          </cell>
          <cell r="H232">
            <v>4243.4799999999996</v>
          </cell>
          <cell r="I232">
            <v>747.85</v>
          </cell>
          <cell r="J232">
            <v>4705.76</v>
          </cell>
          <cell r="K232">
            <v>147223.54</v>
          </cell>
          <cell r="L232">
            <v>4143.75</v>
          </cell>
          <cell r="M232">
            <v>57954.63</v>
          </cell>
          <cell r="N232">
            <v>567.84</v>
          </cell>
          <cell r="O232">
            <v>4220</v>
          </cell>
          <cell r="Q232">
            <v>383711.72000000003</v>
          </cell>
        </row>
        <row r="233">
          <cell r="A233" t="str">
            <v>F50700E</v>
          </cell>
          <cell r="B233" t="str">
            <v>RENTS</v>
          </cell>
          <cell r="D233">
            <v>13009</v>
          </cell>
          <cell r="E233">
            <v>13009</v>
          </cell>
          <cell r="F233">
            <v>13009</v>
          </cell>
          <cell r="G233">
            <v>13009</v>
          </cell>
          <cell r="H233">
            <v>13009</v>
          </cell>
          <cell r="I233">
            <v>13009</v>
          </cell>
          <cell r="J233">
            <v>13009</v>
          </cell>
          <cell r="K233">
            <v>13009</v>
          </cell>
          <cell r="L233">
            <v>13009</v>
          </cell>
          <cell r="M233">
            <v>12149</v>
          </cell>
          <cell r="N233">
            <v>12453</v>
          </cell>
          <cell r="O233">
            <v>11845</v>
          </cell>
          <cell r="Q233">
            <v>153528</v>
          </cell>
        </row>
        <row r="234">
          <cell r="A234" t="str">
            <v>F51000E</v>
          </cell>
          <cell r="B234" t="str">
            <v>MAINTENANCE SUPERVISION AND ENGINEERING</v>
          </cell>
          <cell r="D234">
            <v>37.799999999999997</v>
          </cell>
          <cell r="E234">
            <v>188.91</v>
          </cell>
          <cell r="F234">
            <v>3018.98</v>
          </cell>
          <cell r="G234">
            <v>16.12</v>
          </cell>
          <cell r="H234">
            <v>146.13999999999999</v>
          </cell>
          <cell r="I234">
            <v>15.98</v>
          </cell>
          <cell r="L234">
            <v>-106.86</v>
          </cell>
          <cell r="M234">
            <v>1.6</v>
          </cell>
          <cell r="N234">
            <v>0</v>
          </cell>
          <cell r="O234">
            <v>1.6</v>
          </cell>
          <cell r="Q234">
            <v>3320.2699999999995</v>
          </cell>
        </row>
        <row r="235">
          <cell r="A235" t="str">
            <v>F51010E</v>
          </cell>
          <cell r="B235" t="str">
            <v>MAINTENANCE SUPERVISION AND ENGINEERING</v>
          </cell>
          <cell r="D235">
            <v>1485.7</v>
          </cell>
          <cell r="G235">
            <v>15.9</v>
          </cell>
          <cell r="I235">
            <v>0</v>
          </cell>
          <cell r="K235">
            <v>1200.48</v>
          </cell>
          <cell r="N235">
            <v>0</v>
          </cell>
          <cell r="O235">
            <v>0</v>
          </cell>
          <cell r="Q235">
            <v>2702.08</v>
          </cell>
        </row>
        <row r="236">
          <cell r="A236" t="str">
            <v>F51020E</v>
          </cell>
          <cell r="B236" t="str">
            <v>MAINTENANCE SUPERVISION AND ENGINEERING</v>
          </cell>
          <cell r="D236">
            <v>177.76</v>
          </cell>
          <cell r="E236">
            <v>153.52000000000001</v>
          </cell>
          <cell r="F236">
            <v>161.6</v>
          </cell>
          <cell r="G236">
            <v>161.6</v>
          </cell>
          <cell r="H236">
            <v>202</v>
          </cell>
          <cell r="I236">
            <v>153.52000000000001</v>
          </cell>
          <cell r="J236">
            <v>193.92</v>
          </cell>
          <cell r="K236">
            <v>646.4</v>
          </cell>
          <cell r="L236">
            <v>-177.76</v>
          </cell>
          <cell r="M236">
            <v>18.48</v>
          </cell>
          <cell r="N236">
            <v>123.84</v>
          </cell>
          <cell r="O236">
            <v>137.6</v>
          </cell>
          <cell r="Q236">
            <v>1952.48</v>
          </cell>
        </row>
        <row r="237">
          <cell r="A237" t="str">
            <v>F51030E</v>
          </cell>
          <cell r="B237" t="str">
            <v>MAINTENANCE SUPERVISION AND ENGINEERING</v>
          </cell>
          <cell r="I237">
            <v>0</v>
          </cell>
          <cell r="N237">
            <v>0</v>
          </cell>
          <cell r="O237">
            <v>0</v>
          </cell>
          <cell r="Q237">
            <v>0</v>
          </cell>
        </row>
        <row r="238">
          <cell r="A238" t="str">
            <v>F51100E</v>
          </cell>
          <cell r="B238" t="str">
            <v>MAINTENANCE OF STRUCTURES</v>
          </cell>
          <cell r="D238">
            <v>17885.84</v>
          </cell>
          <cell r="E238">
            <v>7209.58</v>
          </cell>
          <cell r="F238">
            <v>8782.68</v>
          </cell>
          <cell r="G238">
            <v>1350.84</v>
          </cell>
          <cell r="H238">
            <v>1853.99</v>
          </cell>
          <cell r="I238">
            <v>1545.89</v>
          </cell>
          <cell r="J238">
            <v>1431.02</v>
          </cell>
          <cell r="K238">
            <v>11297.6</v>
          </cell>
          <cell r="L238">
            <v>-4187</v>
          </cell>
          <cell r="M238">
            <v>357.6</v>
          </cell>
          <cell r="N238">
            <v>1072.8</v>
          </cell>
          <cell r="O238">
            <v>1192</v>
          </cell>
          <cell r="Q238">
            <v>49792.839999999989</v>
          </cell>
        </row>
        <row r="239">
          <cell r="A239" t="str">
            <v>F51200E</v>
          </cell>
          <cell r="B239" t="str">
            <v>MAINTENANCE OF BOILER PLANT</v>
          </cell>
          <cell r="E239">
            <v>-16880.77</v>
          </cell>
          <cell r="I239">
            <v>0</v>
          </cell>
          <cell r="L239">
            <v>837.34</v>
          </cell>
          <cell r="N239">
            <v>0</v>
          </cell>
          <cell r="O239">
            <v>0</v>
          </cell>
          <cell r="Q239">
            <v>-16043.43</v>
          </cell>
        </row>
        <row r="240">
          <cell r="A240" t="str">
            <v>F51220E</v>
          </cell>
          <cell r="B240" t="str">
            <v>MAINTENANCE OF BOILER PLANT</v>
          </cell>
          <cell r="I240">
            <v>0</v>
          </cell>
          <cell r="L240">
            <v>4396.49</v>
          </cell>
          <cell r="N240">
            <v>0</v>
          </cell>
          <cell r="O240">
            <v>0</v>
          </cell>
          <cell r="Q240">
            <v>4396.49</v>
          </cell>
        </row>
        <row r="241">
          <cell r="A241" t="str">
            <v>F51300E</v>
          </cell>
          <cell r="B241" t="str">
            <v>MAINTENANCE OF ELECTRIC PLANT</v>
          </cell>
          <cell r="D241">
            <v>739.2</v>
          </cell>
          <cell r="E241">
            <v>604.79999999999995</v>
          </cell>
          <cell r="F241">
            <v>672</v>
          </cell>
          <cell r="G241">
            <v>1448</v>
          </cell>
          <cell r="H241">
            <v>20862.73</v>
          </cell>
          <cell r="I241">
            <v>1375.6</v>
          </cell>
          <cell r="J241">
            <v>1737.6</v>
          </cell>
          <cell r="K241">
            <v>2688</v>
          </cell>
          <cell r="L241">
            <v>18378.93</v>
          </cell>
          <cell r="M241">
            <v>201.6</v>
          </cell>
          <cell r="N241">
            <v>604.79999999999995</v>
          </cell>
          <cell r="O241">
            <v>672</v>
          </cell>
          <cell r="Q241">
            <v>49985.26</v>
          </cell>
        </row>
        <row r="242">
          <cell r="A242" t="str">
            <v>F51320E</v>
          </cell>
          <cell r="B242" t="str">
            <v>MAINTENANCE OF ELECTRIC PLANT</v>
          </cell>
          <cell r="I242">
            <v>0</v>
          </cell>
          <cell r="L242">
            <v>13684.53</v>
          </cell>
          <cell r="N242">
            <v>0</v>
          </cell>
          <cell r="O242">
            <v>0</v>
          </cell>
          <cell r="Q242">
            <v>13684.53</v>
          </cell>
        </row>
        <row r="243">
          <cell r="A243" t="str">
            <v>F51400E</v>
          </cell>
          <cell r="B243" t="str">
            <v>MAINTENANCE OF MISCELLANEOUS STEAM PLANT</v>
          </cell>
          <cell r="H243">
            <v>107.37</v>
          </cell>
          <cell r="I243">
            <v>0</v>
          </cell>
          <cell r="L243">
            <v>913.69</v>
          </cell>
          <cell r="N243">
            <v>0</v>
          </cell>
          <cell r="O243">
            <v>18.97</v>
          </cell>
          <cell r="Q243">
            <v>1040.03</v>
          </cell>
        </row>
        <row r="244">
          <cell r="A244" t="str">
            <v>F51420E</v>
          </cell>
          <cell r="B244" t="str">
            <v>MAINTENANCE OF MISCELLANEOUS STEAM PLAN</v>
          </cell>
          <cell r="I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F51700E</v>
          </cell>
          <cell r="B245" t="str">
            <v>OPERATION SUPERVISION AND ENGINEERING</v>
          </cell>
          <cell r="D245">
            <v>1720981.62</v>
          </cell>
          <cell r="E245">
            <v>788235.63</v>
          </cell>
          <cell r="F245">
            <v>1032854.69</v>
          </cell>
          <cell r="G245">
            <v>944481.96</v>
          </cell>
          <cell r="H245">
            <v>894314.54</v>
          </cell>
          <cell r="I245">
            <v>1360585.49</v>
          </cell>
          <cell r="J245">
            <v>1087357.8899999999</v>
          </cell>
          <cell r="K245">
            <v>-481198.06</v>
          </cell>
          <cell r="L245">
            <v>1026766.15</v>
          </cell>
          <cell r="M245">
            <v>1144985.49</v>
          </cell>
          <cell r="N245">
            <v>1211908.3700000001</v>
          </cell>
          <cell r="O245">
            <v>849832.4</v>
          </cell>
          <cell r="Q245">
            <v>11581106.17</v>
          </cell>
        </row>
        <row r="246">
          <cell r="A246" t="str">
            <v>F51800E</v>
          </cell>
          <cell r="B246" t="str">
            <v>FUEL</v>
          </cell>
          <cell r="D246">
            <v>861054.09</v>
          </cell>
          <cell r="E246">
            <v>1015039.95</v>
          </cell>
          <cell r="F246">
            <v>793840.1</v>
          </cell>
          <cell r="G246">
            <v>795060.56</v>
          </cell>
          <cell r="H246">
            <v>796571.38</v>
          </cell>
          <cell r="I246">
            <v>1386430.51</v>
          </cell>
          <cell r="J246">
            <v>1365727.95</v>
          </cell>
          <cell r="K246">
            <v>1412353.19</v>
          </cell>
          <cell r="L246">
            <v>1106615.9099999999</v>
          </cell>
          <cell r="M246">
            <v>1196675.8999999999</v>
          </cell>
          <cell r="N246">
            <v>1386021.71</v>
          </cell>
          <cell r="O246">
            <v>1435090.18</v>
          </cell>
          <cell r="Q246">
            <v>13550481.43</v>
          </cell>
        </row>
        <row r="247">
          <cell r="A247" t="str">
            <v>F51900E</v>
          </cell>
          <cell r="B247" t="str">
            <v>COOLANTS AND WATER</v>
          </cell>
          <cell r="D247">
            <v>14672.61</v>
          </cell>
          <cell r="E247">
            <v>18536.77</v>
          </cell>
          <cell r="F247">
            <v>14585.63</v>
          </cell>
          <cell r="G247">
            <v>7693.62</v>
          </cell>
          <cell r="H247">
            <v>9656.44</v>
          </cell>
          <cell r="I247">
            <v>8602.39</v>
          </cell>
          <cell r="J247">
            <v>8744.93</v>
          </cell>
          <cell r="K247">
            <v>13015.65</v>
          </cell>
          <cell r="L247">
            <v>20078.63</v>
          </cell>
          <cell r="M247">
            <v>11790.94</v>
          </cell>
          <cell r="N247">
            <v>8112.87</v>
          </cell>
          <cell r="O247">
            <v>21477.05</v>
          </cell>
          <cell r="Q247">
            <v>156967.53</v>
          </cell>
        </row>
        <row r="248">
          <cell r="A248" t="str">
            <v>F52000E</v>
          </cell>
          <cell r="B248" t="str">
            <v>STEAM EXPENSES</v>
          </cell>
          <cell r="D248">
            <v>1040629.23</v>
          </cell>
          <cell r="E248">
            <v>903349.09</v>
          </cell>
          <cell r="F248">
            <v>669956.62</v>
          </cell>
          <cell r="G248">
            <v>463703.68</v>
          </cell>
          <cell r="H248">
            <v>469309.29</v>
          </cell>
          <cell r="I248">
            <v>394721.27</v>
          </cell>
          <cell r="J248">
            <v>483800.43</v>
          </cell>
          <cell r="K248">
            <v>473206.24</v>
          </cell>
          <cell r="L248">
            <v>547789.84</v>
          </cell>
          <cell r="M248">
            <v>578756.80000000005</v>
          </cell>
          <cell r="N248">
            <v>267909.71000000002</v>
          </cell>
          <cell r="O248">
            <v>453119.58</v>
          </cell>
          <cell r="Q248">
            <v>6746251.7800000003</v>
          </cell>
        </row>
        <row r="249">
          <cell r="A249" t="str">
            <v>F52300E</v>
          </cell>
          <cell r="B249" t="str">
            <v>ELECTRIC EXPENSES</v>
          </cell>
          <cell r="D249">
            <v>218931.11</v>
          </cell>
          <cell r="E249">
            <v>92400.5</v>
          </cell>
          <cell r="F249">
            <v>275724.63</v>
          </cell>
          <cell r="G249">
            <v>160703.43</v>
          </cell>
          <cell r="H249">
            <v>157535.62</v>
          </cell>
          <cell r="I249">
            <v>164735.24</v>
          </cell>
          <cell r="J249">
            <v>160230.43</v>
          </cell>
          <cell r="K249">
            <v>194031.26</v>
          </cell>
          <cell r="L249">
            <v>167440.54</v>
          </cell>
          <cell r="M249">
            <v>157492.28</v>
          </cell>
          <cell r="N249">
            <v>83598.19</v>
          </cell>
          <cell r="O249">
            <v>94585.34</v>
          </cell>
          <cell r="Q249">
            <v>1927408.5699999998</v>
          </cell>
        </row>
        <row r="250">
          <cell r="A250" t="str">
            <v>F52400E</v>
          </cell>
          <cell r="B250" t="str">
            <v>MISCELLANEOUS NUCLEAR POWER EXPENSES</v>
          </cell>
          <cell r="D250">
            <v>1714392.13</v>
          </cell>
          <cell r="E250">
            <v>1534995.39</v>
          </cell>
          <cell r="F250">
            <v>1489625.12</v>
          </cell>
          <cell r="G250">
            <v>1234598.99</v>
          </cell>
          <cell r="H250">
            <v>1539175.71</v>
          </cell>
          <cell r="I250">
            <v>696698.92</v>
          </cell>
          <cell r="J250">
            <v>1626972.57</v>
          </cell>
          <cell r="K250">
            <v>713161.04</v>
          </cell>
          <cell r="L250">
            <v>1058608.94</v>
          </cell>
          <cell r="M250">
            <v>1429023.22</v>
          </cell>
          <cell r="N250">
            <v>806837.16</v>
          </cell>
          <cell r="O250">
            <v>1395544.36</v>
          </cell>
          <cell r="Q250">
            <v>15239633.550000001</v>
          </cell>
        </row>
        <row r="251">
          <cell r="A251" t="str">
            <v>F52500E</v>
          </cell>
          <cell r="B251" t="str">
            <v>RENTS</v>
          </cell>
          <cell r="E251">
            <v>29574.57</v>
          </cell>
          <cell r="F251">
            <v>40133.46</v>
          </cell>
          <cell r="G251">
            <v>-17819.73</v>
          </cell>
          <cell r="H251">
            <v>17880.18</v>
          </cell>
          <cell r="I251">
            <v>40133.61</v>
          </cell>
          <cell r="J251">
            <v>20.2</v>
          </cell>
          <cell r="K251">
            <v>-8486.5499999999993</v>
          </cell>
          <cell r="L251">
            <v>34878.07</v>
          </cell>
          <cell r="M251">
            <v>526.46</v>
          </cell>
          <cell r="N251">
            <v>141.13999999999999</v>
          </cell>
          <cell r="O251">
            <v>42845.94</v>
          </cell>
          <cell r="Q251">
            <v>179827.35</v>
          </cell>
        </row>
        <row r="252">
          <cell r="A252" t="str">
            <v>F52800E</v>
          </cell>
          <cell r="B252" t="str">
            <v>MAINTENANCE SUPERVISION AND ENGINEERING</v>
          </cell>
          <cell r="D252">
            <v>530538.51</v>
          </cell>
          <cell r="E252">
            <v>-726711.2</v>
          </cell>
          <cell r="F252">
            <v>1014493.07</v>
          </cell>
          <cell r="G252">
            <v>2413715.0699999998</v>
          </cell>
          <cell r="H252">
            <v>-104182.65</v>
          </cell>
          <cell r="I252">
            <v>-1813953.91</v>
          </cell>
          <cell r="J252">
            <v>302002.3</v>
          </cell>
          <cell r="K252">
            <v>279639.25</v>
          </cell>
          <cell r="L252">
            <v>2801719.89</v>
          </cell>
          <cell r="M252">
            <v>328553.65000000002</v>
          </cell>
          <cell r="N252">
            <v>-2302186.5299999998</v>
          </cell>
          <cell r="O252">
            <v>1442046.1</v>
          </cell>
          <cell r="Q252">
            <v>4165673.5500000007</v>
          </cell>
        </row>
        <row r="253">
          <cell r="A253" t="str">
            <v>F52900E</v>
          </cell>
          <cell r="B253" t="str">
            <v>MAINTENANCE OF STRUCTURES</v>
          </cell>
          <cell r="D253">
            <v>154614.17000000001</v>
          </cell>
          <cell r="E253">
            <v>357173.48</v>
          </cell>
          <cell r="F253">
            <v>494682.63</v>
          </cell>
          <cell r="G253">
            <v>415903.28</v>
          </cell>
          <cell r="H253">
            <v>202041.99</v>
          </cell>
          <cell r="I253">
            <v>148396.45000000001</v>
          </cell>
          <cell r="J253">
            <v>263051.03999999998</v>
          </cell>
          <cell r="K253">
            <v>170793.72</v>
          </cell>
          <cell r="L253">
            <v>20838.12</v>
          </cell>
          <cell r="M253">
            <v>198850.22</v>
          </cell>
          <cell r="N253">
            <v>59210.33</v>
          </cell>
          <cell r="O253">
            <v>365554.66</v>
          </cell>
          <cell r="Q253">
            <v>2851110.0900000008</v>
          </cell>
        </row>
        <row r="254">
          <cell r="A254" t="str">
            <v>F53000E</v>
          </cell>
          <cell r="B254" t="str">
            <v>MAINTENANCE OF REACTOR PLANT EQUIPMENT</v>
          </cell>
          <cell r="D254">
            <v>2192608.31</v>
          </cell>
          <cell r="E254">
            <v>875820.28</v>
          </cell>
          <cell r="F254">
            <v>1154810.56</v>
          </cell>
          <cell r="G254">
            <v>462806.83</v>
          </cell>
          <cell r="H254">
            <v>198653.21</v>
          </cell>
          <cell r="I254">
            <v>313724.11</v>
          </cell>
          <cell r="J254">
            <v>244960.32</v>
          </cell>
          <cell r="K254">
            <v>342912.34</v>
          </cell>
          <cell r="L254">
            <v>295509.96999999997</v>
          </cell>
          <cell r="M254">
            <v>386945.03</v>
          </cell>
          <cell r="N254">
            <v>40804.61</v>
          </cell>
          <cell r="O254">
            <v>344864.82</v>
          </cell>
          <cell r="Q254">
            <v>6854420.3900000015</v>
          </cell>
        </row>
        <row r="255">
          <cell r="A255" t="str">
            <v>F53100E</v>
          </cell>
          <cell r="B255" t="str">
            <v>MAINTENANCE OF ELECTRIC PLANT</v>
          </cell>
          <cell r="D255">
            <v>307641.18</v>
          </cell>
          <cell r="E255">
            <v>556029.5</v>
          </cell>
          <cell r="F255">
            <v>1021503.17</v>
          </cell>
          <cell r="G255">
            <v>1143714.3400000001</v>
          </cell>
          <cell r="H255">
            <v>483826.91</v>
          </cell>
          <cell r="I255">
            <v>200387.43</v>
          </cell>
          <cell r="J255">
            <v>244634.07</v>
          </cell>
          <cell r="K255">
            <v>241803.55</v>
          </cell>
          <cell r="L255">
            <v>247223.59</v>
          </cell>
          <cell r="M255">
            <v>204167.38</v>
          </cell>
          <cell r="N255">
            <v>83984.89</v>
          </cell>
          <cell r="O255">
            <v>269498.51</v>
          </cell>
          <cell r="Q255">
            <v>5004414.5199999996</v>
          </cell>
        </row>
        <row r="256">
          <cell r="A256" t="str">
            <v>F53200E</v>
          </cell>
          <cell r="B256" t="str">
            <v>MAINTENANCE OF MISCELLANEOUS NUCLEAR PLANT</v>
          </cell>
          <cell r="D256">
            <v>1800593.86</v>
          </cell>
          <cell r="E256">
            <v>2089182.17</v>
          </cell>
          <cell r="F256">
            <v>668295.01</v>
          </cell>
          <cell r="G256">
            <v>491585.45</v>
          </cell>
          <cell r="H256">
            <v>839776.97</v>
          </cell>
          <cell r="I256">
            <v>164900.14000000001</v>
          </cell>
          <cell r="J256">
            <v>592050.81000000006</v>
          </cell>
          <cell r="K256">
            <v>597001.82999999996</v>
          </cell>
          <cell r="L256">
            <v>515817.39</v>
          </cell>
          <cell r="M256">
            <v>378047.17</v>
          </cell>
          <cell r="N256">
            <v>317077.53000000003</v>
          </cell>
          <cell r="O256">
            <v>664755.23</v>
          </cell>
          <cell r="Q256">
            <v>9119083.5600000005</v>
          </cell>
        </row>
        <row r="257">
          <cell r="A257" t="str">
            <v>F54600E</v>
          </cell>
          <cell r="B257" t="str">
            <v>OPERATION SUPERVISION AND ENGINEERING</v>
          </cell>
          <cell r="I257">
            <v>492.5</v>
          </cell>
          <cell r="N257">
            <v>0</v>
          </cell>
          <cell r="O257">
            <v>0</v>
          </cell>
          <cell r="Q257">
            <v>492.5</v>
          </cell>
        </row>
        <row r="258">
          <cell r="A258" t="str">
            <v>F54610E</v>
          </cell>
          <cell r="B258" t="str">
            <v>OPERATION SUPERVISION AND ENGINEERING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F54700E</v>
          </cell>
          <cell r="B259" t="str">
            <v>FUEL</v>
          </cell>
          <cell r="I259">
            <v>0</v>
          </cell>
          <cell r="N259">
            <v>0</v>
          </cell>
          <cell r="O259">
            <v>0</v>
          </cell>
          <cell r="Q259">
            <v>0</v>
          </cell>
        </row>
        <row r="260">
          <cell r="A260" t="str">
            <v>F54800E</v>
          </cell>
          <cell r="B260" t="str">
            <v>GENERATION EXPENSES</v>
          </cell>
          <cell r="I260">
            <v>0</v>
          </cell>
          <cell r="L260">
            <v>6902.48</v>
          </cell>
          <cell r="N260">
            <v>0</v>
          </cell>
          <cell r="O260">
            <v>0</v>
          </cell>
          <cell r="Q260">
            <v>6902.48</v>
          </cell>
        </row>
        <row r="261">
          <cell r="A261" t="str">
            <v>F54900E</v>
          </cell>
          <cell r="B261" t="str">
            <v>MISCELLANEOUS OTHER POWER GENERATION EXPENSES</v>
          </cell>
          <cell r="E261">
            <v>7925.12</v>
          </cell>
          <cell r="F261">
            <v>46977.26</v>
          </cell>
          <cell r="G261">
            <v>-17853.3</v>
          </cell>
          <cell r="H261">
            <v>15637.05</v>
          </cell>
          <cell r="I261">
            <v>-8573.75</v>
          </cell>
          <cell r="J261">
            <v>4798.68</v>
          </cell>
          <cell r="K261">
            <v>115788.14</v>
          </cell>
          <cell r="L261">
            <v>7256.6</v>
          </cell>
          <cell r="M261">
            <v>109152.84</v>
          </cell>
          <cell r="N261">
            <v>0</v>
          </cell>
          <cell r="O261">
            <v>31763.03</v>
          </cell>
          <cell r="Q261">
            <v>312871.67000000004</v>
          </cell>
        </row>
        <row r="262">
          <cell r="A262" t="str">
            <v>F55000E</v>
          </cell>
          <cell r="B262" t="str">
            <v>RENTS</v>
          </cell>
          <cell r="I262">
            <v>0</v>
          </cell>
          <cell r="N262">
            <v>0</v>
          </cell>
          <cell r="O262">
            <v>0</v>
          </cell>
          <cell r="Q262">
            <v>0</v>
          </cell>
        </row>
        <row r="263">
          <cell r="A263" t="str">
            <v>F55100E</v>
          </cell>
          <cell r="B263" t="str">
            <v>MAINTENANCE SUPERVISION AND ENGINEERING</v>
          </cell>
          <cell r="I263">
            <v>0</v>
          </cell>
          <cell r="K263">
            <v>48.24</v>
          </cell>
          <cell r="N263">
            <v>0</v>
          </cell>
          <cell r="O263">
            <v>0</v>
          </cell>
          <cell r="Q263">
            <v>48.24</v>
          </cell>
        </row>
        <row r="264">
          <cell r="A264" t="str">
            <v>F55200E</v>
          </cell>
          <cell r="B264" t="str">
            <v>MAINTENANCE OF STRUCTURES</v>
          </cell>
          <cell r="I264">
            <v>0</v>
          </cell>
          <cell r="L264">
            <v>994.1</v>
          </cell>
          <cell r="N264">
            <v>0</v>
          </cell>
          <cell r="O264">
            <v>0</v>
          </cell>
          <cell r="Q264">
            <v>994.1</v>
          </cell>
        </row>
        <row r="265">
          <cell r="A265" t="str">
            <v>F55300E</v>
          </cell>
          <cell r="B265" t="str">
            <v>MAINTENANCE OF GENERATING AND ELECTRIC PLANT</v>
          </cell>
          <cell r="H265">
            <v>87.12</v>
          </cell>
          <cell r="I265">
            <v>27.7</v>
          </cell>
          <cell r="J265">
            <v>32.950000000000003</v>
          </cell>
          <cell r="L265">
            <v>1873.26</v>
          </cell>
          <cell r="N265">
            <v>0</v>
          </cell>
          <cell r="O265">
            <v>0</v>
          </cell>
          <cell r="Q265">
            <v>2021.03</v>
          </cell>
        </row>
        <row r="266">
          <cell r="A266" t="str">
            <v>F55400E</v>
          </cell>
          <cell r="B266" t="str">
            <v>MAINT OF MISCELLANEOUS OTHER POWER GENE</v>
          </cell>
          <cell r="I266">
            <v>0</v>
          </cell>
          <cell r="N266">
            <v>0</v>
          </cell>
          <cell r="O266">
            <v>0</v>
          </cell>
          <cell r="Q266">
            <v>0</v>
          </cell>
        </row>
        <row r="267">
          <cell r="A267" t="str">
            <v>F55500E</v>
          </cell>
          <cell r="B267" t="str">
            <v>PURCHASED POWER</v>
          </cell>
          <cell r="D267">
            <v>183324911.30000001</v>
          </cell>
          <cell r="E267">
            <v>213546918.83000001</v>
          </cell>
          <cell r="F267">
            <v>6207242.8499999996</v>
          </cell>
          <cell r="G267">
            <v>78883000.319999993</v>
          </cell>
          <cell r="H267">
            <v>50913065.869999997</v>
          </cell>
          <cell r="I267">
            <v>45393483.509999998</v>
          </cell>
          <cell r="J267">
            <v>55936272.039999999</v>
          </cell>
          <cell r="K267">
            <v>56208180.780000001</v>
          </cell>
          <cell r="L267">
            <v>48699163.689999998</v>
          </cell>
          <cell r="M267">
            <v>33886964.880000003</v>
          </cell>
          <cell r="N267">
            <v>33040051.350000001</v>
          </cell>
          <cell r="O267">
            <v>-293926063.20999998</v>
          </cell>
          <cell r="Q267">
            <v>512113192.2100001</v>
          </cell>
        </row>
        <row r="268">
          <cell r="A268" t="str">
            <v>F55501E</v>
          </cell>
          <cell r="B268" t="str">
            <v>PX POWER</v>
          </cell>
          <cell r="D268">
            <v>85536933.140000001</v>
          </cell>
          <cell r="E268">
            <v>4550388.07</v>
          </cell>
          <cell r="F268">
            <v>54734980.640000001</v>
          </cell>
          <cell r="G268">
            <v>-20956056.82</v>
          </cell>
          <cell r="H268">
            <v>6771987.54</v>
          </cell>
          <cell r="I268">
            <v>28079235.739999998</v>
          </cell>
          <cell r="J268">
            <v>15474703.26</v>
          </cell>
          <cell r="K268">
            <v>-42727600.109999999</v>
          </cell>
          <cell r="L268">
            <v>2395634.77</v>
          </cell>
          <cell r="M268">
            <v>-261317.81</v>
          </cell>
          <cell r="N268">
            <v>4987601.5599999996</v>
          </cell>
          <cell r="O268">
            <v>1597405.23</v>
          </cell>
          <cell r="Q268">
            <v>140183895.21000001</v>
          </cell>
        </row>
        <row r="269">
          <cell r="A269" t="str">
            <v>F55600E</v>
          </cell>
          <cell r="B269" t="str">
            <v>SYSTEM CONTROL AND LOAD DISPATCHING</v>
          </cell>
          <cell r="D269">
            <v>78980.83</v>
          </cell>
          <cell r="E269">
            <v>68835.759999999995</v>
          </cell>
          <cell r="F269">
            <v>75009.17</v>
          </cell>
          <cell r="G269">
            <v>70766.960000000006</v>
          </cell>
          <cell r="H269">
            <v>95506.46</v>
          </cell>
          <cell r="I269">
            <v>52937.79</v>
          </cell>
          <cell r="J269">
            <v>38020.04</v>
          </cell>
          <cell r="K269">
            <v>53232.4</v>
          </cell>
          <cell r="L269">
            <v>59571.6</v>
          </cell>
          <cell r="M269">
            <v>103261.16</v>
          </cell>
          <cell r="N269">
            <v>61430.05</v>
          </cell>
          <cell r="O269">
            <v>74692.92</v>
          </cell>
          <cell r="Q269">
            <v>832245.14000000013</v>
          </cell>
        </row>
        <row r="270">
          <cell r="A270" t="str">
            <v>F55700E</v>
          </cell>
          <cell r="B270" t="str">
            <v>OTHER EXPENSES</v>
          </cell>
          <cell r="D270">
            <v>3200862.69</v>
          </cell>
          <cell r="E270">
            <v>6833.82</v>
          </cell>
          <cell r="F270">
            <v>150984.17000000001</v>
          </cell>
          <cell r="G270">
            <v>12086.67</v>
          </cell>
          <cell r="H270">
            <v>23713.47</v>
          </cell>
          <cell r="I270">
            <v>34580.11</v>
          </cell>
          <cell r="J270">
            <v>1632.91</v>
          </cell>
          <cell r="K270">
            <v>20732.37</v>
          </cell>
          <cell r="L270">
            <v>11581.57</v>
          </cell>
          <cell r="M270">
            <v>19620.43</v>
          </cell>
          <cell r="N270">
            <v>17892.060000000001</v>
          </cell>
          <cell r="O270">
            <v>108915.95</v>
          </cell>
          <cell r="Q270">
            <v>3609436.22</v>
          </cell>
        </row>
        <row r="271">
          <cell r="A271" t="str">
            <v>F55720E</v>
          </cell>
          <cell r="B271" t="str">
            <v>OTHER EXPENSES</v>
          </cell>
          <cell r="D271">
            <v>42638.98</v>
          </cell>
          <cell r="E271">
            <v>37758.74</v>
          </cell>
          <cell r="F271">
            <v>37526.71</v>
          </cell>
          <cell r="G271">
            <v>31161.279999999999</v>
          </cell>
          <cell r="H271">
            <v>39474.35</v>
          </cell>
          <cell r="I271">
            <v>31561.49</v>
          </cell>
          <cell r="J271">
            <v>37144.58</v>
          </cell>
          <cell r="K271">
            <v>37984.33</v>
          </cell>
          <cell r="L271">
            <v>35714.910000000003</v>
          </cell>
          <cell r="M271">
            <v>46215.71</v>
          </cell>
          <cell r="N271">
            <v>38637.120000000003</v>
          </cell>
          <cell r="O271">
            <v>47717.17</v>
          </cell>
          <cell r="Q271">
            <v>463535.37</v>
          </cell>
        </row>
        <row r="272">
          <cell r="A272" t="str">
            <v>F55780E</v>
          </cell>
          <cell r="B272" t="str">
            <v>OTHER EXPENSES</v>
          </cell>
          <cell r="D272">
            <v>21387.87</v>
          </cell>
          <cell r="E272">
            <v>14597.55</v>
          </cell>
          <cell r="F272">
            <v>19451.79</v>
          </cell>
          <cell r="G272">
            <v>14520.6</v>
          </cell>
          <cell r="H272">
            <v>17225.580000000002</v>
          </cell>
          <cell r="I272">
            <v>11963.18</v>
          </cell>
          <cell r="J272">
            <v>15701.98</v>
          </cell>
          <cell r="K272">
            <v>13481.98</v>
          </cell>
          <cell r="L272">
            <v>13981.59</v>
          </cell>
          <cell r="M272">
            <v>18401.59</v>
          </cell>
          <cell r="N272">
            <v>14130.6</v>
          </cell>
          <cell r="O272">
            <v>14899.46</v>
          </cell>
          <cell r="Q272">
            <v>189743.77</v>
          </cell>
        </row>
        <row r="273">
          <cell r="A273" t="str">
            <v>F55790E</v>
          </cell>
          <cell r="B273" t="str">
            <v>OTHER EXPENSES-PX ADMIN</v>
          </cell>
          <cell r="D273">
            <v>20414.82</v>
          </cell>
          <cell r="F273">
            <v>12136.55</v>
          </cell>
          <cell r="G273">
            <v>7951.79</v>
          </cell>
          <cell r="H273">
            <v>44912.18</v>
          </cell>
          <cell r="I273">
            <v>23548.43</v>
          </cell>
          <cell r="J273">
            <v>14191.13</v>
          </cell>
          <cell r="K273">
            <v>8791.8700000000008</v>
          </cell>
          <cell r="L273">
            <v>10752.98</v>
          </cell>
          <cell r="M273">
            <v>5031.84</v>
          </cell>
          <cell r="N273">
            <v>8048.22</v>
          </cell>
          <cell r="O273">
            <v>9261.68</v>
          </cell>
          <cell r="Q273">
            <v>165041.49</v>
          </cell>
        </row>
        <row r="274">
          <cell r="A274" t="str">
            <v>F56000E</v>
          </cell>
          <cell r="B274" t="str">
            <v>OPERATION SUPERVISION AND ENGINEERING</v>
          </cell>
          <cell r="D274">
            <v>404.45</v>
          </cell>
          <cell r="E274">
            <v>2825.26</v>
          </cell>
          <cell r="F274">
            <v>75.849999999999994</v>
          </cell>
          <cell r="G274">
            <v>47232.5</v>
          </cell>
          <cell r="H274">
            <v>14143.41</v>
          </cell>
          <cell r="I274">
            <v>183.24</v>
          </cell>
          <cell r="J274">
            <v>115.95</v>
          </cell>
          <cell r="K274">
            <v>67.510000000000005</v>
          </cell>
          <cell r="L274">
            <v>2197.27</v>
          </cell>
          <cell r="M274">
            <v>108.7</v>
          </cell>
          <cell r="N274">
            <v>4875.83</v>
          </cell>
          <cell r="O274">
            <v>261.06</v>
          </cell>
          <cell r="Q274">
            <v>72491.03</v>
          </cell>
        </row>
        <row r="275">
          <cell r="A275" t="str">
            <v>F56010E</v>
          </cell>
          <cell r="B275" t="str">
            <v>OPERATION SUPERVISION AND ENGINEERING</v>
          </cell>
          <cell r="D275">
            <v>176548.17</v>
          </cell>
          <cell r="E275">
            <v>150278.47</v>
          </cell>
          <cell r="F275">
            <v>154331.04999999999</v>
          </cell>
          <cell r="G275">
            <v>157887.01</v>
          </cell>
          <cell r="H275">
            <v>181535.52</v>
          </cell>
          <cell r="I275">
            <v>162733.69</v>
          </cell>
          <cell r="J275">
            <v>198510.64</v>
          </cell>
          <cell r="K275">
            <v>177063.46</v>
          </cell>
          <cell r="L275">
            <v>153736.18</v>
          </cell>
          <cell r="M275">
            <v>189187.56</v>
          </cell>
          <cell r="N275">
            <v>154793.03</v>
          </cell>
          <cell r="O275">
            <v>156410.32</v>
          </cell>
          <cell r="Q275">
            <v>2013015.0999999999</v>
          </cell>
        </row>
        <row r="276">
          <cell r="A276" t="str">
            <v>F56020E</v>
          </cell>
          <cell r="B276" t="str">
            <v>OPERATION SUPERVISION AND ENGINEERING</v>
          </cell>
          <cell r="D276">
            <v>33911.440000000002</v>
          </cell>
          <cell r="E276">
            <v>29164.86</v>
          </cell>
          <cell r="F276">
            <v>31480.42</v>
          </cell>
          <cell r="G276">
            <v>33434.65</v>
          </cell>
          <cell r="H276">
            <v>42160.85</v>
          </cell>
          <cell r="I276">
            <v>32998.370000000003</v>
          </cell>
          <cell r="J276">
            <v>35074.31</v>
          </cell>
          <cell r="K276">
            <v>42239.65</v>
          </cell>
          <cell r="L276">
            <v>44067.1</v>
          </cell>
          <cell r="M276">
            <v>46120.55</v>
          </cell>
          <cell r="N276">
            <v>38076.58</v>
          </cell>
          <cell r="O276">
            <v>36699.699999999997</v>
          </cell>
          <cell r="Q276">
            <v>445428.47999999998</v>
          </cell>
        </row>
        <row r="277">
          <cell r="A277" t="str">
            <v>F56100E</v>
          </cell>
          <cell r="B277" t="str">
            <v>LOAD DISPATCHING</v>
          </cell>
          <cell r="D277">
            <v>221078.07</v>
          </cell>
          <cell r="E277">
            <v>181011.08</v>
          </cell>
          <cell r="F277">
            <v>187511.63</v>
          </cell>
          <cell r="G277">
            <v>198912.98</v>
          </cell>
          <cell r="H277">
            <v>268840.89</v>
          </cell>
          <cell r="I277">
            <v>186571.53</v>
          </cell>
          <cell r="J277">
            <v>230970.23</v>
          </cell>
          <cell r="K277">
            <v>206465.68</v>
          </cell>
          <cell r="L277">
            <v>196046.39</v>
          </cell>
          <cell r="M277">
            <v>229597.53</v>
          </cell>
          <cell r="N277">
            <v>194777.63</v>
          </cell>
          <cell r="O277">
            <v>202383.27</v>
          </cell>
          <cell r="Q277">
            <v>2504166.9099999997</v>
          </cell>
        </row>
        <row r="278">
          <cell r="A278" t="str">
            <v>F56200E</v>
          </cell>
          <cell r="B278" t="str">
            <v>STATION EXPENSES</v>
          </cell>
          <cell r="D278">
            <v>10626.96</v>
          </cell>
          <cell r="E278">
            <v>1942.2</v>
          </cell>
          <cell r="F278">
            <v>17819.650000000001</v>
          </cell>
          <cell r="G278">
            <v>2361.5700000000002</v>
          </cell>
          <cell r="H278">
            <v>1067.3900000000001</v>
          </cell>
          <cell r="I278">
            <v>1385.16</v>
          </cell>
          <cell r="J278">
            <v>1067.3900000000001</v>
          </cell>
          <cell r="K278">
            <v>1530.54</v>
          </cell>
          <cell r="L278">
            <v>904.1</v>
          </cell>
          <cell r="M278">
            <v>14395.97</v>
          </cell>
          <cell r="N278">
            <v>10755.16</v>
          </cell>
          <cell r="O278">
            <v>22156.31</v>
          </cell>
          <cell r="Q278">
            <v>86012.400000000009</v>
          </cell>
        </row>
        <row r="279">
          <cell r="A279" t="str">
            <v>F56210E</v>
          </cell>
          <cell r="B279" t="str">
            <v>STATION EXPENSES</v>
          </cell>
          <cell r="D279">
            <v>8297.0300000000007</v>
          </cell>
          <cell r="E279">
            <v>11646.39</v>
          </cell>
          <cell r="F279">
            <v>12168.27</v>
          </cell>
          <cell r="G279">
            <v>8799.61</v>
          </cell>
          <cell r="H279">
            <v>15220.8</v>
          </cell>
          <cell r="I279">
            <v>10251.18</v>
          </cell>
          <cell r="J279">
            <v>14886.07</v>
          </cell>
          <cell r="K279">
            <v>15303.6</v>
          </cell>
          <cell r="L279">
            <v>30644.99</v>
          </cell>
          <cell r="M279">
            <v>14397.87</v>
          </cell>
          <cell r="N279">
            <v>21103.07</v>
          </cell>
          <cell r="O279">
            <v>13226.76</v>
          </cell>
          <cell r="Q279">
            <v>175945.64000000004</v>
          </cell>
        </row>
        <row r="280">
          <cell r="A280" t="str">
            <v>F56220E</v>
          </cell>
          <cell r="B280" t="str">
            <v>STATION EXPENSES</v>
          </cell>
          <cell r="I280">
            <v>0</v>
          </cell>
          <cell r="M280">
            <v>32.93</v>
          </cell>
          <cell r="N280">
            <v>110.27</v>
          </cell>
          <cell r="O280">
            <v>0</v>
          </cell>
          <cell r="Q280">
            <v>143.19999999999999</v>
          </cell>
        </row>
        <row r="281">
          <cell r="A281" t="str">
            <v>F56300E</v>
          </cell>
          <cell r="B281" t="str">
            <v>OVERHEAD LINE EXPENSES</v>
          </cell>
          <cell r="D281">
            <v>25942.16</v>
          </cell>
          <cell r="E281">
            <v>12211.75</v>
          </cell>
          <cell r="F281">
            <v>7021.94</v>
          </cell>
          <cell r="G281">
            <v>20812.57</v>
          </cell>
          <cell r="H281">
            <v>24967.16</v>
          </cell>
          <cell r="I281">
            <v>1287.51</v>
          </cell>
          <cell r="J281">
            <v>46743.29</v>
          </cell>
          <cell r="K281">
            <v>31901.72</v>
          </cell>
          <cell r="L281">
            <v>861.83</v>
          </cell>
          <cell r="M281">
            <v>2473.5300000000002</v>
          </cell>
          <cell r="N281">
            <v>44030</v>
          </cell>
          <cell r="O281">
            <v>41126.089999999997</v>
          </cell>
          <cell r="Q281">
            <v>259379.55</v>
          </cell>
        </row>
        <row r="282">
          <cell r="A282" t="str">
            <v>F56310E</v>
          </cell>
          <cell r="B282" t="str">
            <v>OVERHEAD LINE EXPENSES</v>
          </cell>
          <cell r="D282">
            <v>32986.720000000001</v>
          </cell>
          <cell r="E282">
            <v>49861.3</v>
          </cell>
          <cell r="F282">
            <v>8247.8700000000008</v>
          </cell>
          <cell r="G282">
            <v>13777.75</v>
          </cell>
          <cell r="H282">
            <v>24110.55</v>
          </cell>
          <cell r="I282">
            <v>36634.769999999997</v>
          </cell>
          <cell r="J282">
            <v>24062.66</v>
          </cell>
          <cell r="K282">
            <v>23417.07</v>
          </cell>
          <cell r="L282">
            <v>14803.81</v>
          </cell>
          <cell r="M282">
            <v>14321.92</v>
          </cell>
          <cell r="N282">
            <v>13233.82</v>
          </cell>
          <cell r="O282">
            <v>44227.95</v>
          </cell>
          <cell r="Q282">
            <v>299686.19</v>
          </cell>
        </row>
        <row r="283">
          <cell r="A283" t="str">
            <v>F56320E</v>
          </cell>
          <cell r="B283" t="str">
            <v>OVERHEAD LINE EXPENSES</v>
          </cell>
          <cell r="F283">
            <v>2000</v>
          </cell>
          <cell r="I283">
            <v>0</v>
          </cell>
          <cell r="M283">
            <v>173.05</v>
          </cell>
          <cell r="N283">
            <v>0</v>
          </cell>
          <cell r="O283">
            <v>0</v>
          </cell>
          <cell r="Q283">
            <v>2173.0500000000002</v>
          </cell>
        </row>
        <row r="284">
          <cell r="A284" t="str">
            <v>F56400E</v>
          </cell>
          <cell r="B284" t="str">
            <v>UNDERGROUND LINE EXPENSES</v>
          </cell>
          <cell r="I284">
            <v>0</v>
          </cell>
          <cell r="N284">
            <v>0</v>
          </cell>
          <cell r="O284">
            <v>70.59</v>
          </cell>
          <cell r="Q284">
            <v>70.59</v>
          </cell>
        </row>
        <row r="285">
          <cell r="A285" t="str">
            <v>F56500E</v>
          </cell>
          <cell r="B285" t="str">
            <v>TRANSMISSION OF ELECTRICITY BY OTHERS</v>
          </cell>
          <cell r="D285">
            <v>548695.38</v>
          </cell>
          <cell r="E285">
            <v>872162.67</v>
          </cell>
          <cell r="F285">
            <v>633723.16</v>
          </cell>
          <cell r="G285">
            <v>654906.59</v>
          </cell>
          <cell r="H285">
            <v>362255.73</v>
          </cell>
          <cell r="I285">
            <v>672182.74</v>
          </cell>
          <cell r="J285">
            <v>580183.82999999996</v>
          </cell>
          <cell r="K285">
            <v>599365.32999999996</v>
          </cell>
          <cell r="L285">
            <v>613064.82999999996</v>
          </cell>
          <cell r="M285">
            <v>645730.27</v>
          </cell>
          <cell r="N285">
            <v>621492.96</v>
          </cell>
          <cell r="O285">
            <v>645302.14</v>
          </cell>
          <cell r="Q285">
            <v>7449065.629999999</v>
          </cell>
        </row>
        <row r="286">
          <cell r="A286" t="str">
            <v>F56600E</v>
          </cell>
          <cell r="B286" t="str">
            <v>MISCELLANEOUS TRANSMISSION EXPENSES</v>
          </cell>
          <cell r="D286">
            <v>17269248.629999999</v>
          </cell>
          <cell r="E286">
            <v>19982609.98</v>
          </cell>
          <cell r="F286">
            <v>-1028639.82</v>
          </cell>
          <cell r="G286">
            <v>4742591.0599999996</v>
          </cell>
          <cell r="H286">
            <v>8880086.7200000007</v>
          </cell>
          <cell r="I286">
            <v>7226241.96</v>
          </cell>
          <cell r="J286">
            <v>4826362.1399999997</v>
          </cell>
          <cell r="K286">
            <v>4322801.8099999996</v>
          </cell>
          <cell r="L286">
            <v>3037577.89</v>
          </cell>
          <cell r="M286">
            <v>4548868.96</v>
          </cell>
          <cell r="N286">
            <v>4636277.9800000004</v>
          </cell>
          <cell r="O286">
            <v>4642711.8099999996</v>
          </cell>
          <cell r="Q286">
            <v>83086739.120000005</v>
          </cell>
        </row>
        <row r="287">
          <cell r="A287" t="str">
            <v>F56620E</v>
          </cell>
          <cell r="B287" t="str">
            <v>MISCELLANEOUS TRANSMISSION EXPENSES</v>
          </cell>
          <cell r="I287">
            <v>0</v>
          </cell>
          <cell r="N287">
            <v>0</v>
          </cell>
          <cell r="O287">
            <v>0</v>
          </cell>
          <cell r="Q287">
            <v>0</v>
          </cell>
        </row>
        <row r="288">
          <cell r="A288" t="str">
            <v>F56700E</v>
          </cell>
          <cell r="B288" t="str">
            <v>RENTS</v>
          </cell>
          <cell r="D288">
            <v>452932.6</v>
          </cell>
          <cell r="F288">
            <v>216427</v>
          </cell>
          <cell r="G288">
            <v>-850.03</v>
          </cell>
          <cell r="H288">
            <v>106</v>
          </cell>
          <cell r="I288">
            <v>3332</v>
          </cell>
          <cell r="J288">
            <v>402695.9</v>
          </cell>
          <cell r="K288">
            <v>12032</v>
          </cell>
          <cell r="M288">
            <v>37010</v>
          </cell>
          <cell r="N288">
            <v>14274.9</v>
          </cell>
          <cell r="O288">
            <v>27692</v>
          </cell>
          <cell r="Q288">
            <v>1165652.3699999999</v>
          </cell>
        </row>
        <row r="289">
          <cell r="A289" t="str">
            <v>F56800E</v>
          </cell>
          <cell r="B289" t="str">
            <v>MAINTENANCE SUPERVISION AND ENGINEERING</v>
          </cell>
          <cell r="D289">
            <v>6459.64</v>
          </cell>
          <cell r="E289">
            <v>8557.5300000000007</v>
          </cell>
          <cell r="F289">
            <v>5468.63</v>
          </cell>
          <cell r="G289">
            <v>3532.12</v>
          </cell>
          <cell r="H289">
            <v>2645.84</v>
          </cell>
          <cell r="I289">
            <v>9449.2000000000007</v>
          </cell>
          <cell r="J289">
            <v>2252.85</v>
          </cell>
          <cell r="K289">
            <v>2202.71</v>
          </cell>
          <cell r="L289">
            <v>4754.16</v>
          </cell>
          <cell r="M289">
            <v>5965.99</v>
          </cell>
          <cell r="N289">
            <v>3203.06</v>
          </cell>
          <cell r="O289">
            <v>10077.799999999999</v>
          </cell>
          <cell r="Q289">
            <v>64569.53</v>
          </cell>
        </row>
        <row r="290">
          <cell r="A290" t="str">
            <v>F56810E</v>
          </cell>
          <cell r="B290" t="str">
            <v>MAINTENANCE SUPERVISION AND ENGINEERING</v>
          </cell>
          <cell r="D290">
            <v>20682.02</v>
          </cell>
          <cell r="E290">
            <v>23634.17</v>
          </cell>
          <cell r="F290">
            <v>24849.84</v>
          </cell>
          <cell r="G290">
            <v>26530.94</v>
          </cell>
          <cell r="H290">
            <v>37752.78</v>
          </cell>
          <cell r="I290">
            <v>21321.87</v>
          </cell>
          <cell r="J290">
            <v>30392.639999999999</v>
          </cell>
          <cell r="K290">
            <v>137408.60999999999</v>
          </cell>
          <cell r="L290">
            <v>-55453.95</v>
          </cell>
          <cell r="M290">
            <v>39127.61</v>
          </cell>
          <cell r="N290">
            <v>24802.82</v>
          </cell>
          <cell r="O290">
            <v>39597.769999999997</v>
          </cell>
          <cell r="Q290">
            <v>370647.12</v>
          </cell>
        </row>
        <row r="291">
          <cell r="A291" t="str">
            <v>F56820E</v>
          </cell>
          <cell r="B291" t="str">
            <v>MAINTENANCE SUPERVISION AND ENGINEERING</v>
          </cell>
          <cell r="I291">
            <v>111.29</v>
          </cell>
          <cell r="N291">
            <v>0</v>
          </cell>
          <cell r="O291">
            <v>0</v>
          </cell>
          <cell r="Q291">
            <v>111.29</v>
          </cell>
        </row>
        <row r="292">
          <cell r="A292" t="str">
            <v>F56900E</v>
          </cell>
          <cell r="B292" t="str">
            <v>MAINTENANCE OF STRUCTURES</v>
          </cell>
          <cell r="D292">
            <v>4</v>
          </cell>
          <cell r="F292">
            <v>-5.82</v>
          </cell>
          <cell r="H292">
            <v>185.08</v>
          </cell>
          <cell r="I292">
            <v>135.01</v>
          </cell>
          <cell r="J292">
            <v>76.489999999999995</v>
          </cell>
          <cell r="N292">
            <v>140.5</v>
          </cell>
          <cell r="O292">
            <v>45.83</v>
          </cell>
          <cell r="Q292">
            <v>581.09</v>
          </cell>
        </row>
        <row r="293">
          <cell r="A293" t="str">
            <v>F57000E</v>
          </cell>
          <cell r="B293" t="str">
            <v>MAINTENANCE OF STATION EQUIPMENT</v>
          </cell>
          <cell r="D293">
            <v>28799.79</v>
          </cell>
          <cell r="E293">
            <v>42213.64</v>
          </cell>
          <cell r="F293">
            <v>19955.400000000001</v>
          </cell>
          <cell r="G293">
            <v>23568.22</v>
          </cell>
          <cell r="H293">
            <v>19779.3</v>
          </cell>
          <cell r="I293">
            <v>23166.17</v>
          </cell>
          <cell r="J293">
            <v>21571.45</v>
          </cell>
          <cell r="K293">
            <v>23939.81</v>
          </cell>
          <cell r="L293">
            <v>34795.449999999997</v>
          </cell>
          <cell r="M293">
            <v>44196.15</v>
          </cell>
          <cell r="N293">
            <v>80368.960000000006</v>
          </cell>
          <cell r="O293">
            <v>21511.19</v>
          </cell>
          <cell r="Q293">
            <v>383865.53</v>
          </cell>
        </row>
        <row r="294">
          <cell r="A294" t="str">
            <v>F57010E</v>
          </cell>
          <cell r="B294" t="str">
            <v>MAINTENANCE OF STATION EQUIPMENT</v>
          </cell>
          <cell r="D294">
            <v>118956.98</v>
          </cell>
          <cell r="E294">
            <v>103878.16</v>
          </cell>
          <cell r="F294">
            <v>87755.47</v>
          </cell>
          <cell r="G294">
            <v>60280.51</v>
          </cell>
          <cell r="H294">
            <v>43920.7</v>
          </cell>
          <cell r="I294">
            <v>95929.65</v>
          </cell>
          <cell r="J294">
            <v>108298.88</v>
          </cell>
          <cell r="K294">
            <v>134651.09</v>
          </cell>
          <cell r="L294">
            <v>161173.76000000001</v>
          </cell>
          <cell r="M294">
            <v>114093.25</v>
          </cell>
          <cell r="N294">
            <v>147763.68</v>
          </cell>
          <cell r="O294">
            <v>86560.38</v>
          </cell>
          <cell r="Q294">
            <v>1263262.5099999998</v>
          </cell>
        </row>
        <row r="295">
          <cell r="A295" t="str">
            <v>F57020E</v>
          </cell>
          <cell r="B295" t="str">
            <v>MAINTENANCE OF STATION EQUIPMENT</v>
          </cell>
          <cell r="D295">
            <v>13966.18</v>
          </cell>
          <cell r="E295">
            <v>8830.5499999999993</v>
          </cell>
          <cell r="F295">
            <v>9119.2199999999993</v>
          </cell>
          <cell r="G295">
            <v>8990.58</v>
          </cell>
          <cell r="H295">
            <v>10560</v>
          </cell>
          <cell r="I295">
            <v>13951.94</v>
          </cell>
          <cell r="J295">
            <v>11080.25</v>
          </cell>
          <cell r="K295">
            <v>22900.28</v>
          </cell>
          <cell r="L295">
            <v>15597.1</v>
          </cell>
          <cell r="M295">
            <v>17061.509999999998</v>
          </cell>
          <cell r="N295">
            <v>8836.94</v>
          </cell>
          <cell r="O295">
            <v>0</v>
          </cell>
          <cell r="Q295">
            <v>140894.55000000002</v>
          </cell>
        </row>
        <row r="296">
          <cell r="A296" t="str">
            <v>F57050E</v>
          </cell>
          <cell r="B296" t="str">
            <v>MAINTENANCE OF STATION EQUIPMENT</v>
          </cell>
          <cell r="F296">
            <v>5860.62</v>
          </cell>
          <cell r="G296">
            <v>3656.81</v>
          </cell>
          <cell r="H296">
            <v>3362.97</v>
          </cell>
          <cell r="I296">
            <v>306</v>
          </cell>
          <cell r="K296">
            <v>2071.04</v>
          </cell>
          <cell r="L296">
            <v>2162.88</v>
          </cell>
          <cell r="M296">
            <v>2553.06</v>
          </cell>
          <cell r="N296">
            <v>4509.03</v>
          </cell>
          <cell r="O296">
            <v>1323</v>
          </cell>
          <cell r="Q296">
            <v>25805.41</v>
          </cell>
        </row>
        <row r="297">
          <cell r="A297" t="str">
            <v>F57060E</v>
          </cell>
          <cell r="B297" t="str">
            <v>MAINTENANCE OF STATION EQUIPMENT</v>
          </cell>
          <cell r="D297">
            <v>20834.68</v>
          </cell>
          <cell r="F297">
            <v>3486.04</v>
          </cell>
          <cell r="G297">
            <v>986.39</v>
          </cell>
          <cell r="H297">
            <v>8842.4699999999993</v>
          </cell>
          <cell r="I297">
            <v>1704.63</v>
          </cell>
          <cell r="J297">
            <v>1562.79</v>
          </cell>
          <cell r="L297">
            <v>1821.74</v>
          </cell>
          <cell r="M297">
            <v>19562.55</v>
          </cell>
          <cell r="N297">
            <v>24982.1</v>
          </cell>
          <cell r="O297">
            <v>902.35</v>
          </cell>
          <cell r="Q297">
            <v>84685.739999999991</v>
          </cell>
        </row>
        <row r="298">
          <cell r="A298" t="str">
            <v>F57070E</v>
          </cell>
          <cell r="B298" t="str">
            <v>MAINTENANCE OF STATION EQUIPMENT</v>
          </cell>
          <cell r="D298">
            <v>20892.73</v>
          </cell>
          <cell r="E298">
            <v>7313.06</v>
          </cell>
          <cell r="F298">
            <v>15510.8</v>
          </cell>
          <cell r="G298">
            <v>3280.23</v>
          </cell>
          <cell r="H298">
            <v>20318.349999999999</v>
          </cell>
          <cell r="I298">
            <v>7044.92</v>
          </cell>
          <cell r="J298">
            <v>23066.02</v>
          </cell>
          <cell r="K298">
            <v>10196.35</v>
          </cell>
          <cell r="L298">
            <v>11307.45</v>
          </cell>
          <cell r="M298">
            <v>10240.36</v>
          </cell>
          <cell r="N298">
            <v>3839.15</v>
          </cell>
          <cell r="O298">
            <v>5161.88</v>
          </cell>
          <cell r="Q298">
            <v>138171.30000000002</v>
          </cell>
        </row>
        <row r="299">
          <cell r="A299" t="str">
            <v>F57100E</v>
          </cell>
          <cell r="B299" t="str">
            <v>MAINTENANCE OF OVERHEAD LINES</v>
          </cell>
          <cell r="D299">
            <v>58999.72</v>
          </cell>
          <cell r="E299">
            <v>48562.13</v>
          </cell>
          <cell r="F299">
            <v>78663.86</v>
          </cell>
          <cell r="G299">
            <v>48089.53</v>
          </cell>
          <cell r="H299">
            <v>89734.96</v>
          </cell>
          <cell r="I299">
            <v>149333.59</v>
          </cell>
          <cell r="J299">
            <v>165221.94</v>
          </cell>
          <cell r="K299">
            <v>166097.57999999999</v>
          </cell>
          <cell r="L299">
            <v>73238.42</v>
          </cell>
          <cell r="M299">
            <v>162613.9</v>
          </cell>
          <cell r="N299">
            <v>102311.9</v>
          </cell>
          <cell r="O299">
            <v>286587.56</v>
          </cell>
          <cell r="Q299">
            <v>1429455.09</v>
          </cell>
        </row>
        <row r="300">
          <cell r="A300" t="str">
            <v>F57110E</v>
          </cell>
          <cell r="B300" t="str">
            <v>MAINTENANCE OF OVERHEAD LINES</v>
          </cell>
          <cell r="D300">
            <v>25116.09</v>
          </cell>
          <cell r="E300">
            <v>20597.72</v>
          </cell>
          <cell r="F300">
            <v>33028.29</v>
          </cell>
          <cell r="G300">
            <v>19387.02</v>
          </cell>
          <cell r="H300">
            <v>27390.99</v>
          </cell>
          <cell r="I300">
            <v>25402.71</v>
          </cell>
          <cell r="J300">
            <v>25170.93</v>
          </cell>
          <cell r="K300">
            <v>21868.52</v>
          </cell>
          <cell r="L300">
            <v>22111.26</v>
          </cell>
          <cell r="M300">
            <v>19700.98</v>
          </cell>
          <cell r="N300">
            <v>43486.51</v>
          </cell>
          <cell r="O300">
            <v>33130.199999999997</v>
          </cell>
          <cell r="Q300">
            <v>316391.22000000003</v>
          </cell>
        </row>
        <row r="301">
          <cell r="A301" t="str">
            <v>F57120E</v>
          </cell>
          <cell r="B301" t="str">
            <v>MAINTENANCE OF OVERHEAD LINES</v>
          </cell>
          <cell r="D301">
            <v>6526.27</v>
          </cell>
          <cell r="E301">
            <v>33575.440000000002</v>
          </cell>
          <cell r="F301">
            <v>40088.74</v>
          </cell>
          <cell r="G301">
            <v>25811.86</v>
          </cell>
          <cell r="H301">
            <v>20662.34</v>
          </cell>
          <cell r="I301">
            <v>36486.65</v>
          </cell>
          <cell r="J301">
            <v>11805.04</v>
          </cell>
          <cell r="K301">
            <v>71811.14</v>
          </cell>
          <cell r="L301">
            <v>13992.01</v>
          </cell>
          <cell r="M301">
            <v>70784.39</v>
          </cell>
          <cell r="N301">
            <v>81911.210000000006</v>
          </cell>
          <cell r="O301">
            <v>80175.48</v>
          </cell>
          <cell r="Q301">
            <v>493630.57000000007</v>
          </cell>
        </row>
        <row r="302">
          <cell r="A302" t="str">
            <v>F57130E</v>
          </cell>
          <cell r="B302" t="str">
            <v>MAINTENANCE OF OVERHEAD LINES</v>
          </cell>
          <cell r="D302">
            <v>75186.61</v>
          </cell>
          <cell r="E302">
            <v>74692.38</v>
          </cell>
          <cell r="F302">
            <v>71887.63</v>
          </cell>
          <cell r="G302">
            <v>71489.679999999993</v>
          </cell>
          <cell r="H302">
            <v>107591.61</v>
          </cell>
          <cell r="I302">
            <v>80572.12</v>
          </cell>
          <cell r="J302">
            <v>86148.7</v>
          </cell>
          <cell r="K302">
            <v>94037.91</v>
          </cell>
          <cell r="L302">
            <v>71231.67</v>
          </cell>
          <cell r="M302">
            <v>102205.65</v>
          </cell>
          <cell r="N302">
            <v>63770.54</v>
          </cell>
          <cell r="O302">
            <v>78218.009999999995</v>
          </cell>
          <cell r="Q302">
            <v>977032.51000000013</v>
          </cell>
        </row>
        <row r="303">
          <cell r="A303" t="str">
            <v>F57170E</v>
          </cell>
          <cell r="B303" t="str">
            <v>MAINTENANCE OF OVERHEAD LINES</v>
          </cell>
          <cell r="D303">
            <v>1003.45</v>
          </cell>
          <cell r="H303">
            <v>532.37</v>
          </cell>
          <cell r="I303">
            <v>0</v>
          </cell>
          <cell r="K303">
            <v>119.9</v>
          </cell>
          <cell r="N303">
            <v>0</v>
          </cell>
          <cell r="O303">
            <v>0</v>
          </cell>
          <cell r="Q303">
            <v>1655.7200000000003</v>
          </cell>
        </row>
        <row r="304">
          <cell r="A304" t="str">
            <v>F57180E</v>
          </cell>
          <cell r="B304" t="str">
            <v>MAINTENANCE OF OVERHEAD LINES</v>
          </cell>
          <cell r="D304">
            <v>746.68</v>
          </cell>
          <cell r="G304">
            <v>670.32</v>
          </cell>
          <cell r="I304">
            <v>0</v>
          </cell>
          <cell r="N304">
            <v>685.47</v>
          </cell>
          <cell r="O304">
            <v>0</v>
          </cell>
          <cell r="Q304">
            <v>2102.4700000000003</v>
          </cell>
        </row>
        <row r="305">
          <cell r="A305" t="str">
            <v>F57190E</v>
          </cell>
          <cell r="B305" t="str">
            <v>MAINTENANCE OF OVERHEAD LINES</v>
          </cell>
          <cell r="G305">
            <v>5452.82</v>
          </cell>
          <cell r="I305">
            <v>1551.55</v>
          </cell>
          <cell r="J305">
            <v>3643.1</v>
          </cell>
          <cell r="K305">
            <v>6766.16</v>
          </cell>
          <cell r="L305">
            <v>2321.5500000000002</v>
          </cell>
          <cell r="M305">
            <v>2587.81</v>
          </cell>
          <cell r="N305">
            <v>730.8</v>
          </cell>
          <cell r="O305">
            <v>4901.84</v>
          </cell>
          <cell r="Q305">
            <v>27955.629999999997</v>
          </cell>
        </row>
        <row r="306">
          <cell r="A306" t="str">
            <v>F57200E</v>
          </cell>
          <cell r="B306" t="str">
            <v>MAINTENANCE OF UNDERGROUND LINES</v>
          </cell>
          <cell r="D306">
            <v>785.5</v>
          </cell>
          <cell r="E306">
            <v>383.76</v>
          </cell>
          <cell r="F306">
            <v>294.69</v>
          </cell>
          <cell r="G306">
            <v>2213.33</v>
          </cell>
          <cell r="H306">
            <v>728.34</v>
          </cell>
          <cell r="I306">
            <v>410.49</v>
          </cell>
          <cell r="J306">
            <v>702.29</v>
          </cell>
          <cell r="K306">
            <v>296.14999999999998</v>
          </cell>
          <cell r="L306">
            <v>740.01</v>
          </cell>
          <cell r="M306">
            <v>448.3</v>
          </cell>
          <cell r="N306">
            <v>1392.25</v>
          </cell>
          <cell r="O306">
            <v>1374.52</v>
          </cell>
          <cell r="Q306">
            <v>9769.630000000001</v>
          </cell>
        </row>
        <row r="307">
          <cell r="A307" t="str">
            <v>F57300E</v>
          </cell>
          <cell r="B307" t="str">
            <v>MAINTENANCE OF MISCELLANEOUS TRANSMISSION PLANT</v>
          </cell>
          <cell r="D307">
            <v>1524.25</v>
          </cell>
          <cell r="E307">
            <v>1074.8499999999999</v>
          </cell>
          <cell r="F307">
            <v>6467.33</v>
          </cell>
          <cell r="G307">
            <v>34.78</v>
          </cell>
          <cell r="H307">
            <v>3175.62</v>
          </cell>
          <cell r="I307">
            <v>802.85</v>
          </cell>
          <cell r="J307">
            <v>8047.53</v>
          </cell>
          <cell r="K307">
            <v>890.58</v>
          </cell>
          <cell r="L307">
            <v>0.75</v>
          </cell>
          <cell r="M307">
            <v>50.07</v>
          </cell>
          <cell r="N307">
            <v>2386.9499999999998</v>
          </cell>
          <cell r="O307">
            <v>1303.6300000000001</v>
          </cell>
          <cell r="Q307">
            <v>25759.190000000006</v>
          </cell>
        </row>
        <row r="308">
          <cell r="A308" t="str">
            <v>F58000E</v>
          </cell>
          <cell r="B308" t="str">
            <v>OPERATION SUPERVISION AND ENGINEERING</v>
          </cell>
          <cell r="D308">
            <v>486733.13</v>
          </cell>
          <cell r="E308">
            <v>421095.43</v>
          </cell>
          <cell r="F308">
            <v>385672.1</v>
          </cell>
          <cell r="G308">
            <v>353692.85</v>
          </cell>
          <cell r="H308">
            <v>489702.37</v>
          </cell>
          <cell r="I308">
            <v>319711.74</v>
          </cell>
          <cell r="J308">
            <v>489158.13</v>
          </cell>
          <cell r="K308">
            <v>558286.51</v>
          </cell>
          <cell r="L308">
            <v>345199.5</v>
          </cell>
          <cell r="M308">
            <v>552983.94999999995</v>
          </cell>
          <cell r="N308">
            <v>386959.55</v>
          </cell>
          <cell r="O308">
            <v>459415.3</v>
          </cell>
          <cell r="Q308">
            <v>5248610.5599999996</v>
          </cell>
        </row>
        <row r="309">
          <cell r="A309" t="str">
            <v>F58010E</v>
          </cell>
          <cell r="B309" t="str">
            <v>OPERATION SUPERVISION AND ENGINEERING</v>
          </cell>
          <cell r="D309">
            <v>173477.99</v>
          </cell>
          <cell r="E309">
            <v>122108.02</v>
          </cell>
          <cell r="F309">
            <v>108594.83</v>
          </cell>
          <cell r="G309">
            <v>99142.02</v>
          </cell>
          <cell r="H309">
            <v>132589.68</v>
          </cell>
          <cell r="I309">
            <v>107257.15</v>
          </cell>
          <cell r="J309">
            <v>147213.54999999999</v>
          </cell>
          <cell r="K309">
            <v>190729.8</v>
          </cell>
          <cell r="L309">
            <v>104873.28</v>
          </cell>
          <cell r="M309">
            <v>152292.72</v>
          </cell>
          <cell r="N309">
            <v>136004.73000000001</v>
          </cell>
          <cell r="O309">
            <v>135153.06</v>
          </cell>
          <cell r="Q309">
            <v>1609436.83</v>
          </cell>
        </row>
        <row r="310">
          <cell r="A310" t="str">
            <v>F58020E</v>
          </cell>
          <cell r="B310" t="str">
            <v>OPERATION SUPERVISION AND ENGINEERING</v>
          </cell>
          <cell r="D310">
            <v>88591.96</v>
          </cell>
          <cell r="E310">
            <v>69249.91</v>
          </cell>
          <cell r="F310">
            <v>74986.899999999994</v>
          </cell>
          <cell r="G310">
            <v>69670.61</v>
          </cell>
          <cell r="H310">
            <v>82876.97</v>
          </cell>
          <cell r="I310">
            <v>80276.41</v>
          </cell>
          <cell r="J310">
            <v>95920.41</v>
          </cell>
          <cell r="K310">
            <v>96512.91</v>
          </cell>
          <cell r="L310">
            <v>79821.3</v>
          </cell>
          <cell r="M310">
            <v>99238.79</v>
          </cell>
          <cell r="N310">
            <v>84774.14</v>
          </cell>
          <cell r="O310">
            <v>106888.43</v>
          </cell>
          <cell r="Q310">
            <v>1028808.7400000002</v>
          </cell>
        </row>
        <row r="311">
          <cell r="A311" t="str">
            <v>F58040E</v>
          </cell>
          <cell r="B311" t="str">
            <v>OPERATION SUPERVISION AND ENGINEERING</v>
          </cell>
          <cell r="D311">
            <v>2165.12</v>
          </cell>
          <cell r="E311">
            <v>2019.73</v>
          </cell>
          <cell r="F311">
            <v>1962.49</v>
          </cell>
          <cell r="G311">
            <v>3055.39</v>
          </cell>
          <cell r="H311">
            <v>1619.79</v>
          </cell>
          <cell r="I311">
            <v>1747.38</v>
          </cell>
          <cell r="J311">
            <v>2288.52</v>
          </cell>
          <cell r="K311">
            <v>2304.31</v>
          </cell>
          <cell r="L311">
            <v>2488.6799999999998</v>
          </cell>
          <cell r="M311">
            <v>3044.28</v>
          </cell>
          <cell r="N311">
            <v>1891.62</v>
          </cell>
          <cell r="O311">
            <v>2079.4</v>
          </cell>
          <cell r="Q311">
            <v>26666.710000000003</v>
          </cell>
        </row>
        <row r="312">
          <cell r="A312" t="str">
            <v>F58100E</v>
          </cell>
          <cell r="B312" t="str">
            <v>LOAD DISPATCHING</v>
          </cell>
          <cell r="D312">
            <v>89773.63</v>
          </cell>
          <cell r="E312">
            <v>73586.570000000007</v>
          </cell>
          <cell r="F312">
            <v>80894.850000000006</v>
          </cell>
          <cell r="G312">
            <v>78919.360000000001</v>
          </cell>
          <cell r="H312">
            <v>109761.66</v>
          </cell>
          <cell r="I312">
            <v>85404.05</v>
          </cell>
          <cell r="J312">
            <v>101759.5</v>
          </cell>
          <cell r="K312">
            <v>75224.63</v>
          </cell>
          <cell r="L312">
            <v>73871.09</v>
          </cell>
          <cell r="M312">
            <v>99375.82</v>
          </cell>
          <cell r="N312">
            <v>76204.710000000006</v>
          </cell>
          <cell r="O312">
            <v>89031.73</v>
          </cell>
          <cell r="Q312">
            <v>1033807.6000000001</v>
          </cell>
        </row>
        <row r="313">
          <cell r="A313" t="str">
            <v>F58200E</v>
          </cell>
          <cell r="B313" t="str">
            <v>STATION EXPENSES</v>
          </cell>
          <cell r="D313">
            <v>78503.13</v>
          </cell>
          <cell r="E313">
            <v>93350.02</v>
          </cell>
          <cell r="F313">
            <v>68347.240000000005</v>
          </cell>
          <cell r="G313">
            <v>42077.94</v>
          </cell>
          <cell r="H313">
            <v>61152.62</v>
          </cell>
          <cell r="I313">
            <v>69049.41</v>
          </cell>
          <cell r="J313">
            <v>58375.79</v>
          </cell>
          <cell r="K313">
            <v>58254.94</v>
          </cell>
          <cell r="L313">
            <v>81114.83</v>
          </cell>
          <cell r="M313">
            <v>97302.86</v>
          </cell>
          <cell r="N313">
            <v>31886.06</v>
          </cell>
          <cell r="O313">
            <v>38410.46</v>
          </cell>
          <cell r="Q313">
            <v>777825.29999999993</v>
          </cell>
        </row>
        <row r="314">
          <cell r="A314" t="str">
            <v>F58210E</v>
          </cell>
          <cell r="B314" t="str">
            <v>STATION EXPENSES</v>
          </cell>
          <cell r="D314">
            <v>94039.32</v>
          </cell>
          <cell r="E314">
            <v>84058.39</v>
          </cell>
          <cell r="F314">
            <v>77799.34</v>
          </cell>
          <cell r="G314">
            <v>69767.75</v>
          </cell>
          <cell r="H314">
            <v>99091.05</v>
          </cell>
          <cell r="I314">
            <v>70354.62</v>
          </cell>
          <cell r="J314">
            <v>92985.94</v>
          </cell>
          <cell r="K314">
            <v>82405.98</v>
          </cell>
          <cell r="L314">
            <v>85169.23</v>
          </cell>
          <cell r="M314">
            <v>109724.61</v>
          </cell>
          <cell r="N314">
            <v>111702.59</v>
          </cell>
          <cell r="O314">
            <v>110306.73</v>
          </cell>
          <cell r="Q314">
            <v>1087405.55</v>
          </cell>
        </row>
        <row r="315">
          <cell r="A315" t="str">
            <v>F58220E</v>
          </cell>
          <cell r="B315" t="str">
            <v>STATION EXPENSES</v>
          </cell>
          <cell r="D315">
            <v>387.73</v>
          </cell>
          <cell r="F315">
            <v>417.15</v>
          </cell>
          <cell r="G315">
            <v>92.26</v>
          </cell>
          <cell r="I315">
            <v>211.19</v>
          </cell>
          <cell r="J315">
            <v>23.55</v>
          </cell>
          <cell r="K315">
            <v>211.36</v>
          </cell>
          <cell r="L315">
            <v>815.77</v>
          </cell>
          <cell r="M315">
            <v>610.33000000000004</v>
          </cell>
          <cell r="N315">
            <v>836.2</v>
          </cell>
          <cell r="O315">
            <v>341.94</v>
          </cell>
          <cell r="Q315">
            <v>3947.48</v>
          </cell>
        </row>
        <row r="316">
          <cell r="A316" t="str">
            <v>F58230E</v>
          </cell>
          <cell r="B316" t="str">
            <v>STATION EXPENSES</v>
          </cell>
          <cell r="I316">
            <v>0</v>
          </cell>
          <cell r="N316">
            <v>0</v>
          </cell>
          <cell r="O316">
            <v>0</v>
          </cell>
          <cell r="Q316">
            <v>0</v>
          </cell>
        </row>
        <row r="317">
          <cell r="A317" t="str">
            <v>F58240E</v>
          </cell>
          <cell r="B317" t="str">
            <v>STATION EXPENSES</v>
          </cell>
          <cell r="D317">
            <v>84.81</v>
          </cell>
          <cell r="E317">
            <v>447.63</v>
          </cell>
          <cell r="I317">
            <v>0</v>
          </cell>
          <cell r="K317">
            <v>140.16</v>
          </cell>
          <cell r="N317">
            <v>0</v>
          </cell>
          <cell r="O317">
            <v>0</v>
          </cell>
          <cell r="Q317">
            <v>672.6</v>
          </cell>
        </row>
        <row r="318">
          <cell r="A318" t="str">
            <v>F58250E</v>
          </cell>
          <cell r="B318" t="str">
            <v>STATION EXPENSES</v>
          </cell>
          <cell r="D318">
            <v>1323.84</v>
          </cell>
          <cell r="E318">
            <v>1468.6</v>
          </cell>
          <cell r="F318">
            <v>922.86</v>
          </cell>
          <cell r="G318">
            <v>763.92</v>
          </cell>
          <cell r="H318">
            <v>1007.56</v>
          </cell>
          <cell r="I318">
            <v>695.75</v>
          </cell>
          <cell r="J318">
            <v>843.44</v>
          </cell>
          <cell r="K318">
            <v>781.83</v>
          </cell>
          <cell r="L318">
            <v>774.8</v>
          </cell>
          <cell r="M318">
            <v>987.57</v>
          </cell>
          <cell r="N318">
            <v>946.68</v>
          </cell>
          <cell r="O318">
            <v>706.81</v>
          </cell>
          <cell r="Q318">
            <v>11223.659999999998</v>
          </cell>
        </row>
        <row r="319">
          <cell r="A319" t="str">
            <v>F58270E</v>
          </cell>
          <cell r="B319" t="str">
            <v>STATION EXPENSES</v>
          </cell>
          <cell r="D319">
            <v>135049.04</v>
          </cell>
          <cell r="E319">
            <v>105406.12</v>
          </cell>
          <cell r="F319">
            <v>125063.05</v>
          </cell>
          <cell r="G319">
            <v>89302.62</v>
          </cell>
          <cell r="H319">
            <v>227770.27</v>
          </cell>
          <cell r="I319">
            <v>111820.19</v>
          </cell>
          <cell r="J319">
            <v>150499.49</v>
          </cell>
          <cell r="K319">
            <v>136256.75</v>
          </cell>
          <cell r="L319">
            <v>199961.17</v>
          </cell>
          <cell r="M319">
            <v>152086.39999999999</v>
          </cell>
          <cell r="N319">
            <v>223747.07</v>
          </cell>
          <cell r="O319">
            <v>306788.93</v>
          </cell>
          <cell r="Q319">
            <v>1963751.0999999999</v>
          </cell>
        </row>
        <row r="320">
          <cell r="A320" t="str">
            <v>F58300E</v>
          </cell>
          <cell r="B320" t="str">
            <v>OVERHEAD LINE EXPENSES</v>
          </cell>
          <cell r="D320">
            <v>106652.66</v>
          </cell>
          <cell r="E320">
            <v>84769.5</v>
          </cell>
          <cell r="F320">
            <v>120711.75</v>
          </cell>
          <cell r="G320">
            <v>86148.29</v>
          </cell>
          <cell r="H320">
            <v>134341.62</v>
          </cell>
          <cell r="I320">
            <v>116580.93</v>
          </cell>
          <cell r="J320">
            <v>82367.38</v>
          </cell>
          <cell r="K320">
            <v>80341.509999999995</v>
          </cell>
          <cell r="L320">
            <v>81801.259999999995</v>
          </cell>
          <cell r="M320">
            <v>130130.78</v>
          </cell>
          <cell r="N320">
            <v>88290.76</v>
          </cell>
          <cell r="O320">
            <v>122710.65</v>
          </cell>
          <cell r="Q320">
            <v>1234847.0899999999</v>
          </cell>
        </row>
        <row r="321">
          <cell r="A321" t="str">
            <v>F58301E</v>
          </cell>
          <cell r="B321" t="str">
            <v>OVERHEAD LINE EXPENSES</v>
          </cell>
          <cell r="D321">
            <v>-7.18</v>
          </cell>
          <cell r="E321">
            <v>-1.6</v>
          </cell>
          <cell r="F321">
            <v>-4.63</v>
          </cell>
          <cell r="G321">
            <v>-0.2</v>
          </cell>
          <cell r="H321">
            <v>-5.4</v>
          </cell>
          <cell r="I321">
            <v>-2.61</v>
          </cell>
          <cell r="J321">
            <v>1.08</v>
          </cell>
          <cell r="K321">
            <v>-7.16</v>
          </cell>
          <cell r="L321">
            <v>-4.53</v>
          </cell>
          <cell r="M321">
            <v>0.01</v>
          </cell>
          <cell r="N321">
            <v>-4.74</v>
          </cell>
          <cell r="O321">
            <v>-3.36</v>
          </cell>
          <cell r="Q321">
            <v>-40.32</v>
          </cell>
        </row>
        <row r="322">
          <cell r="A322" t="str">
            <v>F58310E</v>
          </cell>
          <cell r="B322" t="str">
            <v>OVERHEAD LINE EXPENSES</v>
          </cell>
          <cell r="D322">
            <v>70059.39</v>
          </cell>
          <cell r="E322">
            <v>54071.839999999997</v>
          </cell>
          <cell r="F322">
            <v>53032.87</v>
          </cell>
          <cell r="G322">
            <v>107418.03</v>
          </cell>
          <cell r="H322">
            <v>102722.29</v>
          </cell>
          <cell r="I322">
            <v>76689.960000000006</v>
          </cell>
          <cell r="J322">
            <v>65652.25</v>
          </cell>
          <cell r="K322">
            <v>54902.3</v>
          </cell>
          <cell r="L322">
            <v>100760.36</v>
          </cell>
          <cell r="M322">
            <v>76644.17</v>
          </cell>
          <cell r="N322">
            <v>93313.919999999998</v>
          </cell>
          <cell r="O322">
            <v>65384.480000000003</v>
          </cell>
          <cell r="Q322">
            <v>920651.8600000001</v>
          </cell>
        </row>
        <row r="323">
          <cell r="A323" t="str">
            <v>F58330E</v>
          </cell>
          <cell r="B323" t="str">
            <v>OVERHEAD LINE EXPENSES</v>
          </cell>
          <cell r="D323">
            <v>-29459.71</v>
          </cell>
          <cell r="E323">
            <v>-49399.65</v>
          </cell>
          <cell r="F323">
            <v>-40005.730000000003</v>
          </cell>
          <cell r="G323">
            <v>-52798.09</v>
          </cell>
          <cell r="H323">
            <v>-28497.4</v>
          </cell>
          <cell r="I323">
            <v>-61077.32</v>
          </cell>
          <cell r="J323">
            <v>-54381.95</v>
          </cell>
          <cell r="K323">
            <v>-36962.449999999997</v>
          </cell>
          <cell r="L323">
            <v>-42732.38</v>
          </cell>
          <cell r="M323">
            <v>-37168.54</v>
          </cell>
          <cell r="N323">
            <v>-73318.42</v>
          </cell>
          <cell r="O323">
            <v>-45152.52</v>
          </cell>
          <cell r="Q323">
            <v>-550954.15999999992</v>
          </cell>
        </row>
        <row r="324">
          <cell r="A324" t="str">
            <v>F58340E</v>
          </cell>
          <cell r="B324" t="str">
            <v>OVERHEAD LINE EXPENSES</v>
          </cell>
          <cell r="I324">
            <v>0</v>
          </cell>
          <cell r="N324">
            <v>0</v>
          </cell>
          <cell r="O324">
            <v>0</v>
          </cell>
          <cell r="Q324">
            <v>0</v>
          </cell>
        </row>
        <row r="325">
          <cell r="A325" t="str">
            <v>F58350E</v>
          </cell>
          <cell r="B325" t="str">
            <v>OVERHEAD LINE EXPENSES</v>
          </cell>
          <cell r="D325">
            <v>1497.43</v>
          </cell>
          <cell r="F325">
            <v>376.65</v>
          </cell>
          <cell r="I325">
            <v>0</v>
          </cell>
          <cell r="J325">
            <v>76.22</v>
          </cell>
          <cell r="N325">
            <v>0</v>
          </cell>
          <cell r="O325">
            <v>0</v>
          </cell>
          <cell r="Q325">
            <v>1950.3</v>
          </cell>
        </row>
        <row r="326">
          <cell r="A326" t="str">
            <v>F58360E</v>
          </cell>
          <cell r="B326" t="str">
            <v>OVERHEAD LINE EXPENSES</v>
          </cell>
          <cell r="D326">
            <v>1383.36</v>
          </cell>
          <cell r="E326">
            <v>1549.32</v>
          </cell>
          <cell r="F326">
            <v>953.21</v>
          </cell>
          <cell r="G326">
            <v>868.8</v>
          </cell>
          <cell r="H326">
            <v>1047.3399999999999</v>
          </cell>
          <cell r="I326">
            <v>759.85</v>
          </cell>
          <cell r="J326">
            <v>1109.1600000000001</v>
          </cell>
          <cell r="K326">
            <v>849.23</v>
          </cell>
          <cell r="L326">
            <v>1044.1600000000001</v>
          </cell>
          <cell r="M326">
            <v>1071.57</v>
          </cell>
          <cell r="N326">
            <v>766.67</v>
          </cell>
          <cell r="O326">
            <v>771.51</v>
          </cell>
          <cell r="Q326">
            <v>12174.18</v>
          </cell>
        </row>
        <row r="327">
          <cell r="A327" t="str">
            <v>F58400E</v>
          </cell>
          <cell r="B327" t="str">
            <v>UNDERGROUND LINE EXPENSES</v>
          </cell>
          <cell r="D327">
            <v>226216.84</v>
          </cell>
          <cell r="E327">
            <v>129202.94</v>
          </cell>
          <cell r="F327">
            <v>153965.85</v>
          </cell>
          <cell r="G327">
            <v>148632.46</v>
          </cell>
          <cell r="H327">
            <v>231491.75</v>
          </cell>
          <cell r="I327">
            <v>185251.94</v>
          </cell>
          <cell r="J327">
            <v>227802.34</v>
          </cell>
          <cell r="K327">
            <v>198145.49</v>
          </cell>
          <cell r="L327">
            <v>220205.99</v>
          </cell>
          <cell r="M327">
            <v>248810.51</v>
          </cell>
          <cell r="N327">
            <v>245130.06</v>
          </cell>
          <cell r="O327">
            <v>224312.69</v>
          </cell>
          <cell r="Q327">
            <v>2439168.86</v>
          </cell>
        </row>
        <row r="328">
          <cell r="A328" t="str">
            <v>F58401E</v>
          </cell>
          <cell r="B328" t="str">
            <v>UNDERGROUND LINE EXPENSES</v>
          </cell>
          <cell r="D328">
            <v>751.43</v>
          </cell>
          <cell r="E328">
            <v>-583.49</v>
          </cell>
          <cell r="F328">
            <v>302.37</v>
          </cell>
          <cell r="G328">
            <v>325.27</v>
          </cell>
          <cell r="H328">
            <v>496.31</v>
          </cell>
          <cell r="I328">
            <v>-323.79000000000002</v>
          </cell>
          <cell r="J328">
            <v>113.71</v>
          </cell>
          <cell r="K328">
            <v>149.06</v>
          </cell>
          <cell r="L328">
            <v>331.34</v>
          </cell>
          <cell r="M328">
            <v>-321.63</v>
          </cell>
          <cell r="N328">
            <v>-1172.19</v>
          </cell>
          <cell r="O328">
            <v>38.229999999999997</v>
          </cell>
          <cell r="Q328">
            <v>106.61999999999986</v>
          </cell>
        </row>
        <row r="329">
          <cell r="A329" t="str">
            <v>F58410E</v>
          </cell>
          <cell r="B329" t="str">
            <v>UNDERGROUND LINE EXPENSES</v>
          </cell>
          <cell r="D329">
            <v>41286.04</v>
          </cell>
          <cell r="E329">
            <v>28315.33</v>
          </cell>
          <cell r="F329">
            <v>20761.11</v>
          </cell>
          <cell r="G329">
            <v>54761.46</v>
          </cell>
          <cell r="H329">
            <v>55064.62</v>
          </cell>
          <cell r="I329">
            <v>42459.58</v>
          </cell>
          <cell r="J329">
            <v>28636.33</v>
          </cell>
          <cell r="K329">
            <v>26199.08</v>
          </cell>
          <cell r="L329">
            <v>65858.31</v>
          </cell>
          <cell r="M329">
            <v>44863.08</v>
          </cell>
          <cell r="N329">
            <v>41972.9</v>
          </cell>
          <cell r="O329">
            <v>38329.5</v>
          </cell>
          <cell r="Q329">
            <v>488507.34000000008</v>
          </cell>
        </row>
        <row r="330">
          <cell r="A330" t="str">
            <v>F58420E</v>
          </cell>
          <cell r="B330" t="str">
            <v>UNDERGROUND LINE EXPENSES</v>
          </cell>
          <cell r="D330">
            <v>-136978.65</v>
          </cell>
          <cell r="E330">
            <v>-110729.17</v>
          </cell>
          <cell r="F330">
            <v>-68072.539999999994</v>
          </cell>
          <cell r="G330">
            <v>-62060.1</v>
          </cell>
          <cell r="H330">
            <v>-78802.7</v>
          </cell>
          <cell r="I330">
            <v>-146153.62</v>
          </cell>
          <cell r="J330">
            <v>-113374.06</v>
          </cell>
          <cell r="K330">
            <v>-127698.48</v>
          </cell>
          <cell r="L330">
            <v>-121110.97</v>
          </cell>
          <cell r="M330">
            <v>-130714.87</v>
          </cell>
          <cell r="N330">
            <v>-153996.67000000001</v>
          </cell>
          <cell r="O330">
            <v>-128239.77</v>
          </cell>
          <cell r="Q330">
            <v>-1377931.6</v>
          </cell>
        </row>
        <row r="331">
          <cell r="A331" t="str">
            <v>F58430E</v>
          </cell>
          <cell r="B331" t="str">
            <v>UNDERGROUND LINE EXPENSES</v>
          </cell>
          <cell r="I331">
            <v>0</v>
          </cell>
          <cell r="N331">
            <v>0</v>
          </cell>
          <cell r="O331">
            <v>0</v>
          </cell>
          <cell r="Q331">
            <v>0</v>
          </cell>
        </row>
        <row r="332">
          <cell r="A332" t="str">
            <v>F58440E</v>
          </cell>
          <cell r="B332" t="str">
            <v>UNDERGROUND LINE EXPENSES</v>
          </cell>
          <cell r="I332">
            <v>3240.79</v>
          </cell>
          <cell r="L332">
            <v>83.6</v>
          </cell>
          <cell r="N332">
            <v>0</v>
          </cell>
          <cell r="O332">
            <v>6062.69</v>
          </cell>
          <cell r="Q332">
            <v>9387.08</v>
          </cell>
        </row>
        <row r="333">
          <cell r="A333" t="str">
            <v>F58450E</v>
          </cell>
          <cell r="B333" t="str">
            <v>UNDERGROUND LINE EXPENSES</v>
          </cell>
          <cell r="D333">
            <v>2081.16</v>
          </cell>
          <cell r="E333">
            <v>1951.55</v>
          </cell>
          <cell r="F333">
            <v>1720.63</v>
          </cell>
          <cell r="G333">
            <v>1530.73</v>
          </cell>
          <cell r="H333">
            <v>1487.84</v>
          </cell>
          <cell r="I333">
            <v>1352.09</v>
          </cell>
          <cell r="J333">
            <v>1680.47</v>
          </cell>
          <cell r="K333">
            <v>1669.05</v>
          </cell>
          <cell r="L333">
            <v>1457.24</v>
          </cell>
          <cell r="M333">
            <v>1646.1</v>
          </cell>
          <cell r="N333">
            <v>1246.19</v>
          </cell>
          <cell r="O333">
            <v>1285.8</v>
          </cell>
          <cell r="Q333">
            <v>19108.849999999995</v>
          </cell>
        </row>
        <row r="334">
          <cell r="A334" t="str">
            <v>F58460E</v>
          </cell>
          <cell r="B334" t="str">
            <v>UNDERGROUND LINE EXPENSES</v>
          </cell>
          <cell r="D334">
            <v>73914.78</v>
          </cell>
          <cell r="E334">
            <v>90087.62</v>
          </cell>
          <cell r="F334">
            <v>125000.61</v>
          </cell>
          <cell r="G334">
            <v>88362.29</v>
          </cell>
          <cell r="H334">
            <v>121879.52</v>
          </cell>
          <cell r="I334">
            <v>93530.22</v>
          </cell>
          <cell r="J334">
            <v>131692.5</v>
          </cell>
          <cell r="K334">
            <v>101324.18</v>
          </cell>
          <cell r="L334">
            <v>78658.66</v>
          </cell>
          <cell r="M334">
            <v>149433.60000000001</v>
          </cell>
          <cell r="N334">
            <v>99543.64</v>
          </cell>
          <cell r="O334">
            <v>103841.73</v>
          </cell>
          <cell r="Q334">
            <v>1257269.3499999999</v>
          </cell>
        </row>
        <row r="335">
          <cell r="A335" t="str">
            <v>F58500E</v>
          </cell>
          <cell r="B335" t="str">
            <v>STREET LIGHTING AND SIGNAL SYSTEM EXPENSES</v>
          </cell>
          <cell r="D335">
            <v>609.87</v>
          </cell>
          <cell r="E335">
            <v>1664.42</v>
          </cell>
          <cell r="F335">
            <v>1637.26</v>
          </cell>
          <cell r="G335">
            <v>1014.94</v>
          </cell>
          <cell r="H335">
            <v>1428.11</v>
          </cell>
          <cell r="I335">
            <v>1447.92</v>
          </cell>
          <cell r="J335">
            <v>1461.86</v>
          </cell>
          <cell r="K335">
            <v>710.85</v>
          </cell>
          <cell r="L335">
            <v>266.97000000000003</v>
          </cell>
          <cell r="M335">
            <v>11784.37</v>
          </cell>
          <cell r="N335">
            <v>6518.93</v>
          </cell>
          <cell r="O335">
            <v>4497.8599999999997</v>
          </cell>
          <cell r="Q335">
            <v>33043.360000000001</v>
          </cell>
        </row>
        <row r="336">
          <cell r="A336" t="str">
            <v>F58510E</v>
          </cell>
          <cell r="B336" t="str">
            <v>STREET LIGHTING AND SIGNAL SYSTEM EXPENSES</v>
          </cell>
          <cell r="D336">
            <v>40768.370000000003</v>
          </cell>
          <cell r="E336">
            <v>29308.240000000002</v>
          </cell>
          <cell r="F336">
            <v>40389.120000000003</v>
          </cell>
          <cell r="G336">
            <v>35835.620000000003</v>
          </cell>
          <cell r="H336">
            <v>26904.09</v>
          </cell>
          <cell r="I336">
            <v>22358.45</v>
          </cell>
          <cell r="J336">
            <v>50415.91</v>
          </cell>
          <cell r="K336">
            <v>35640.83</v>
          </cell>
          <cell r="L336">
            <v>22638.46</v>
          </cell>
          <cell r="M336">
            <v>44744.63</v>
          </cell>
          <cell r="N336">
            <v>19289.349999999999</v>
          </cell>
          <cell r="O336">
            <v>53444.09</v>
          </cell>
          <cell r="Q336">
            <v>421737.16000000003</v>
          </cell>
        </row>
        <row r="337">
          <cell r="A337" t="str">
            <v>F58540E</v>
          </cell>
          <cell r="B337" t="str">
            <v>STREET LIGHTING AND SIGNAL SYSTEM EXPENSES</v>
          </cell>
          <cell r="D337">
            <v>6761.15</v>
          </cell>
          <cell r="E337">
            <v>4704.74</v>
          </cell>
          <cell r="F337">
            <v>9013</v>
          </cell>
          <cell r="G337">
            <v>5001.09</v>
          </cell>
          <cell r="H337">
            <v>6514.83</v>
          </cell>
          <cell r="I337">
            <v>4571.4799999999996</v>
          </cell>
          <cell r="J337">
            <v>7650.73</v>
          </cell>
          <cell r="K337">
            <v>3438.83</v>
          </cell>
          <cell r="L337">
            <v>6102.6</v>
          </cell>
          <cell r="M337">
            <v>5977.75</v>
          </cell>
          <cell r="N337">
            <v>5718.67</v>
          </cell>
          <cell r="O337">
            <v>4465.49</v>
          </cell>
          <cell r="Q337">
            <v>69920.359999999986</v>
          </cell>
        </row>
        <row r="338">
          <cell r="A338" t="str">
            <v>F58560E</v>
          </cell>
          <cell r="B338" t="str">
            <v>STREET LIGHTING AND SIGNAL SYSTEM EXPENSES</v>
          </cell>
          <cell r="D338">
            <v>3815.74</v>
          </cell>
          <cell r="E338">
            <v>-1.68</v>
          </cell>
          <cell r="F338">
            <v>1136.24</v>
          </cell>
          <cell r="G338">
            <v>825.98</v>
          </cell>
          <cell r="H338">
            <v>-1679.66</v>
          </cell>
          <cell r="I338">
            <v>-3390.35</v>
          </cell>
          <cell r="J338">
            <v>-977.97</v>
          </cell>
          <cell r="K338">
            <v>-10983.5</v>
          </cell>
          <cell r="L338">
            <v>-1395.05</v>
          </cell>
          <cell r="M338">
            <v>2068.6799999999998</v>
          </cell>
          <cell r="N338">
            <v>7725.36</v>
          </cell>
          <cell r="O338">
            <v>4342.66</v>
          </cell>
          <cell r="Q338">
            <v>1486.4500000000016</v>
          </cell>
        </row>
        <row r="339">
          <cell r="A339" t="str">
            <v>F58600E</v>
          </cell>
          <cell r="B339" t="str">
            <v>METER EXPENSES</v>
          </cell>
          <cell r="D339">
            <v>101355.3</v>
          </cell>
          <cell r="E339">
            <v>100647.35</v>
          </cell>
          <cell r="F339">
            <v>104106.58</v>
          </cell>
          <cell r="G339">
            <v>129581.86</v>
          </cell>
          <cell r="H339">
            <v>170718.51</v>
          </cell>
          <cell r="I339">
            <v>85453.51</v>
          </cell>
          <cell r="J339">
            <v>105679.09</v>
          </cell>
          <cell r="K339">
            <v>87342.77</v>
          </cell>
          <cell r="L339">
            <v>158139.32</v>
          </cell>
          <cell r="M339">
            <v>232826.11</v>
          </cell>
          <cell r="N339">
            <v>90874.37</v>
          </cell>
          <cell r="O339">
            <v>141175.34</v>
          </cell>
          <cell r="Q339">
            <v>1507900.11</v>
          </cell>
        </row>
        <row r="340">
          <cell r="A340" t="str">
            <v>F58610E</v>
          </cell>
          <cell r="B340" t="str">
            <v>METER EXPENSES</v>
          </cell>
          <cell r="D340">
            <v>23046.31</v>
          </cell>
          <cell r="E340">
            <v>18052.580000000002</v>
          </cell>
          <cell r="F340">
            <v>34329.89</v>
          </cell>
          <cell r="G340">
            <v>28225.22</v>
          </cell>
          <cell r="H340">
            <v>43005.18</v>
          </cell>
          <cell r="I340">
            <v>33698.32</v>
          </cell>
          <cell r="J340">
            <v>28788.68</v>
          </cell>
          <cell r="K340">
            <v>40280.65</v>
          </cell>
          <cell r="L340">
            <v>22136.57</v>
          </cell>
          <cell r="M340">
            <v>30836.57</v>
          </cell>
          <cell r="N340">
            <v>36680.379999999997</v>
          </cell>
          <cell r="O340">
            <v>35401.75</v>
          </cell>
          <cell r="Q340">
            <v>374482.1</v>
          </cell>
        </row>
        <row r="341">
          <cell r="A341" t="str">
            <v>F58620E</v>
          </cell>
          <cell r="B341" t="str">
            <v>METER EXPENSES</v>
          </cell>
          <cell r="D341">
            <v>16462.23</v>
          </cell>
          <cell r="E341">
            <v>17310.25</v>
          </cell>
          <cell r="F341">
            <v>23010.98</v>
          </cell>
          <cell r="G341">
            <v>18770.810000000001</v>
          </cell>
          <cell r="H341">
            <v>25822.32</v>
          </cell>
          <cell r="I341">
            <v>16039.3</v>
          </cell>
          <cell r="J341">
            <v>15002.45</v>
          </cell>
          <cell r="K341">
            <v>11653.42</v>
          </cell>
          <cell r="L341">
            <v>11248.13</v>
          </cell>
          <cell r="M341">
            <v>17028.91</v>
          </cell>
          <cell r="N341">
            <v>15259.31</v>
          </cell>
          <cell r="O341">
            <v>28627.33</v>
          </cell>
          <cell r="Q341">
            <v>216235.44</v>
          </cell>
        </row>
        <row r="342">
          <cell r="A342" t="str">
            <v>F58630E</v>
          </cell>
          <cell r="B342" t="str">
            <v>METER EXPENSES</v>
          </cell>
          <cell r="H342">
            <v>122.3</v>
          </cell>
          <cell r="I342">
            <v>0</v>
          </cell>
          <cell r="N342">
            <v>0</v>
          </cell>
          <cell r="O342">
            <v>0</v>
          </cell>
          <cell r="Q342">
            <v>122.3</v>
          </cell>
        </row>
        <row r="343">
          <cell r="A343" t="str">
            <v>F58640E</v>
          </cell>
          <cell r="B343" t="str">
            <v>METER EXPENSES</v>
          </cell>
          <cell r="D343">
            <v>140010.68</v>
          </cell>
          <cell r="E343">
            <v>125191.19</v>
          </cell>
          <cell r="F343">
            <v>135626.60999999999</v>
          </cell>
          <cell r="G343">
            <v>135401.35999999999</v>
          </cell>
          <cell r="H343">
            <v>191597.31</v>
          </cell>
          <cell r="I343">
            <v>154446</v>
          </cell>
          <cell r="J343">
            <v>190528.44</v>
          </cell>
          <cell r="K343">
            <v>178642.75</v>
          </cell>
          <cell r="L343">
            <v>146988.34</v>
          </cell>
          <cell r="M343">
            <v>170382.53</v>
          </cell>
          <cell r="N343">
            <v>126895.92</v>
          </cell>
          <cell r="O343">
            <v>156178.26999999999</v>
          </cell>
          <cell r="Q343">
            <v>1851889.4</v>
          </cell>
        </row>
        <row r="344">
          <cell r="A344" t="str">
            <v>F58650E</v>
          </cell>
          <cell r="B344" t="str">
            <v>METER EXPENSES</v>
          </cell>
          <cell r="G344">
            <v>363.75</v>
          </cell>
          <cell r="H344">
            <v>75.09</v>
          </cell>
          <cell r="I344">
            <v>151.08000000000001</v>
          </cell>
          <cell r="J344">
            <v>106.58</v>
          </cell>
          <cell r="K344">
            <v>191.36</v>
          </cell>
          <cell r="L344">
            <v>76.89</v>
          </cell>
          <cell r="M344">
            <v>228.9</v>
          </cell>
          <cell r="N344">
            <v>78.31</v>
          </cell>
          <cell r="O344">
            <v>122.22</v>
          </cell>
          <cell r="Q344">
            <v>1394.18</v>
          </cell>
        </row>
        <row r="345">
          <cell r="A345" t="str">
            <v>F58700E</v>
          </cell>
          <cell r="B345" t="str">
            <v>CUSTOMER INSTALLATIONS EXPENSES</v>
          </cell>
          <cell r="D345">
            <v>68369.97</v>
          </cell>
          <cell r="E345">
            <v>85912.47</v>
          </cell>
          <cell r="F345">
            <v>81145.34</v>
          </cell>
          <cell r="G345">
            <v>67508.08</v>
          </cell>
          <cell r="H345">
            <v>79211.17</v>
          </cell>
          <cell r="I345">
            <v>52040.77</v>
          </cell>
          <cell r="J345">
            <v>72263.53</v>
          </cell>
          <cell r="K345">
            <v>60228.55</v>
          </cell>
          <cell r="L345">
            <v>71271.839999999997</v>
          </cell>
          <cell r="M345">
            <v>102588.59</v>
          </cell>
          <cell r="N345">
            <v>64599.82</v>
          </cell>
          <cell r="O345">
            <v>76393</v>
          </cell>
          <cell r="Q345">
            <v>881533.12999999989</v>
          </cell>
        </row>
        <row r="346">
          <cell r="A346" t="str">
            <v>F58710E</v>
          </cell>
          <cell r="B346" t="str">
            <v>CUSTOMER INSTALLATIONS EXPENSES</v>
          </cell>
          <cell r="D346">
            <v>1068.6300000000001</v>
          </cell>
          <cell r="E346">
            <v>1282.96</v>
          </cell>
          <cell r="F346">
            <v>2028.64</v>
          </cell>
          <cell r="G346">
            <v>1041.6600000000001</v>
          </cell>
          <cell r="H346">
            <v>2966.99</v>
          </cell>
          <cell r="I346">
            <v>732.85</v>
          </cell>
          <cell r="J346">
            <v>2202.6999999999998</v>
          </cell>
          <cell r="K346">
            <v>1554.61</v>
          </cell>
          <cell r="L346">
            <v>1093.56</v>
          </cell>
          <cell r="M346">
            <v>1729.68</v>
          </cell>
          <cell r="N346">
            <v>1723.42</v>
          </cell>
          <cell r="O346">
            <v>725.06</v>
          </cell>
          <cell r="Q346">
            <v>18150.760000000002</v>
          </cell>
        </row>
        <row r="347">
          <cell r="A347" t="str">
            <v>F58720E</v>
          </cell>
          <cell r="B347" t="str">
            <v>CUSTOMER INSTALLATIONS EXPENSES</v>
          </cell>
          <cell r="D347">
            <v>166298.47</v>
          </cell>
          <cell r="E347">
            <v>127230.41</v>
          </cell>
          <cell r="F347">
            <v>138929.79</v>
          </cell>
          <cell r="G347">
            <v>121138.81</v>
          </cell>
          <cell r="H347">
            <v>147962.92000000001</v>
          </cell>
          <cell r="I347">
            <v>125875.56</v>
          </cell>
          <cell r="J347">
            <v>146758.78</v>
          </cell>
          <cell r="K347">
            <v>137747.03</v>
          </cell>
          <cell r="L347">
            <v>141689.87</v>
          </cell>
          <cell r="M347">
            <v>145062.34</v>
          </cell>
          <cell r="N347">
            <v>139425.82</v>
          </cell>
          <cell r="O347">
            <v>157997.20000000001</v>
          </cell>
          <cell r="Q347">
            <v>1696117.0000000002</v>
          </cell>
        </row>
        <row r="348">
          <cell r="A348" t="str">
            <v>F58740E</v>
          </cell>
          <cell r="B348" t="str">
            <v>CUSTOMER INSTALLATIONS EXPENSES</v>
          </cell>
          <cell r="D348">
            <v>25736.03</v>
          </cell>
          <cell r="E348">
            <v>15044.42</v>
          </cell>
          <cell r="F348">
            <v>15010.96</v>
          </cell>
          <cell r="G348">
            <v>6957.56</v>
          </cell>
          <cell r="H348">
            <v>8018.2</v>
          </cell>
          <cell r="I348">
            <v>6946.64</v>
          </cell>
          <cell r="J348">
            <v>9501.2900000000009</v>
          </cell>
          <cell r="K348">
            <v>7423.93</v>
          </cell>
          <cell r="L348">
            <v>6024.83</v>
          </cell>
          <cell r="M348">
            <v>13557.69</v>
          </cell>
          <cell r="N348">
            <v>16504.21</v>
          </cell>
          <cell r="O348">
            <v>19228.900000000001</v>
          </cell>
          <cell r="Q348">
            <v>149954.66</v>
          </cell>
        </row>
        <row r="349">
          <cell r="A349" t="str">
            <v>F58800E</v>
          </cell>
          <cell r="B349" t="str">
            <v>MISCELLANEOUS EXPENSES</v>
          </cell>
          <cell r="D349">
            <v>116429.53</v>
          </cell>
          <cell r="E349">
            <v>210624.01</v>
          </cell>
          <cell r="F349">
            <v>181267.92</v>
          </cell>
          <cell r="G349">
            <v>151577.26999999999</v>
          </cell>
          <cell r="H349">
            <v>258063.64</v>
          </cell>
          <cell r="I349">
            <v>319957.58</v>
          </cell>
          <cell r="J349">
            <v>376106.06</v>
          </cell>
          <cell r="K349">
            <v>363697.93</v>
          </cell>
          <cell r="L349">
            <v>276902.3</v>
          </cell>
          <cell r="M349">
            <v>787943.37</v>
          </cell>
          <cell r="N349">
            <v>-32522.67</v>
          </cell>
          <cell r="O349">
            <v>153107.59</v>
          </cell>
          <cell r="Q349">
            <v>3163154.5300000003</v>
          </cell>
        </row>
        <row r="350">
          <cell r="A350" t="str">
            <v>F58801E</v>
          </cell>
          <cell r="B350" t="str">
            <v>MISCELLANEOUS EXPENSES-ADJ</v>
          </cell>
          <cell r="I350">
            <v>0</v>
          </cell>
          <cell r="N350">
            <v>0</v>
          </cell>
          <cell r="O350">
            <v>0</v>
          </cell>
          <cell r="Q350">
            <v>0</v>
          </cell>
        </row>
        <row r="351">
          <cell r="A351" t="str">
            <v>F58810E</v>
          </cell>
          <cell r="B351" t="str">
            <v>MISCELLANEOUS EXPENSES</v>
          </cell>
          <cell r="D351">
            <v>77547.78</v>
          </cell>
          <cell r="E351">
            <v>65291.93</v>
          </cell>
          <cell r="F351">
            <v>73147.78</v>
          </cell>
          <cell r="G351">
            <v>67145.61</v>
          </cell>
          <cell r="H351">
            <v>89221.79</v>
          </cell>
          <cell r="I351">
            <v>67050.820000000007</v>
          </cell>
          <cell r="J351">
            <v>84592.22</v>
          </cell>
          <cell r="K351">
            <v>67712.88</v>
          </cell>
          <cell r="L351">
            <v>78845.94</v>
          </cell>
          <cell r="M351">
            <v>92482.08</v>
          </cell>
          <cell r="N351">
            <v>68144.479999999996</v>
          </cell>
          <cell r="O351">
            <v>86682.34</v>
          </cell>
          <cell r="Q351">
            <v>917865.64999999991</v>
          </cell>
        </row>
        <row r="352">
          <cell r="A352" t="str">
            <v>F58840E</v>
          </cell>
          <cell r="B352" t="str">
            <v>MISCELLANEOUS EXPENSES</v>
          </cell>
          <cell r="D352">
            <v>55681.03</v>
          </cell>
          <cell r="E352">
            <v>58675.14</v>
          </cell>
          <cell r="F352">
            <v>37880.44</v>
          </cell>
          <cell r="G352">
            <v>33994.410000000003</v>
          </cell>
          <cell r="H352">
            <v>40240.22</v>
          </cell>
          <cell r="I352">
            <v>53796.49</v>
          </cell>
          <cell r="J352">
            <v>39901.449999999997</v>
          </cell>
          <cell r="K352">
            <v>20176.57</v>
          </cell>
          <cell r="L352">
            <v>39656.47</v>
          </cell>
          <cell r="M352">
            <v>50034.26</v>
          </cell>
          <cell r="N352">
            <v>70206.429999999993</v>
          </cell>
          <cell r="O352">
            <v>63393.88</v>
          </cell>
          <cell r="Q352">
            <v>563636.78999999992</v>
          </cell>
        </row>
        <row r="353">
          <cell r="A353" t="str">
            <v>F58900E</v>
          </cell>
          <cell r="B353" t="str">
            <v>RENTS</v>
          </cell>
          <cell r="D353">
            <v>-10313.82</v>
          </cell>
          <cell r="E353">
            <v>780.68</v>
          </cell>
          <cell r="F353">
            <v>780.68</v>
          </cell>
          <cell r="G353">
            <v>3339.18</v>
          </cell>
          <cell r="H353">
            <v>889.68</v>
          </cell>
          <cell r="I353">
            <v>671.68</v>
          </cell>
          <cell r="J353">
            <v>100</v>
          </cell>
          <cell r="L353">
            <v>2108.31</v>
          </cell>
          <cell r="M353">
            <v>292</v>
          </cell>
          <cell r="N353">
            <v>14351.79</v>
          </cell>
          <cell r="O353">
            <v>27510.54</v>
          </cell>
          <cell r="Q353">
            <v>40510.720000000001</v>
          </cell>
        </row>
        <row r="354">
          <cell r="A354" t="str">
            <v>F59000E</v>
          </cell>
          <cell r="B354" t="str">
            <v>MAINTENANCE SUPERVISION AND ENGINEERING</v>
          </cell>
          <cell r="D354">
            <v>23198.9</v>
          </cell>
          <cell r="E354">
            <v>23039.1</v>
          </cell>
          <cell r="F354">
            <v>24355.09</v>
          </cell>
          <cell r="G354">
            <v>21325.22</v>
          </cell>
          <cell r="H354">
            <v>29367.65</v>
          </cell>
          <cell r="I354">
            <v>22453.77</v>
          </cell>
          <cell r="J354">
            <v>27411.32</v>
          </cell>
          <cell r="K354">
            <v>24361.32</v>
          </cell>
          <cell r="L354">
            <v>23407.279999999999</v>
          </cell>
          <cell r="M354">
            <v>22195.66</v>
          </cell>
          <cell r="N354">
            <v>23047.8</v>
          </cell>
          <cell r="O354">
            <v>42244.57</v>
          </cell>
          <cell r="Q354">
            <v>306407.67999999999</v>
          </cell>
        </row>
        <row r="355">
          <cell r="A355" t="str">
            <v>F59010E</v>
          </cell>
          <cell r="B355" t="str">
            <v>MAINTENANCE SUPERVISION AND ENGINEERING</v>
          </cell>
          <cell r="D355">
            <v>35347.49</v>
          </cell>
          <cell r="E355">
            <v>35366.28</v>
          </cell>
          <cell r="F355">
            <v>70360.66</v>
          </cell>
          <cell r="G355">
            <v>88335.72</v>
          </cell>
          <cell r="H355">
            <v>82594.789999999994</v>
          </cell>
          <cell r="I355">
            <v>43650.66</v>
          </cell>
          <cell r="J355">
            <v>57226.5</v>
          </cell>
          <cell r="K355">
            <v>8245.85</v>
          </cell>
          <cell r="L355">
            <v>4341.53</v>
          </cell>
          <cell r="M355">
            <v>4680.57</v>
          </cell>
          <cell r="N355">
            <v>4953.5200000000004</v>
          </cell>
          <cell r="O355">
            <v>3394.86</v>
          </cell>
          <cell r="Q355">
            <v>438498.43</v>
          </cell>
        </row>
        <row r="356">
          <cell r="A356" t="str">
            <v>F59020E</v>
          </cell>
          <cell r="B356" t="str">
            <v>MAINTENANCE SUPERVISION AND ENGINEERING</v>
          </cell>
          <cell r="D356">
            <v>40.799999999999997</v>
          </cell>
          <cell r="I356">
            <v>0</v>
          </cell>
          <cell r="N356">
            <v>0</v>
          </cell>
          <cell r="O356">
            <v>0</v>
          </cell>
          <cell r="Q356">
            <v>40.799999999999997</v>
          </cell>
        </row>
        <row r="357">
          <cell r="A357" t="str">
            <v>F59100E</v>
          </cell>
          <cell r="B357" t="str">
            <v>MAINTENANCE OF STRUCTURES</v>
          </cell>
          <cell r="D357">
            <v>3966.27</v>
          </cell>
          <cell r="E357">
            <v>3256.7</v>
          </cell>
          <cell r="F357">
            <v>2818.62</v>
          </cell>
          <cell r="G357">
            <v>12310.05</v>
          </cell>
          <cell r="H357">
            <v>3413.35</v>
          </cell>
          <cell r="I357">
            <v>2493</v>
          </cell>
          <cell r="J357">
            <v>5572.92</v>
          </cell>
          <cell r="K357">
            <v>66368.100000000006</v>
          </cell>
          <cell r="L357">
            <v>22022.59</v>
          </cell>
          <cell r="M357">
            <v>-8789.48</v>
          </cell>
          <cell r="N357">
            <v>4949.1000000000004</v>
          </cell>
          <cell r="O357">
            <v>9825.51</v>
          </cell>
          <cell r="Q357">
            <v>128206.73000000001</v>
          </cell>
        </row>
        <row r="358">
          <cell r="A358" t="str">
            <v>F59200E</v>
          </cell>
          <cell r="B358" t="str">
            <v>MAINTENANCE OF STATION EQUIPMENT</v>
          </cell>
          <cell r="D358">
            <v>85479.78</v>
          </cell>
          <cell r="E358">
            <v>108191.03999999999</v>
          </cell>
          <cell r="F358">
            <v>190885.51</v>
          </cell>
          <cell r="G358">
            <v>78215.78</v>
          </cell>
          <cell r="H358">
            <v>201157.19</v>
          </cell>
          <cell r="I358">
            <v>-119901.63</v>
          </cell>
          <cell r="J358">
            <v>98326.18</v>
          </cell>
          <cell r="K358">
            <v>151668.41</v>
          </cell>
          <cell r="L358">
            <v>174457.82</v>
          </cell>
          <cell r="M358">
            <v>157585.26</v>
          </cell>
          <cell r="N358">
            <v>97243.77</v>
          </cell>
          <cell r="O358">
            <v>15889.17</v>
          </cell>
          <cell r="Q358">
            <v>1239198.28</v>
          </cell>
        </row>
        <row r="359">
          <cell r="A359" t="str">
            <v>F59210E</v>
          </cell>
          <cell r="B359" t="str">
            <v>MAINTENANCE OF STATION EQUIPMENT</v>
          </cell>
          <cell r="D359">
            <v>142846.42000000001</v>
          </cell>
          <cell r="E359">
            <v>129966.62</v>
          </cell>
          <cell r="F359">
            <v>113733.68</v>
          </cell>
          <cell r="G359">
            <v>108128.44</v>
          </cell>
          <cell r="H359">
            <v>194094.76</v>
          </cell>
          <cell r="I359">
            <v>137227.49</v>
          </cell>
          <cell r="J359">
            <v>132821.85999999999</v>
          </cell>
          <cell r="K359">
            <v>114195.47</v>
          </cell>
          <cell r="L359">
            <v>146297.34</v>
          </cell>
          <cell r="M359">
            <v>158615.92000000001</v>
          </cell>
          <cell r="N359">
            <v>129531.55</v>
          </cell>
          <cell r="O359">
            <v>95488.47</v>
          </cell>
          <cell r="Q359">
            <v>1602948.02</v>
          </cell>
        </row>
        <row r="360">
          <cell r="A360" t="str">
            <v>F59220E</v>
          </cell>
          <cell r="B360" t="str">
            <v>MAINTENANCE OF STATION EQUIPMENT</v>
          </cell>
          <cell r="D360">
            <v>7317.23</v>
          </cell>
          <cell r="E360">
            <v>3340.26</v>
          </cell>
          <cell r="F360">
            <v>2712.97</v>
          </cell>
          <cell r="G360">
            <v>3704.62</v>
          </cell>
          <cell r="H360">
            <v>5281.48</v>
          </cell>
          <cell r="I360">
            <v>2910.28</v>
          </cell>
          <cell r="J360">
            <v>4081.79</v>
          </cell>
          <cell r="K360">
            <v>8094.73</v>
          </cell>
          <cell r="L360">
            <v>8710.0499999999993</v>
          </cell>
          <cell r="M360">
            <v>7190.82</v>
          </cell>
          <cell r="N360">
            <v>4064.39</v>
          </cell>
          <cell r="O360">
            <v>2921.76</v>
          </cell>
          <cell r="Q360">
            <v>60330.380000000005</v>
          </cell>
        </row>
        <row r="361">
          <cell r="A361" t="str">
            <v>F59290E</v>
          </cell>
          <cell r="B361" t="str">
            <v>MAINTENANCE OF STATION EQUIPMENT</v>
          </cell>
          <cell r="I361">
            <v>0</v>
          </cell>
          <cell r="N361">
            <v>0</v>
          </cell>
          <cell r="O361">
            <v>0</v>
          </cell>
          <cell r="Q361">
            <v>0</v>
          </cell>
        </row>
        <row r="362">
          <cell r="A362" t="str">
            <v>F59300E</v>
          </cell>
          <cell r="B362" t="str">
            <v>MAINTENANCE OF OVERHEAD LINES</v>
          </cell>
          <cell r="D362">
            <v>322938.5</v>
          </cell>
          <cell r="E362">
            <v>195416.69</v>
          </cell>
          <cell r="F362">
            <v>706353.88</v>
          </cell>
          <cell r="G362">
            <v>115040.26</v>
          </cell>
          <cell r="H362">
            <v>219706.86</v>
          </cell>
          <cell r="I362">
            <v>709147.16</v>
          </cell>
          <cell r="J362">
            <v>-21697.439999999999</v>
          </cell>
          <cell r="K362">
            <v>-75363.289999999994</v>
          </cell>
          <cell r="L362">
            <v>266881.81</v>
          </cell>
          <cell r="M362">
            <v>-448295.3</v>
          </cell>
          <cell r="N362">
            <v>565711.79</v>
          </cell>
          <cell r="O362">
            <v>483886.14</v>
          </cell>
          <cell r="Q362">
            <v>3039727.06</v>
          </cell>
        </row>
        <row r="363">
          <cell r="A363" t="str">
            <v>F59310E</v>
          </cell>
          <cell r="B363" t="str">
            <v>MAINTENANCE OF OVERHEAD LINES</v>
          </cell>
          <cell r="D363">
            <v>73209.38</v>
          </cell>
          <cell r="E363">
            <v>62103.46</v>
          </cell>
          <cell r="F363">
            <v>55638.19</v>
          </cell>
          <cell r="G363">
            <v>45787.43</v>
          </cell>
          <cell r="H363">
            <v>55049.77</v>
          </cell>
          <cell r="I363">
            <v>53996.44</v>
          </cell>
          <cell r="J363">
            <v>55432.84</v>
          </cell>
          <cell r="K363">
            <v>101410.48</v>
          </cell>
          <cell r="L363">
            <v>52450.87</v>
          </cell>
          <cell r="M363">
            <v>84725.88</v>
          </cell>
          <cell r="N363">
            <v>111711.42</v>
          </cell>
          <cell r="O363">
            <v>97951.31</v>
          </cell>
          <cell r="Q363">
            <v>849467.47</v>
          </cell>
        </row>
        <row r="364">
          <cell r="A364" t="str">
            <v>F59320E</v>
          </cell>
          <cell r="B364" t="str">
            <v>MAINTENANCE OF OVERHEAD LINES</v>
          </cell>
          <cell r="D364">
            <v>-535764.47999999998</v>
          </cell>
          <cell r="E364">
            <v>1656465.43</v>
          </cell>
          <cell r="F364">
            <v>1300181.72</v>
          </cell>
          <cell r="G364">
            <v>1402465.76</v>
          </cell>
          <cell r="H364">
            <v>1453414.58</v>
          </cell>
          <cell r="I364">
            <v>851889.87</v>
          </cell>
          <cell r="J364">
            <v>1142851.55</v>
          </cell>
          <cell r="K364">
            <v>1357771.42</v>
          </cell>
          <cell r="L364">
            <v>386081.26</v>
          </cell>
          <cell r="M364">
            <v>1833776.88</v>
          </cell>
          <cell r="N364">
            <v>1819336.28</v>
          </cell>
          <cell r="O364">
            <v>3012270.51</v>
          </cell>
          <cell r="Q364">
            <v>15680740.779999997</v>
          </cell>
        </row>
        <row r="365">
          <cell r="A365" t="str">
            <v>F59340E</v>
          </cell>
          <cell r="B365" t="str">
            <v>MAINTENANCE OF OVERHEAD LINES</v>
          </cell>
          <cell r="H365">
            <v>171.77</v>
          </cell>
          <cell r="I365">
            <v>119.66</v>
          </cell>
          <cell r="J365">
            <v>119.6</v>
          </cell>
          <cell r="L365">
            <v>145.80000000000001</v>
          </cell>
          <cell r="N365">
            <v>0</v>
          </cell>
          <cell r="O365">
            <v>97.29</v>
          </cell>
          <cell r="Q365">
            <v>654.11999999999989</v>
          </cell>
        </row>
        <row r="366">
          <cell r="A366" t="str">
            <v>F59350E</v>
          </cell>
          <cell r="B366" t="str">
            <v>MAINTENANCE OF OVERHEAD LINES</v>
          </cell>
          <cell r="D366">
            <v>4888.82</v>
          </cell>
          <cell r="E366">
            <v>3690.35</v>
          </cell>
          <cell r="F366">
            <v>-209.7</v>
          </cell>
          <cell r="G366">
            <v>2730.61</v>
          </cell>
          <cell r="H366">
            <v>5161</v>
          </cell>
          <cell r="I366">
            <v>5397.27</v>
          </cell>
          <cell r="J366">
            <v>1082.52</v>
          </cell>
          <cell r="K366">
            <v>6027.44</v>
          </cell>
          <cell r="L366">
            <v>3891.55</v>
          </cell>
          <cell r="M366">
            <v>5546.6</v>
          </cell>
          <cell r="N366">
            <v>1804.83</v>
          </cell>
          <cell r="O366">
            <v>4538.9799999999996</v>
          </cell>
          <cell r="Q366">
            <v>44550.270000000004</v>
          </cell>
        </row>
        <row r="367">
          <cell r="A367" t="str">
            <v>F59370E</v>
          </cell>
          <cell r="B367" t="str">
            <v>MAINTENANCE OF OVERHEAD LINES</v>
          </cell>
          <cell r="D367">
            <v>-309.91000000000003</v>
          </cell>
          <cell r="E367">
            <v>-6.01</v>
          </cell>
          <cell r="G367">
            <v>-106.61</v>
          </cell>
          <cell r="H367">
            <v>-386.77</v>
          </cell>
          <cell r="I367">
            <v>-2.87</v>
          </cell>
          <cell r="J367">
            <v>-2656.45</v>
          </cell>
          <cell r="K367">
            <v>-1393.54</v>
          </cell>
          <cell r="M367">
            <v>-670.37</v>
          </cell>
          <cell r="N367">
            <v>0</v>
          </cell>
          <cell r="O367">
            <v>-50</v>
          </cell>
          <cell r="Q367">
            <v>-5582.53</v>
          </cell>
        </row>
        <row r="368">
          <cell r="A368" t="str">
            <v>F59390E</v>
          </cell>
          <cell r="B368" t="str">
            <v>MAINTENANCE OF OVERHEAD LINES</v>
          </cell>
          <cell r="D368">
            <v>172742.51</v>
          </cell>
          <cell r="E368">
            <v>104515.5</v>
          </cell>
          <cell r="F368">
            <v>56441.18</v>
          </cell>
          <cell r="G368">
            <v>129638.98</v>
          </cell>
          <cell r="H368">
            <v>177599.65</v>
          </cell>
          <cell r="I368">
            <v>171045.46</v>
          </cell>
          <cell r="J368">
            <v>147384.76</v>
          </cell>
          <cell r="K368">
            <v>141062.78</v>
          </cell>
          <cell r="L368">
            <v>140739.35999999999</v>
          </cell>
          <cell r="M368">
            <v>168083.31</v>
          </cell>
          <cell r="N368">
            <v>175212.76</v>
          </cell>
          <cell r="O368">
            <v>179043.97</v>
          </cell>
          <cell r="Q368">
            <v>1763510.2199999997</v>
          </cell>
        </row>
        <row r="369">
          <cell r="A369" t="str">
            <v>F59400E</v>
          </cell>
          <cell r="B369" t="str">
            <v>MAINTENANCE OF UNDERGROUND LINES</v>
          </cell>
          <cell r="D369">
            <v>192860.69</v>
          </cell>
          <cell r="E369">
            <v>12351.66</v>
          </cell>
          <cell r="F369">
            <v>373054.1</v>
          </cell>
          <cell r="G369">
            <v>-916301.66</v>
          </cell>
          <cell r="H369">
            <v>1174551.78</v>
          </cell>
          <cell r="I369">
            <v>315605.2</v>
          </cell>
          <cell r="J369">
            <v>334690.34000000003</v>
          </cell>
          <cell r="K369">
            <v>102160.86</v>
          </cell>
          <cell r="L369">
            <v>248227.25</v>
          </cell>
          <cell r="M369">
            <v>424701.1</v>
          </cell>
          <cell r="N369">
            <v>311043.15999999997</v>
          </cell>
          <cell r="O369">
            <v>221938.3</v>
          </cell>
          <cell r="Q369">
            <v>2794882.7800000003</v>
          </cell>
        </row>
        <row r="370">
          <cell r="A370" t="str">
            <v>F59410E</v>
          </cell>
          <cell r="B370" t="str">
            <v>MAINTENANCE OF UNDERGROUND LINES</v>
          </cell>
          <cell r="D370">
            <v>107750.66</v>
          </cell>
          <cell r="E370">
            <v>-7183.55</v>
          </cell>
          <cell r="F370">
            <v>63641.98</v>
          </cell>
          <cell r="G370">
            <v>51507.42</v>
          </cell>
          <cell r="H370">
            <v>49235.92</v>
          </cell>
          <cell r="I370">
            <v>51885.73</v>
          </cell>
          <cell r="J370">
            <v>62449.72</v>
          </cell>
          <cell r="K370">
            <v>69240.070000000007</v>
          </cell>
          <cell r="L370">
            <v>48769.36</v>
          </cell>
          <cell r="M370">
            <v>80578.350000000006</v>
          </cell>
          <cell r="N370">
            <v>47887.67</v>
          </cell>
          <cell r="O370">
            <v>51809.43</v>
          </cell>
          <cell r="Q370">
            <v>677572.76000000013</v>
          </cell>
        </row>
        <row r="371">
          <cell r="A371" t="str">
            <v>F59420E</v>
          </cell>
          <cell r="B371" t="str">
            <v>MAINTENANCE OF UNDERGROUND LINES</v>
          </cell>
          <cell r="F371">
            <v>139.46</v>
          </cell>
          <cell r="I371">
            <v>0</v>
          </cell>
          <cell r="K371">
            <v>100.8</v>
          </cell>
          <cell r="M371">
            <v>930.89</v>
          </cell>
          <cell r="N371">
            <v>127.5</v>
          </cell>
          <cell r="O371">
            <v>0</v>
          </cell>
          <cell r="Q371">
            <v>1298.6500000000001</v>
          </cell>
        </row>
        <row r="372">
          <cell r="A372" t="str">
            <v>F59430E</v>
          </cell>
          <cell r="B372" t="str">
            <v>MAINTENANCE OF UNDERGROUND LINES</v>
          </cell>
          <cell r="I372">
            <v>0</v>
          </cell>
          <cell r="N372">
            <v>0</v>
          </cell>
          <cell r="O372">
            <v>0</v>
          </cell>
          <cell r="Q372">
            <v>0</v>
          </cell>
        </row>
        <row r="373">
          <cell r="A373" t="str">
            <v>F59450E</v>
          </cell>
          <cell r="B373" t="str">
            <v>MAINTENANCE OF UNDERGROUND LINES</v>
          </cell>
          <cell r="D373">
            <v>3009.26</v>
          </cell>
          <cell r="E373">
            <v>1502.71</v>
          </cell>
          <cell r="F373">
            <v>3209.29</v>
          </cell>
          <cell r="G373">
            <v>3417.62</v>
          </cell>
          <cell r="H373">
            <v>887.99</v>
          </cell>
          <cell r="I373">
            <v>-1813.85</v>
          </cell>
          <cell r="J373">
            <v>372.36</v>
          </cell>
          <cell r="K373">
            <v>653.34</v>
          </cell>
          <cell r="L373">
            <v>637.20000000000005</v>
          </cell>
          <cell r="M373">
            <v>2036.77</v>
          </cell>
          <cell r="N373">
            <v>490.51</v>
          </cell>
          <cell r="O373">
            <v>1608.28</v>
          </cell>
          <cell r="Q373">
            <v>16011.480000000003</v>
          </cell>
        </row>
        <row r="374">
          <cell r="A374" t="str">
            <v>F59460E</v>
          </cell>
          <cell r="B374" t="str">
            <v>MAINTENANCE OF UNDERGROUND LINES</v>
          </cell>
          <cell r="D374">
            <v>166376.95999999999</v>
          </cell>
          <cell r="E374">
            <v>92660.76</v>
          </cell>
          <cell r="F374">
            <v>52789.15</v>
          </cell>
          <cell r="G374">
            <v>132087.51999999999</v>
          </cell>
          <cell r="H374">
            <v>223406.68</v>
          </cell>
          <cell r="I374">
            <v>179735.1</v>
          </cell>
          <cell r="J374">
            <v>223336.16</v>
          </cell>
          <cell r="K374">
            <v>169831.98</v>
          </cell>
          <cell r="L374">
            <v>197096.03</v>
          </cell>
          <cell r="M374">
            <v>253131.82</v>
          </cell>
          <cell r="N374">
            <v>166991.29999999999</v>
          </cell>
          <cell r="O374">
            <v>183821.32</v>
          </cell>
          <cell r="Q374">
            <v>2041264.7800000003</v>
          </cell>
        </row>
        <row r="375">
          <cell r="A375" t="str">
            <v>F59500E</v>
          </cell>
          <cell r="B375" t="str">
            <v>MAINTENANCE OF LINE TRANSFORMERS</v>
          </cell>
          <cell r="D375">
            <v>2216.6999999999998</v>
          </cell>
          <cell r="E375">
            <v>5415.31</v>
          </cell>
          <cell r="F375">
            <v>12123.3</v>
          </cell>
          <cell r="G375">
            <v>28424.76</v>
          </cell>
          <cell r="H375">
            <v>31611.43</v>
          </cell>
          <cell r="I375">
            <v>27016.61</v>
          </cell>
          <cell r="J375">
            <v>12201.69</v>
          </cell>
          <cell r="K375">
            <v>5294.03</v>
          </cell>
          <cell r="L375">
            <v>10412.56</v>
          </cell>
          <cell r="M375">
            <v>5987.38</v>
          </cell>
          <cell r="N375">
            <v>2767.12</v>
          </cell>
          <cell r="O375">
            <v>5171.29</v>
          </cell>
          <cell r="Q375">
            <v>148642.18000000002</v>
          </cell>
        </row>
        <row r="376">
          <cell r="A376" t="str">
            <v>F59510E</v>
          </cell>
          <cell r="B376" t="str">
            <v>MAINTENANCE OF LINE TRANSFORMERS</v>
          </cell>
          <cell r="D376">
            <v>10175.51</v>
          </cell>
          <cell r="E376">
            <v>7649.07</v>
          </cell>
          <cell r="F376">
            <v>13370.83</v>
          </cell>
          <cell r="G376">
            <v>6348.89</v>
          </cell>
          <cell r="H376">
            <v>7265.67</v>
          </cell>
          <cell r="I376">
            <v>13292.12</v>
          </cell>
          <cell r="J376">
            <v>9298.7000000000007</v>
          </cell>
          <cell r="K376">
            <v>9134.14</v>
          </cell>
          <cell r="L376">
            <v>9383.34</v>
          </cell>
          <cell r="M376">
            <v>7889.66</v>
          </cell>
          <cell r="N376">
            <v>13705.88</v>
          </cell>
          <cell r="O376">
            <v>4394.53</v>
          </cell>
          <cell r="Q376">
            <v>111908.34000000001</v>
          </cell>
        </row>
        <row r="377">
          <cell r="A377" t="str">
            <v>F59520E</v>
          </cell>
          <cell r="B377" t="str">
            <v>MAINTENANCE OF LINE TRANSFORMERS</v>
          </cell>
          <cell r="D377">
            <v>3358.23</v>
          </cell>
          <cell r="E377">
            <v>4597.28</v>
          </cell>
          <cell r="F377">
            <v>1393.46</v>
          </cell>
          <cell r="G377">
            <v>4550.4799999999996</v>
          </cell>
          <cell r="H377">
            <v>8440.1</v>
          </cell>
          <cell r="I377">
            <v>712.98</v>
          </cell>
          <cell r="J377">
            <v>2970.75</v>
          </cell>
          <cell r="K377">
            <v>2516.63</v>
          </cell>
          <cell r="L377">
            <v>3091.51</v>
          </cell>
          <cell r="M377">
            <v>5664.98</v>
          </cell>
          <cell r="N377">
            <v>4518.2</v>
          </cell>
          <cell r="O377">
            <v>598.13</v>
          </cell>
          <cell r="Q377">
            <v>42412.73</v>
          </cell>
        </row>
        <row r="378">
          <cell r="A378" t="str">
            <v>F59550E</v>
          </cell>
          <cell r="B378" t="str">
            <v>MAINTENANCE OF LINE TRANSFORMERS</v>
          </cell>
          <cell r="D378">
            <v>4760.79</v>
          </cell>
          <cell r="E378">
            <v>3826.82</v>
          </cell>
          <cell r="F378">
            <v>9841.77</v>
          </cell>
          <cell r="G378">
            <v>7737.78</v>
          </cell>
          <cell r="H378">
            <v>8004.9</v>
          </cell>
          <cell r="I378">
            <v>5509.58</v>
          </cell>
          <cell r="J378">
            <v>6435.92</v>
          </cell>
          <cell r="K378">
            <v>4108.8900000000003</v>
          </cell>
          <cell r="L378">
            <v>4031.91</v>
          </cell>
          <cell r="M378">
            <v>3979.79</v>
          </cell>
          <cell r="N378">
            <v>6136.07</v>
          </cell>
          <cell r="O378">
            <v>8826.56</v>
          </cell>
          <cell r="Q378">
            <v>73200.78</v>
          </cell>
        </row>
        <row r="379">
          <cell r="A379" t="str">
            <v>F59570E</v>
          </cell>
          <cell r="B379" t="str">
            <v>MAINTENANCE OF LINE TRANSFORMERS</v>
          </cell>
          <cell r="I379">
            <v>0</v>
          </cell>
          <cell r="N379">
            <v>0</v>
          </cell>
          <cell r="O379">
            <v>0</v>
          </cell>
          <cell r="Q379">
            <v>0</v>
          </cell>
        </row>
        <row r="380">
          <cell r="A380" t="str">
            <v>F59600E</v>
          </cell>
          <cell r="B380" t="str">
            <v>MAINTENANCE OF STREET LIGHTING AND SIGNAL SYSTEMS</v>
          </cell>
          <cell r="D380">
            <v>5732.17</v>
          </cell>
          <cell r="E380">
            <v>3598.73</v>
          </cell>
          <cell r="F380">
            <v>7311.1</v>
          </cell>
          <cell r="G380">
            <v>1884.78</v>
          </cell>
          <cell r="H380">
            <v>5126.3500000000004</v>
          </cell>
          <cell r="I380">
            <v>6041.03</v>
          </cell>
          <cell r="J380">
            <v>4413.01</v>
          </cell>
          <cell r="K380">
            <v>7384.63</v>
          </cell>
          <cell r="L380">
            <v>5724.66</v>
          </cell>
          <cell r="M380">
            <v>5683.29</v>
          </cell>
          <cell r="N380">
            <v>-333.73</v>
          </cell>
          <cell r="O380">
            <v>4368.3900000000003</v>
          </cell>
          <cell r="Q380">
            <v>56934.409999999989</v>
          </cell>
        </row>
        <row r="381">
          <cell r="A381" t="str">
            <v>F59700E</v>
          </cell>
          <cell r="B381" t="str">
            <v>MAINTENANCE OF METERS</v>
          </cell>
          <cell r="D381">
            <v>55179.4</v>
          </cell>
          <cell r="E381">
            <v>45046.44</v>
          </cell>
          <cell r="F381">
            <v>36434.28</v>
          </cell>
          <cell r="G381">
            <v>34582.26</v>
          </cell>
          <cell r="H381">
            <v>51484.41</v>
          </cell>
          <cell r="I381">
            <v>45692.38</v>
          </cell>
          <cell r="J381">
            <v>41641.9</v>
          </cell>
          <cell r="K381">
            <v>42322.14</v>
          </cell>
          <cell r="L381">
            <v>40562.82</v>
          </cell>
          <cell r="M381">
            <v>42340.56</v>
          </cell>
          <cell r="N381">
            <v>44163.37</v>
          </cell>
          <cell r="O381">
            <v>44750.98</v>
          </cell>
          <cell r="Q381">
            <v>524200.94</v>
          </cell>
        </row>
        <row r="382">
          <cell r="A382" t="str">
            <v>F59800E</v>
          </cell>
          <cell r="B382" t="str">
            <v>MAINTENANCE OF MISCELLANEOUS DISTRIBUTION PLANT</v>
          </cell>
          <cell r="D382">
            <v>55873.64</v>
          </cell>
          <cell r="E382">
            <v>36393.94</v>
          </cell>
          <cell r="F382">
            <v>44603.18</v>
          </cell>
          <cell r="G382">
            <v>46579.02</v>
          </cell>
          <cell r="H382">
            <v>49173.279999999999</v>
          </cell>
          <cell r="I382">
            <v>33066.879999999997</v>
          </cell>
          <cell r="J382">
            <v>52294.98</v>
          </cell>
          <cell r="K382">
            <v>35204.660000000003</v>
          </cell>
          <cell r="L382">
            <v>45754.98</v>
          </cell>
          <cell r="M382">
            <v>56084.67</v>
          </cell>
          <cell r="N382">
            <v>41793.82</v>
          </cell>
          <cell r="O382">
            <v>41376.81</v>
          </cell>
          <cell r="Q382">
            <v>538199.85999999987</v>
          </cell>
        </row>
        <row r="383">
          <cell r="A383" t="str">
            <v>F80300G</v>
          </cell>
          <cell r="B383" t="str">
            <v>NATURAL GAS TRANSMISSION LINE PURCHASES</v>
          </cell>
          <cell r="D383">
            <v>117274061.02</v>
          </cell>
          <cell r="E383">
            <v>61664005.719999999</v>
          </cell>
          <cell r="F383">
            <v>68803877.5</v>
          </cell>
          <cell r="G383">
            <v>50621789.719999999</v>
          </cell>
          <cell r="H383">
            <v>41940597.539999999</v>
          </cell>
          <cell r="I383">
            <v>51647962.630000003</v>
          </cell>
          <cell r="J383">
            <v>4627005.42</v>
          </cell>
          <cell r="K383">
            <v>3897386.99</v>
          </cell>
          <cell r="L383">
            <v>6381090.2000000002</v>
          </cell>
          <cell r="M383">
            <v>8628290.1500000004</v>
          </cell>
          <cell r="N383">
            <v>21708386.57</v>
          </cell>
          <cell r="O383">
            <v>24415673.93</v>
          </cell>
          <cell r="Q383">
            <v>461610127.39000005</v>
          </cell>
        </row>
        <row r="384">
          <cell r="A384" t="str">
            <v>F80410G</v>
          </cell>
          <cell r="B384" t="str">
            <v>LNG PURCHASES</v>
          </cell>
          <cell r="D384">
            <v>15407.52</v>
          </cell>
          <cell r="E384">
            <v>14137.23</v>
          </cell>
          <cell r="F384">
            <v>8389.23</v>
          </cell>
          <cell r="G384">
            <v>321.95999999999998</v>
          </cell>
          <cell r="H384">
            <v>2900.97</v>
          </cell>
          <cell r="I384">
            <v>2726.84</v>
          </cell>
          <cell r="J384">
            <v>2972.94</v>
          </cell>
          <cell r="K384">
            <v>-98.61</v>
          </cell>
          <cell r="L384">
            <v>2856.72</v>
          </cell>
          <cell r="M384">
            <v>4617.01</v>
          </cell>
          <cell r="N384">
            <v>4328.97</v>
          </cell>
          <cell r="O384">
            <v>17106.939999999999</v>
          </cell>
          <cell r="Q384">
            <v>75667.72</v>
          </cell>
        </row>
        <row r="385">
          <cell r="A385" t="str">
            <v>F80720G</v>
          </cell>
          <cell r="B385" t="str">
            <v>OPERATION OF PURCH GAS MEASURING STATIONS</v>
          </cell>
          <cell r="I385">
            <v>0</v>
          </cell>
          <cell r="L385">
            <v>241.2</v>
          </cell>
          <cell r="N385">
            <v>0</v>
          </cell>
          <cell r="O385">
            <v>20</v>
          </cell>
          <cell r="Q385">
            <v>261.2</v>
          </cell>
        </row>
        <row r="386">
          <cell r="A386" t="str">
            <v>F80740G</v>
          </cell>
          <cell r="B386" t="str">
            <v>PURCHASED GAS CALCULATIONS EXPENSE</v>
          </cell>
          <cell r="D386">
            <v>2194.7399999999998</v>
          </cell>
          <cell r="E386">
            <v>1986.07</v>
          </cell>
          <cell r="F386">
            <v>2377.79</v>
          </cell>
          <cell r="G386">
            <v>2118.02</v>
          </cell>
          <cell r="H386">
            <v>2647.18</v>
          </cell>
          <cell r="I386">
            <v>2012.28</v>
          </cell>
          <cell r="J386">
            <v>2166.08</v>
          </cell>
          <cell r="K386">
            <v>744.4</v>
          </cell>
          <cell r="L386">
            <v>2179.98</v>
          </cell>
          <cell r="M386">
            <v>2179.9899999999998</v>
          </cell>
          <cell r="N386">
            <v>2144.11</v>
          </cell>
          <cell r="O386">
            <v>2263.92</v>
          </cell>
          <cell r="Q386">
            <v>25014.559999999998</v>
          </cell>
        </row>
        <row r="387">
          <cell r="A387" t="str">
            <v>F80750G</v>
          </cell>
          <cell r="B387" t="str">
            <v>OTHER PURCHASED GAS EXPENSES</v>
          </cell>
          <cell r="D387">
            <v>94856.6</v>
          </cell>
          <cell r="E387">
            <v>74015.960000000006</v>
          </cell>
          <cell r="F387">
            <v>103823.02</v>
          </cell>
          <cell r="G387">
            <v>74468.34</v>
          </cell>
          <cell r="H387">
            <v>105353.07</v>
          </cell>
          <cell r="I387">
            <v>90448.14</v>
          </cell>
          <cell r="J387">
            <v>96580.35</v>
          </cell>
          <cell r="K387">
            <v>66425.460000000006</v>
          </cell>
          <cell r="L387">
            <v>80905.33</v>
          </cell>
          <cell r="M387">
            <v>114396.52</v>
          </cell>
          <cell r="N387">
            <v>83483.09</v>
          </cell>
          <cell r="O387">
            <v>87982.14</v>
          </cell>
          <cell r="Q387">
            <v>1072738.0199999998</v>
          </cell>
        </row>
        <row r="388">
          <cell r="A388" t="str">
            <v>F80810G</v>
          </cell>
          <cell r="B388" t="str">
            <v>GAS WITHDRAWN FROM STORAGE-DEBIT</v>
          </cell>
          <cell r="D388">
            <v>15431.7</v>
          </cell>
          <cell r="E388">
            <v>16603.77</v>
          </cell>
          <cell r="F388">
            <v>3204.57</v>
          </cell>
          <cell r="G388">
            <v>5336.02</v>
          </cell>
          <cell r="H388">
            <v>2517.21</v>
          </cell>
          <cell r="I388">
            <v>1857.61</v>
          </cell>
          <cell r="J388">
            <v>1756.93</v>
          </cell>
          <cell r="K388">
            <v>1560.79</v>
          </cell>
          <cell r="L388">
            <v>1758.77</v>
          </cell>
          <cell r="M388">
            <v>3311.23</v>
          </cell>
          <cell r="N388">
            <v>7227.99</v>
          </cell>
          <cell r="O388">
            <v>14712.54</v>
          </cell>
          <cell r="Q388">
            <v>75279.13</v>
          </cell>
        </row>
        <row r="389">
          <cell r="A389" t="str">
            <v>F80820G</v>
          </cell>
          <cell r="B389" t="str">
            <v>GAS DELIVERED TO STORAGE-CREDIT</v>
          </cell>
          <cell r="D389">
            <v>-15407.24</v>
          </cell>
          <cell r="E389">
            <v>-13839.23</v>
          </cell>
          <cell r="F389">
            <v>-8023.4</v>
          </cell>
          <cell r="H389">
            <v>-2900.97</v>
          </cell>
          <cell r="I389">
            <v>-2726.84</v>
          </cell>
          <cell r="J389">
            <v>-2972.94</v>
          </cell>
          <cell r="L389">
            <v>-2856.72</v>
          </cell>
          <cell r="M389">
            <v>-4617.24</v>
          </cell>
          <cell r="N389">
            <v>-4329.4799999999996</v>
          </cell>
          <cell r="O389">
            <v>-18318.95</v>
          </cell>
          <cell r="Q389">
            <v>-75993.010000000009</v>
          </cell>
        </row>
        <row r="390">
          <cell r="A390" t="str">
            <v>F81000G</v>
          </cell>
          <cell r="B390" t="str">
            <v>GAS USED FOR COMPRESSOR STATION FUEL-CREDIT</v>
          </cell>
          <cell r="D390">
            <v>-1343684</v>
          </cell>
          <cell r="E390">
            <v>-858770</v>
          </cell>
          <cell r="F390">
            <v>-704643</v>
          </cell>
          <cell r="G390">
            <v>-512333</v>
          </cell>
          <cell r="H390">
            <v>-506093</v>
          </cell>
          <cell r="I390">
            <v>-179809</v>
          </cell>
          <cell r="J390">
            <v>-93932</v>
          </cell>
          <cell r="K390">
            <v>-12647</v>
          </cell>
          <cell r="L390">
            <v>-136544</v>
          </cell>
          <cell r="M390">
            <v>-7743</v>
          </cell>
          <cell r="N390">
            <v>-54983</v>
          </cell>
          <cell r="O390">
            <v>-131616</v>
          </cell>
          <cell r="Q390">
            <v>-4542797</v>
          </cell>
        </row>
        <row r="391">
          <cell r="A391" t="str">
            <v>F81200G</v>
          </cell>
          <cell r="B391" t="str">
            <v>GAS USED FOR OTHER UTILITY OPERATIONS-CREDIT</v>
          </cell>
          <cell r="D391">
            <v>-45231.74</v>
          </cell>
          <cell r="F391">
            <v>-99703.46</v>
          </cell>
          <cell r="H391">
            <v>-81031.64</v>
          </cell>
          <cell r="I391">
            <v>0</v>
          </cell>
          <cell r="J391">
            <v>-77837.240000000005</v>
          </cell>
          <cell r="K391">
            <v>-13000.55</v>
          </cell>
          <cell r="M391">
            <v>-19997.650000000001</v>
          </cell>
          <cell r="N391">
            <v>0</v>
          </cell>
          <cell r="O391">
            <v>-5635.34</v>
          </cell>
          <cell r="Q391">
            <v>-342437.62000000005</v>
          </cell>
        </row>
        <row r="392">
          <cell r="A392" t="str">
            <v>F81700G</v>
          </cell>
          <cell r="B392" t="str">
            <v>LINES EXPENSE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F82000G</v>
          </cell>
          <cell r="B393" t="str">
            <v>MEASURING AND REGULATING STATION EXPENS</v>
          </cell>
          <cell r="I393">
            <v>0</v>
          </cell>
          <cell r="N393">
            <v>0</v>
          </cell>
          <cell r="O393">
            <v>0</v>
          </cell>
          <cell r="Q393">
            <v>0</v>
          </cell>
        </row>
        <row r="394">
          <cell r="A394" t="str">
            <v>F82100C</v>
          </cell>
          <cell r="B394" t="str">
            <v>PURIFICATION EXPENSES</v>
          </cell>
          <cell r="G394">
            <v>1700</v>
          </cell>
          <cell r="I394">
            <v>0</v>
          </cell>
          <cell r="N394">
            <v>0</v>
          </cell>
          <cell r="O394">
            <v>-1700</v>
          </cell>
          <cell r="Q394">
            <v>0</v>
          </cell>
        </row>
        <row r="395">
          <cell r="A395" t="str">
            <v>F82200G</v>
          </cell>
          <cell r="B395" t="str">
            <v>EXPLORATION AND DEVELOPMENT</v>
          </cell>
          <cell r="I395">
            <v>0</v>
          </cell>
          <cell r="N395">
            <v>0</v>
          </cell>
          <cell r="O395">
            <v>0</v>
          </cell>
          <cell r="Q395">
            <v>0</v>
          </cell>
        </row>
        <row r="396">
          <cell r="A396" t="str">
            <v>F82300G</v>
          </cell>
          <cell r="B396" t="str">
            <v>GAS LOSSES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F82400C</v>
          </cell>
          <cell r="B397" t="str">
            <v>OTHER EXPENSES</v>
          </cell>
          <cell r="G397">
            <v>306.11</v>
          </cell>
          <cell r="I397">
            <v>0</v>
          </cell>
          <cell r="N397">
            <v>0</v>
          </cell>
          <cell r="O397">
            <v>-305.52</v>
          </cell>
          <cell r="Q397">
            <v>0.59000000000003183</v>
          </cell>
        </row>
        <row r="398">
          <cell r="A398" t="str">
            <v>F82500C</v>
          </cell>
          <cell r="B398" t="str">
            <v>STORAGE WELL ROYALTIES</v>
          </cell>
          <cell r="F398">
            <v>40.770000000000003</v>
          </cell>
          <cell r="I398">
            <v>0</v>
          </cell>
          <cell r="N398">
            <v>0</v>
          </cell>
          <cell r="O398">
            <v>-42.1</v>
          </cell>
          <cell r="Q398">
            <v>-1.3299999999999983</v>
          </cell>
        </row>
        <row r="399">
          <cell r="A399" t="str">
            <v>F83000C</v>
          </cell>
          <cell r="B399" t="str">
            <v>MAINTENANCE SUPERVISION AND ENGINEERING</v>
          </cell>
          <cell r="N399">
            <v>1333.31</v>
          </cell>
          <cell r="O399">
            <v>-1333.37</v>
          </cell>
          <cell r="Q399">
            <v>-5.999999999994543E-2</v>
          </cell>
        </row>
        <row r="400">
          <cell r="A400" t="str">
            <v>F83000G</v>
          </cell>
          <cell r="B400" t="str">
            <v>MAINTENANCE SUPERVISION AND ENGINEERING</v>
          </cell>
          <cell r="I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F83100C</v>
          </cell>
          <cell r="B401" t="str">
            <v>MAINTENANCE OF STRUCTURES AND IMPROVEMENTS</v>
          </cell>
          <cell r="I401">
            <v>1462.35</v>
          </cell>
          <cell r="J401">
            <v>2485.92</v>
          </cell>
          <cell r="K401">
            <v>483.19</v>
          </cell>
          <cell r="N401">
            <v>2630.29</v>
          </cell>
          <cell r="O401">
            <v>-6998.22</v>
          </cell>
          <cell r="Q401">
            <v>63.529999999999745</v>
          </cell>
        </row>
        <row r="402">
          <cell r="A402" t="str">
            <v>F83100G</v>
          </cell>
          <cell r="B402" t="str">
            <v>MAINTENANCE OF STRUCTURES AND IMPROVEME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F83200G</v>
          </cell>
          <cell r="B403" t="str">
            <v>MAINTENANCE OF RESERVOIRS AND WELLS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F83500C</v>
          </cell>
          <cell r="B404" t="str">
            <v>MAINTENANCE OF MEASURING AND REGULATING STATION EQ</v>
          </cell>
          <cell r="D404">
            <v>7506.9</v>
          </cell>
          <cell r="G404">
            <v>25761.91</v>
          </cell>
          <cell r="I404">
            <v>15754.57</v>
          </cell>
          <cell r="N404">
            <v>0</v>
          </cell>
          <cell r="O404">
            <v>-49150.51</v>
          </cell>
          <cell r="Q404">
            <v>-127.13000000000466</v>
          </cell>
        </row>
        <row r="405">
          <cell r="A405" t="str">
            <v>F83500G</v>
          </cell>
          <cell r="B405" t="str">
            <v>MAINTENANCE OF MEASURING AND REGULATING STATION EQ</v>
          </cell>
          <cell r="D405">
            <v>12.5</v>
          </cell>
          <cell r="H405">
            <v>5.04</v>
          </cell>
          <cell r="I405">
            <v>8.1</v>
          </cell>
          <cell r="N405">
            <v>0</v>
          </cell>
          <cell r="O405">
            <v>0</v>
          </cell>
          <cell r="Q405">
            <v>25.64</v>
          </cell>
        </row>
        <row r="406">
          <cell r="A406" t="str">
            <v>F83700G</v>
          </cell>
          <cell r="B406" t="str">
            <v>MAINTENANCE OF OTHER EQUIPMENT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F84000C</v>
          </cell>
          <cell r="B407" t="str">
            <v>OPERATION SUPERVISION AND ENGINEERING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F84000G</v>
          </cell>
          <cell r="B408" t="str">
            <v>OPERATION SUPERVISION AND ENGINEERING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F84100G</v>
          </cell>
          <cell r="B409" t="str">
            <v>OPERATION LABOR AND EXPNESES</v>
          </cell>
          <cell r="D409">
            <v>4045.33</v>
          </cell>
          <cell r="E409">
            <v>2873.57</v>
          </cell>
          <cell r="F409">
            <v>2695.54</v>
          </cell>
          <cell r="G409">
            <v>4156.74</v>
          </cell>
          <cell r="H409">
            <v>1867.59</v>
          </cell>
          <cell r="I409">
            <v>857.06</v>
          </cell>
          <cell r="J409">
            <v>660.41</v>
          </cell>
          <cell r="K409">
            <v>279.93</v>
          </cell>
          <cell r="L409">
            <v>2502.6</v>
          </cell>
          <cell r="M409">
            <v>1766.48</v>
          </cell>
          <cell r="N409">
            <v>859.35</v>
          </cell>
          <cell r="O409">
            <v>2217.11</v>
          </cell>
          <cell r="Q409">
            <v>24781.709999999995</v>
          </cell>
        </row>
        <row r="410">
          <cell r="A410" t="str">
            <v>F84170G</v>
          </cell>
          <cell r="B410" t="str">
            <v>OPERATION LABOR AND EXPNESES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F84310G</v>
          </cell>
          <cell r="B411" t="str">
            <v>MAINTENANCE SUPERVISION AND ENGINEERING</v>
          </cell>
          <cell r="D411">
            <v>208.51</v>
          </cell>
          <cell r="E411">
            <v>196.8</v>
          </cell>
          <cell r="F411">
            <v>209.9</v>
          </cell>
          <cell r="G411">
            <v>201.35</v>
          </cell>
          <cell r="H411">
            <v>234.8</v>
          </cell>
          <cell r="I411">
            <v>219.22</v>
          </cell>
          <cell r="N411">
            <v>0</v>
          </cell>
          <cell r="O411">
            <v>0</v>
          </cell>
          <cell r="Q411">
            <v>1270.5800000000002</v>
          </cell>
        </row>
        <row r="412">
          <cell r="A412" t="str">
            <v>F84320G</v>
          </cell>
          <cell r="B412" t="str">
            <v>MAINTENANCE OF STRUCTURES AND IMPROVEME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F84330G</v>
          </cell>
          <cell r="B413" t="str">
            <v>MAINTENANCE OF GAS HOLDERS</v>
          </cell>
          <cell r="I413">
            <v>0</v>
          </cell>
          <cell r="N413">
            <v>0</v>
          </cell>
          <cell r="O413">
            <v>0</v>
          </cell>
          <cell r="Q413">
            <v>0</v>
          </cell>
        </row>
        <row r="414">
          <cell r="A414" t="str">
            <v>F84370G</v>
          </cell>
          <cell r="B414" t="str">
            <v>MAINTENANCE OF COMPRESSOR EQUIPMENT</v>
          </cell>
          <cell r="I414">
            <v>0</v>
          </cell>
          <cell r="N414">
            <v>0</v>
          </cell>
          <cell r="O414">
            <v>0</v>
          </cell>
          <cell r="Q414">
            <v>0</v>
          </cell>
        </row>
        <row r="415">
          <cell r="A415" t="str">
            <v>F84380G</v>
          </cell>
          <cell r="B415" t="str">
            <v>MAINTENANCE OF MEASURING AND REGULATING</v>
          </cell>
          <cell r="I415">
            <v>0</v>
          </cell>
          <cell r="N415">
            <v>0</v>
          </cell>
          <cell r="O415">
            <v>0</v>
          </cell>
          <cell r="Q415">
            <v>0</v>
          </cell>
        </row>
        <row r="416">
          <cell r="A416" t="str">
            <v>F84390G</v>
          </cell>
          <cell r="B416" t="str">
            <v>MAINTENANCE OF OTHER EQUIPMENT</v>
          </cell>
          <cell r="I416">
            <v>0</v>
          </cell>
          <cell r="N416">
            <v>0</v>
          </cell>
          <cell r="O416">
            <v>0</v>
          </cell>
          <cell r="Q416">
            <v>0</v>
          </cell>
        </row>
        <row r="417">
          <cell r="A417" t="str">
            <v>F85000G</v>
          </cell>
          <cell r="B417" t="str">
            <v>OPERATION SUPERVISION AND ENGINEERING</v>
          </cell>
          <cell r="D417">
            <v>3160.97</v>
          </cell>
          <cell r="E417">
            <v>7624.61</v>
          </cell>
          <cell r="F417">
            <v>5257.92</v>
          </cell>
          <cell r="G417">
            <v>4834.8900000000003</v>
          </cell>
          <cell r="H417">
            <v>5635.41</v>
          </cell>
          <cell r="I417">
            <v>1980.18</v>
          </cell>
          <cell r="J417">
            <v>2569.85</v>
          </cell>
          <cell r="K417">
            <v>4081.64</v>
          </cell>
          <cell r="L417">
            <v>4463.16</v>
          </cell>
          <cell r="M417">
            <v>51949.31</v>
          </cell>
          <cell r="N417">
            <v>4517.32</v>
          </cell>
          <cell r="O417">
            <v>-42170.99</v>
          </cell>
          <cell r="Q417">
            <v>53904.270000000011</v>
          </cell>
        </row>
        <row r="418">
          <cell r="A418" t="str">
            <v>F85010G</v>
          </cell>
          <cell r="B418" t="str">
            <v>OPERATION SUPERVISION AND ENGINEERING</v>
          </cell>
          <cell r="D418">
            <v>35755.129999999997</v>
          </cell>
          <cell r="E418">
            <v>30178.68</v>
          </cell>
          <cell r="F418">
            <v>34664.519999999997</v>
          </cell>
          <cell r="G418">
            <v>47426.59</v>
          </cell>
          <cell r="H418">
            <v>36192.29</v>
          </cell>
          <cell r="I418">
            <v>33583.86</v>
          </cell>
          <cell r="J418">
            <v>49464.7</v>
          </cell>
          <cell r="K418">
            <v>37720.67</v>
          </cell>
          <cell r="L418">
            <v>13742.86</v>
          </cell>
          <cell r="M418">
            <v>51873.39</v>
          </cell>
          <cell r="N418">
            <v>28056.54</v>
          </cell>
          <cell r="O418">
            <v>38221.54</v>
          </cell>
          <cell r="Q418">
            <v>436880.76999999996</v>
          </cell>
        </row>
        <row r="419">
          <cell r="A419" t="str">
            <v>F85020G</v>
          </cell>
          <cell r="B419" t="str">
            <v>OPERATION SUPERVISIO</v>
          </cell>
          <cell r="D419">
            <v>13002.69</v>
          </cell>
          <cell r="E419">
            <v>12171.03</v>
          </cell>
          <cell r="F419">
            <v>12710.62</v>
          </cell>
          <cell r="G419">
            <v>12500.96</v>
          </cell>
          <cell r="H419">
            <v>13040.47</v>
          </cell>
          <cell r="I419">
            <v>9974.2000000000007</v>
          </cell>
          <cell r="J419">
            <v>13276.8</v>
          </cell>
          <cell r="K419">
            <v>11644.32</v>
          </cell>
          <cell r="L419">
            <v>9271.86</v>
          </cell>
          <cell r="M419">
            <v>13555.01</v>
          </cell>
          <cell r="N419">
            <v>11434.5</v>
          </cell>
          <cell r="O419">
            <v>10499.09</v>
          </cell>
          <cell r="Q419">
            <v>143081.54999999999</v>
          </cell>
        </row>
        <row r="420">
          <cell r="A420" t="str">
            <v>F85100G</v>
          </cell>
          <cell r="B420" t="str">
            <v>SYSTEM CONTROL AND LOAD DISPATCHING</v>
          </cell>
          <cell r="D420">
            <v>35118.14</v>
          </cell>
          <cell r="E420">
            <v>36542.32</v>
          </cell>
          <cell r="F420">
            <v>23331.86</v>
          </cell>
          <cell r="G420">
            <v>26552.76</v>
          </cell>
          <cell r="H420">
            <v>40703.339999999997</v>
          </cell>
          <cell r="I420">
            <v>26389.16</v>
          </cell>
          <cell r="J420">
            <v>40359.800000000003</v>
          </cell>
          <cell r="K420">
            <v>45515.839999999997</v>
          </cell>
          <cell r="L420">
            <v>85123.93</v>
          </cell>
          <cell r="M420">
            <v>4201.2299999999996</v>
          </cell>
          <cell r="N420">
            <v>39711.42</v>
          </cell>
          <cell r="O420">
            <v>39967.65</v>
          </cell>
          <cell r="Q420">
            <v>443517.44999999995</v>
          </cell>
        </row>
        <row r="421">
          <cell r="A421" t="str">
            <v>F85200G</v>
          </cell>
          <cell r="B421" t="str">
            <v>COMMUNICATION SYSTEM EXPENSES</v>
          </cell>
          <cell r="G421">
            <v>73.86</v>
          </cell>
          <cell r="I421">
            <v>0</v>
          </cell>
          <cell r="N421">
            <v>0</v>
          </cell>
          <cell r="O421">
            <v>0</v>
          </cell>
          <cell r="Q421">
            <v>73.86</v>
          </cell>
        </row>
        <row r="422">
          <cell r="A422" t="str">
            <v>F85300G</v>
          </cell>
          <cell r="B422" t="str">
            <v>COMPRESSOR STATION LABOR AND EXPENSES</v>
          </cell>
          <cell r="D422">
            <v>32280.82</v>
          </cell>
          <cell r="E422">
            <v>13837.53</v>
          </cell>
          <cell r="F422">
            <v>27241.56</v>
          </cell>
          <cell r="G422">
            <v>22331.66</v>
          </cell>
          <cell r="H422">
            <v>45755.44</v>
          </cell>
          <cell r="I422">
            <v>38269.57</v>
          </cell>
          <cell r="J422">
            <v>37603.839999999997</v>
          </cell>
          <cell r="K422">
            <v>28246.07</v>
          </cell>
          <cell r="L422">
            <v>32808.660000000003</v>
          </cell>
          <cell r="M422">
            <v>15507.97</v>
          </cell>
          <cell r="N422">
            <v>39880.379999999997</v>
          </cell>
          <cell r="O422">
            <v>40687.85</v>
          </cell>
          <cell r="Q422">
            <v>374451.35</v>
          </cell>
        </row>
        <row r="423">
          <cell r="A423" t="str">
            <v>F85310G</v>
          </cell>
          <cell r="B423" t="str">
            <v>COMPRESSOR STATION LABOR AND EXPENSES</v>
          </cell>
          <cell r="D423">
            <v>65253.77</v>
          </cell>
          <cell r="E423">
            <v>61595.01</v>
          </cell>
          <cell r="F423">
            <v>54868.49</v>
          </cell>
          <cell r="G423">
            <v>60797.43</v>
          </cell>
          <cell r="H423">
            <v>58889.74</v>
          </cell>
          <cell r="I423">
            <v>45516.38</v>
          </cell>
          <cell r="J423">
            <v>55069.38</v>
          </cell>
          <cell r="K423">
            <v>55579.54</v>
          </cell>
          <cell r="L423">
            <v>44351.93</v>
          </cell>
          <cell r="M423">
            <v>56490.57</v>
          </cell>
          <cell r="N423">
            <v>53162.73</v>
          </cell>
          <cell r="O423">
            <v>50167.39</v>
          </cell>
          <cell r="Q423">
            <v>661742.36</v>
          </cell>
        </row>
        <row r="424">
          <cell r="A424" t="str">
            <v>F85320G</v>
          </cell>
          <cell r="B424" t="str">
            <v>COMPRESSOR STATION LABOR AND EXPENSES</v>
          </cell>
          <cell r="D424">
            <v>18985.18</v>
          </cell>
          <cell r="E424">
            <v>17476.04</v>
          </cell>
          <cell r="F424">
            <v>8609.76</v>
          </cell>
          <cell r="G424">
            <v>4277.54</v>
          </cell>
          <cell r="H424">
            <v>8267.99</v>
          </cell>
          <cell r="I424">
            <v>3925.68</v>
          </cell>
          <cell r="J424">
            <v>6071.26</v>
          </cell>
          <cell r="K424">
            <v>5588.22</v>
          </cell>
          <cell r="L424">
            <v>5051.13</v>
          </cell>
          <cell r="M424">
            <v>7958.97</v>
          </cell>
          <cell r="N424">
            <v>14761.52</v>
          </cell>
          <cell r="O424">
            <v>9160.2800000000007</v>
          </cell>
          <cell r="Q424">
            <v>110133.57</v>
          </cell>
        </row>
        <row r="425">
          <cell r="A425" t="str">
            <v>F85400G</v>
          </cell>
          <cell r="B425" t="str">
            <v>GAS FOR COMPRESSOR STATION FUEL</v>
          </cell>
          <cell r="D425">
            <v>1343684</v>
          </cell>
          <cell r="E425">
            <v>858770</v>
          </cell>
          <cell r="F425">
            <v>704643</v>
          </cell>
          <cell r="G425">
            <v>512333</v>
          </cell>
          <cell r="H425">
            <v>506093</v>
          </cell>
          <cell r="I425">
            <v>179809</v>
          </cell>
          <cell r="J425">
            <v>93932</v>
          </cell>
          <cell r="K425">
            <v>12647</v>
          </cell>
          <cell r="L425">
            <v>136544</v>
          </cell>
          <cell r="M425">
            <v>7743</v>
          </cell>
          <cell r="N425">
            <v>54983</v>
          </cell>
          <cell r="O425">
            <v>132178.82999999999</v>
          </cell>
          <cell r="Q425">
            <v>4543359.83</v>
          </cell>
        </row>
        <row r="426">
          <cell r="A426" t="str">
            <v>F85500G</v>
          </cell>
          <cell r="B426" t="str">
            <v>OTHER FUEL AND POWER FOR COMPRESSOR STA</v>
          </cell>
          <cell r="I426">
            <v>0</v>
          </cell>
          <cell r="N426">
            <v>0</v>
          </cell>
          <cell r="O426">
            <v>0</v>
          </cell>
          <cell r="Q426">
            <v>0</v>
          </cell>
        </row>
        <row r="427">
          <cell r="A427" t="str">
            <v>F85510G</v>
          </cell>
          <cell r="B427" t="str">
            <v>OTHER FUEL AND POWER FOR COMPRESSOR STATIONS</v>
          </cell>
          <cell r="D427">
            <v>28052.6</v>
          </cell>
          <cell r="E427">
            <v>52.56</v>
          </cell>
          <cell r="F427">
            <v>31869.88</v>
          </cell>
          <cell r="G427">
            <v>12668.18</v>
          </cell>
          <cell r="H427">
            <v>13487.11</v>
          </cell>
          <cell r="I427">
            <v>17183.87</v>
          </cell>
          <cell r="K427">
            <v>41025.279999999999</v>
          </cell>
          <cell r="M427">
            <v>32067.439999999999</v>
          </cell>
          <cell r="N427">
            <v>13683.23</v>
          </cell>
          <cell r="O427">
            <v>0</v>
          </cell>
          <cell r="Q427">
            <v>190090.15</v>
          </cell>
        </row>
        <row r="428">
          <cell r="A428" t="str">
            <v>F85600G</v>
          </cell>
          <cell r="B428" t="str">
            <v>MAINS EXPENSES</v>
          </cell>
          <cell r="D428">
            <v>18200.29</v>
          </cell>
          <cell r="E428">
            <v>6928.29</v>
          </cell>
          <cell r="F428">
            <v>6741.14</v>
          </cell>
          <cell r="G428">
            <v>5413.68</v>
          </cell>
          <cell r="H428">
            <v>5285.44</v>
          </cell>
          <cell r="I428">
            <v>4663.8500000000004</v>
          </cell>
          <cell r="J428">
            <v>6130.52</v>
          </cell>
          <cell r="K428">
            <v>3807.37</v>
          </cell>
          <cell r="L428">
            <v>4394.49</v>
          </cell>
          <cell r="M428">
            <v>18491.21</v>
          </cell>
          <cell r="N428">
            <v>6468.21</v>
          </cell>
          <cell r="O428">
            <v>53099.62</v>
          </cell>
          <cell r="Q428">
            <v>139624.11000000002</v>
          </cell>
        </row>
        <row r="429">
          <cell r="A429" t="str">
            <v>F85610G</v>
          </cell>
          <cell r="B429" t="str">
            <v>MAINS EXPENSES</v>
          </cell>
          <cell r="D429">
            <v>14675.08</v>
          </cell>
          <cell r="E429">
            <v>12141.08</v>
          </cell>
          <cell r="F429">
            <v>10277.700000000001</v>
          </cell>
          <cell r="G429">
            <v>11983.88</v>
          </cell>
          <cell r="H429">
            <v>17108.900000000001</v>
          </cell>
          <cell r="I429">
            <v>12974.23</v>
          </cell>
          <cell r="J429">
            <v>19924.43</v>
          </cell>
          <cell r="K429">
            <v>26685.64</v>
          </cell>
          <cell r="L429">
            <v>10171.209999999999</v>
          </cell>
          <cell r="M429">
            <v>18008.79</v>
          </cell>
          <cell r="N429">
            <v>16451.849999999999</v>
          </cell>
          <cell r="O429">
            <v>1582.58</v>
          </cell>
          <cell r="Q429">
            <v>171985.37</v>
          </cell>
        </row>
        <row r="430">
          <cell r="A430" t="str">
            <v>F85620G</v>
          </cell>
          <cell r="B430" t="str">
            <v>TRANS PIPE OPER SJOAQ VLY&amp;WHLR RDGE</v>
          </cell>
          <cell r="D430">
            <v>23638.97</v>
          </cell>
          <cell r="E430">
            <v>19282</v>
          </cell>
          <cell r="F430">
            <v>22297.98</v>
          </cell>
          <cell r="G430">
            <v>24723.89</v>
          </cell>
          <cell r="H430">
            <v>34160.410000000003</v>
          </cell>
          <cell r="I430">
            <v>22150.33</v>
          </cell>
          <cell r="J430">
            <v>25768.58</v>
          </cell>
          <cell r="K430">
            <v>26082.46</v>
          </cell>
          <cell r="L430">
            <v>9821.9699999999993</v>
          </cell>
          <cell r="M430">
            <v>22664.54</v>
          </cell>
          <cell r="N430">
            <v>33051.440000000002</v>
          </cell>
          <cell r="O430">
            <v>2048.61</v>
          </cell>
          <cell r="Q430">
            <v>265691.18000000005</v>
          </cell>
        </row>
        <row r="431">
          <cell r="A431" t="str">
            <v>F85660G</v>
          </cell>
          <cell r="B431" t="str">
            <v>TRANS PIPE OPER ADELANTO SYSTEM</v>
          </cell>
          <cell r="D431">
            <v>13390.38</v>
          </cell>
          <cell r="E431">
            <v>8489.2000000000007</v>
          </cell>
          <cell r="F431">
            <v>7035.43</v>
          </cell>
          <cell r="G431">
            <v>6187.12</v>
          </cell>
          <cell r="H431">
            <v>7070.37</v>
          </cell>
          <cell r="I431">
            <v>5276.73</v>
          </cell>
          <cell r="J431">
            <v>7239.72</v>
          </cell>
          <cell r="K431">
            <v>6220.42</v>
          </cell>
          <cell r="L431">
            <v>5827.73</v>
          </cell>
          <cell r="M431">
            <v>6719.73</v>
          </cell>
          <cell r="N431">
            <v>6057</v>
          </cell>
          <cell r="O431">
            <v>486.23</v>
          </cell>
          <cell r="Q431">
            <v>80000.06</v>
          </cell>
        </row>
        <row r="432">
          <cell r="A432" t="str">
            <v>F85700G</v>
          </cell>
          <cell r="B432" t="str">
            <v>MEASURING AND REGULATING STATION EXPENSES</v>
          </cell>
          <cell r="D432">
            <v>14218.04</v>
          </cell>
          <cell r="E432">
            <v>9682.58</v>
          </cell>
          <cell r="F432">
            <v>14643.8</v>
          </cell>
          <cell r="G432">
            <v>14767.3</v>
          </cell>
          <cell r="H432">
            <v>13726.76</v>
          </cell>
          <cell r="I432">
            <v>10215.9</v>
          </cell>
          <cell r="J432">
            <v>16382.35</v>
          </cell>
          <cell r="K432">
            <v>12527.85</v>
          </cell>
          <cell r="L432">
            <v>24715.45</v>
          </cell>
          <cell r="M432">
            <v>18463.73</v>
          </cell>
          <cell r="N432">
            <v>21212.52</v>
          </cell>
          <cell r="O432">
            <v>18558.04</v>
          </cell>
          <cell r="Q432">
            <v>189114.32</v>
          </cell>
        </row>
        <row r="433">
          <cell r="A433" t="str">
            <v>F85800G</v>
          </cell>
          <cell r="B433" t="str">
            <v>TRANSMISSION AND COMPRESSION OF GAS BY OTHERS</v>
          </cell>
          <cell r="I433">
            <v>135.11000000000001</v>
          </cell>
          <cell r="N433">
            <v>0</v>
          </cell>
          <cell r="O433">
            <v>0</v>
          </cell>
          <cell r="Q433">
            <v>135.11000000000001</v>
          </cell>
        </row>
        <row r="434">
          <cell r="A434" t="str">
            <v>F85900G</v>
          </cell>
          <cell r="B434" t="str">
            <v>OTHER EXPENSES</v>
          </cell>
          <cell r="D434">
            <v>577768.93999999994</v>
          </cell>
          <cell r="E434">
            <v>1849858.63</v>
          </cell>
          <cell r="F434">
            <v>676342.71</v>
          </cell>
          <cell r="G434">
            <v>1035016.61</v>
          </cell>
          <cell r="H434">
            <v>656636.26</v>
          </cell>
          <cell r="I434">
            <v>890240.9</v>
          </cell>
          <cell r="J434">
            <v>17715.060000000001</v>
          </cell>
          <cell r="K434">
            <v>151589.57</v>
          </cell>
          <cell r="L434">
            <v>30773.94</v>
          </cell>
          <cell r="M434">
            <v>31970.26</v>
          </cell>
          <cell r="N434">
            <v>49200.78</v>
          </cell>
          <cell r="O434">
            <v>231520.37</v>
          </cell>
          <cell r="Q434">
            <v>6198634.0300000003</v>
          </cell>
        </row>
        <row r="435">
          <cell r="A435" t="str">
            <v>F85910G</v>
          </cell>
          <cell r="B435" t="str">
            <v>OTHER EXPENSES</v>
          </cell>
          <cell r="D435">
            <v>2944.44</v>
          </cell>
          <cell r="E435">
            <v>4846.83</v>
          </cell>
          <cell r="F435">
            <v>6987.6</v>
          </cell>
          <cell r="G435">
            <v>8198.34</v>
          </cell>
          <cell r="H435">
            <v>6079.67</v>
          </cell>
          <cell r="I435">
            <v>2191.92</v>
          </cell>
          <cell r="J435">
            <v>2053.15</v>
          </cell>
          <cell r="K435">
            <v>2493.2199999999998</v>
          </cell>
          <cell r="L435">
            <v>2152.71</v>
          </cell>
          <cell r="M435">
            <v>2496.61</v>
          </cell>
          <cell r="N435">
            <v>2192.66</v>
          </cell>
          <cell r="O435">
            <v>3349.88</v>
          </cell>
          <cell r="Q435">
            <v>45987.029999999992</v>
          </cell>
        </row>
        <row r="436">
          <cell r="A436" t="str">
            <v>F85920G</v>
          </cell>
          <cell r="B436" t="str">
            <v>OTHER EXPENSES</v>
          </cell>
          <cell r="D436">
            <v>11343.07</v>
          </cell>
          <cell r="E436">
            <v>5721.81</v>
          </cell>
          <cell r="F436">
            <v>3361.15</v>
          </cell>
          <cell r="G436">
            <v>6360.65</v>
          </cell>
          <cell r="H436">
            <v>7460.67</v>
          </cell>
          <cell r="I436">
            <v>3069.2</v>
          </cell>
          <cell r="J436">
            <v>10009.129999999999</v>
          </cell>
          <cell r="K436">
            <v>11148.63</v>
          </cell>
          <cell r="L436">
            <v>2714.25</v>
          </cell>
          <cell r="M436">
            <v>5983.61</v>
          </cell>
          <cell r="N436">
            <v>-166.83</v>
          </cell>
          <cell r="O436">
            <v>3036.37</v>
          </cell>
          <cell r="Q436">
            <v>70041.709999999977</v>
          </cell>
        </row>
        <row r="437">
          <cell r="A437" t="str">
            <v>F85930G</v>
          </cell>
          <cell r="B437" t="str">
            <v>OTHER EXPENSES</v>
          </cell>
          <cell r="D437">
            <v>8748.61</v>
          </cell>
          <cell r="E437">
            <v>6396.02</v>
          </cell>
          <cell r="F437">
            <v>7119.54</v>
          </cell>
          <cell r="G437">
            <v>7219.5</v>
          </cell>
          <cell r="H437">
            <v>7347.93</v>
          </cell>
          <cell r="I437">
            <v>3948.34</v>
          </cell>
          <cell r="J437">
            <v>8123.49</v>
          </cell>
          <cell r="K437">
            <v>14452.09</v>
          </cell>
          <cell r="L437">
            <v>4746.76</v>
          </cell>
          <cell r="M437">
            <v>8127.48</v>
          </cell>
          <cell r="N437">
            <v>20278.03</v>
          </cell>
          <cell r="O437">
            <v>24639.1</v>
          </cell>
          <cell r="Q437">
            <v>121146.88999999998</v>
          </cell>
        </row>
        <row r="438">
          <cell r="A438" t="str">
            <v>F86000G</v>
          </cell>
          <cell r="B438" t="str">
            <v>RENTS</v>
          </cell>
          <cell r="G438">
            <v>100</v>
          </cell>
          <cell r="I438">
            <v>0</v>
          </cell>
          <cell r="J438">
            <v>302.3</v>
          </cell>
          <cell r="L438">
            <v>-106.89</v>
          </cell>
          <cell r="N438">
            <v>0</v>
          </cell>
          <cell r="O438">
            <v>149</v>
          </cell>
          <cell r="Q438">
            <v>444.41</v>
          </cell>
        </row>
        <row r="439">
          <cell r="A439" t="str">
            <v>F86100G</v>
          </cell>
          <cell r="B439" t="str">
            <v>MAINTENANCE SUPERVISION AND ENGINEERING</v>
          </cell>
          <cell r="D439">
            <v>120.57</v>
          </cell>
          <cell r="E439">
            <v>291.24</v>
          </cell>
          <cell r="F439">
            <v>471.69</v>
          </cell>
          <cell r="G439">
            <v>516.38</v>
          </cell>
          <cell r="H439">
            <v>63.93</v>
          </cell>
          <cell r="I439">
            <v>301.47000000000003</v>
          </cell>
          <cell r="J439">
            <v>414.61</v>
          </cell>
          <cell r="K439">
            <v>318.75</v>
          </cell>
          <cell r="L439">
            <v>290.33</v>
          </cell>
          <cell r="M439">
            <v>324.88</v>
          </cell>
          <cell r="N439">
            <v>307.47000000000003</v>
          </cell>
          <cell r="O439">
            <v>571.09</v>
          </cell>
          <cell r="Q439">
            <v>3992.4100000000008</v>
          </cell>
        </row>
        <row r="440">
          <cell r="A440" t="str">
            <v>F86110G</v>
          </cell>
          <cell r="B440" t="str">
            <v>MAINTENANCE SUPERVISION AND ENGINEERING</v>
          </cell>
          <cell r="D440">
            <v>6517.82</v>
          </cell>
          <cell r="E440">
            <v>6164.59</v>
          </cell>
          <cell r="F440">
            <v>7037.84</v>
          </cell>
          <cell r="G440">
            <v>6042.71</v>
          </cell>
          <cell r="H440">
            <v>7857.17</v>
          </cell>
          <cell r="I440">
            <v>5837.85</v>
          </cell>
          <cell r="J440">
            <v>2128.61</v>
          </cell>
          <cell r="K440">
            <v>6231.92</v>
          </cell>
          <cell r="L440">
            <v>6019.91</v>
          </cell>
          <cell r="M440">
            <v>9093.84</v>
          </cell>
          <cell r="N440">
            <v>6440.51</v>
          </cell>
          <cell r="O440">
            <v>7001.79</v>
          </cell>
          <cell r="Q440">
            <v>76374.559999999983</v>
          </cell>
        </row>
        <row r="441">
          <cell r="A441" t="str">
            <v>F86120G</v>
          </cell>
          <cell r="B441" t="str">
            <v>MAINTENANCE SUPERVISION AND ENGINEERING</v>
          </cell>
          <cell r="D441">
            <v>69.42</v>
          </cell>
          <cell r="E441">
            <v>65.599999999999994</v>
          </cell>
          <cell r="F441">
            <v>70</v>
          </cell>
          <cell r="G441">
            <v>67.2</v>
          </cell>
          <cell r="H441">
            <v>78.400000000000006</v>
          </cell>
          <cell r="I441">
            <v>56.03</v>
          </cell>
          <cell r="J441">
            <v>85.8</v>
          </cell>
          <cell r="K441">
            <v>63.47</v>
          </cell>
          <cell r="L441">
            <v>60.7</v>
          </cell>
          <cell r="M441">
            <v>104.9</v>
          </cell>
          <cell r="N441">
            <v>71.400000000000006</v>
          </cell>
          <cell r="O441">
            <v>67.2</v>
          </cell>
          <cell r="Q441">
            <v>860.12</v>
          </cell>
        </row>
        <row r="442">
          <cell r="A442" t="str">
            <v>F86200G</v>
          </cell>
          <cell r="B442" t="str">
            <v>MAINTENANCE OF STRUCTURES AND IMPROVEME</v>
          </cell>
          <cell r="I442">
            <v>0</v>
          </cell>
          <cell r="N442">
            <v>0</v>
          </cell>
          <cell r="O442">
            <v>0</v>
          </cell>
          <cell r="Q442">
            <v>0</v>
          </cell>
        </row>
        <row r="443">
          <cell r="A443" t="str">
            <v>F86300G</v>
          </cell>
          <cell r="B443" t="str">
            <v>MAINTENANCE OF MAINS</v>
          </cell>
          <cell r="D443">
            <v>4362.58</v>
          </cell>
          <cell r="E443">
            <v>686.74</v>
          </cell>
          <cell r="F443">
            <v>2279.15</v>
          </cell>
          <cell r="G443">
            <v>467.24</v>
          </cell>
          <cell r="H443">
            <v>1089.68</v>
          </cell>
          <cell r="I443">
            <v>342.77</v>
          </cell>
          <cell r="J443">
            <v>8333.8799999999992</v>
          </cell>
          <cell r="K443">
            <v>951.14</v>
          </cell>
          <cell r="L443">
            <v>52.98</v>
          </cell>
          <cell r="M443">
            <v>597.22</v>
          </cell>
          <cell r="N443">
            <v>946.69</v>
          </cell>
          <cell r="O443">
            <v>2799.85</v>
          </cell>
          <cell r="Q443">
            <v>22909.919999999998</v>
          </cell>
        </row>
        <row r="444">
          <cell r="A444" t="str">
            <v>F86310G</v>
          </cell>
          <cell r="B444" t="str">
            <v>MAINTENANCE OF MAINS</v>
          </cell>
          <cell r="D444">
            <v>10038.629999999999</v>
          </cell>
          <cell r="E444">
            <v>7818.85</v>
          </cell>
          <cell r="F444">
            <v>7069.13</v>
          </cell>
          <cell r="G444">
            <v>8251.2000000000007</v>
          </cell>
          <cell r="H444">
            <v>13373.57</v>
          </cell>
          <cell r="I444">
            <v>3823.47</v>
          </cell>
          <cell r="J444">
            <v>5612.56</v>
          </cell>
          <cell r="K444">
            <v>14615.7</v>
          </cell>
          <cell r="L444">
            <v>8730.84</v>
          </cell>
          <cell r="M444">
            <v>11119.88</v>
          </cell>
          <cell r="N444">
            <v>15831.72</v>
          </cell>
          <cell r="O444">
            <v>12696.23</v>
          </cell>
          <cell r="Q444">
            <v>118981.78</v>
          </cell>
        </row>
        <row r="445">
          <cell r="A445" t="str">
            <v>F86400G</v>
          </cell>
          <cell r="B445" t="str">
            <v>MAINTENANCE OF COMPRESSOR STATION EQUIPMENT</v>
          </cell>
          <cell r="D445">
            <v>35996.550000000003</v>
          </cell>
          <cell r="E445">
            <v>32824.58</v>
          </cell>
          <cell r="F445">
            <v>104254.91</v>
          </cell>
          <cell r="G445">
            <v>73520.149999999994</v>
          </cell>
          <cell r="H445">
            <v>105763.91</v>
          </cell>
          <cell r="I445">
            <v>64638.23</v>
          </cell>
          <cell r="J445">
            <v>64307.27</v>
          </cell>
          <cell r="K445">
            <v>33495.07</v>
          </cell>
          <cell r="L445">
            <v>59180.44</v>
          </cell>
          <cell r="M445">
            <v>31449.23</v>
          </cell>
          <cell r="N445">
            <v>21411</v>
          </cell>
          <cell r="O445">
            <v>47514.07</v>
          </cell>
          <cell r="Q445">
            <v>674355.40999999992</v>
          </cell>
        </row>
        <row r="446">
          <cell r="A446" t="str">
            <v>F86410G</v>
          </cell>
          <cell r="B446" t="str">
            <v>MAINTENANCE OF COMPRESSOR STATION EQUIPMENT</v>
          </cell>
          <cell r="D446">
            <v>6890.96</v>
          </cell>
          <cell r="E446">
            <v>5165.99</v>
          </cell>
          <cell r="F446">
            <v>8687.67</v>
          </cell>
          <cell r="G446">
            <v>9168.5499999999993</v>
          </cell>
          <cell r="H446">
            <v>9156.18</v>
          </cell>
          <cell r="I446">
            <v>5985.61</v>
          </cell>
          <cell r="J446">
            <v>7581.59</v>
          </cell>
          <cell r="K446">
            <v>7972.3</v>
          </cell>
          <cell r="L446">
            <v>8494.68</v>
          </cell>
          <cell r="M446">
            <v>9674</v>
          </cell>
          <cell r="N446">
            <v>5567.11</v>
          </cell>
          <cell r="O446">
            <v>6142.11</v>
          </cell>
          <cell r="Q446">
            <v>90486.75</v>
          </cell>
        </row>
        <row r="447">
          <cell r="A447" t="str">
            <v>F86420G</v>
          </cell>
          <cell r="B447" t="str">
            <v>MAINTENANCE OF COMPRESSOR STATION EQUIPMENT</v>
          </cell>
          <cell r="D447">
            <v>1151.1300000000001</v>
          </cell>
          <cell r="E447">
            <v>734.48</v>
          </cell>
          <cell r="F447">
            <v>1106.18</v>
          </cell>
          <cell r="G447">
            <v>1031.28</v>
          </cell>
          <cell r="H447">
            <v>1320.13</v>
          </cell>
          <cell r="I447">
            <v>1021.39</v>
          </cell>
          <cell r="J447">
            <v>1284.3800000000001</v>
          </cell>
          <cell r="K447">
            <v>1365.92</v>
          </cell>
          <cell r="L447">
            <v>1038.0899999999999</v>
          </cell>
          <cell r="M447">
            <v>2287.14</v>
          </cell>
          <cell r="N447">
            <v>1392.06</v>
          </cell>
          <cell r="O447">
            <v>1791.78</v>
          </cell>
          <cell r="Q447">
            <v>15523.96</v>
          </cell>
        </row>
        <row r="448">
          <cell r="A448" t="str">
            <v>F86500G</v>
          </cell>
          <cell r="B448" t="str">
            <v>MAINTENANCE OF MEASURING AND REG. STATION EQUIPMEN</v>
          </cell>
          <cell r="D448">
            <v>5320.79</v>
          </cell>
          <cell r="E448">
            <v>3423.05</v>
          </cell>
          <cell r="F448">
            <v>5962.45</v>
          </cell>
          <cell r="G448">
            <v>5135.99</v>
          </cell>
          <cell r="H448">
            <v>3547.02</v>
          </cell>
          <cell r="I448">
            <v>5230.57</v>
          </cell>
          <cell r="J448">
            <v>4980.32</v>
          </cell>
          <cell r="K448">
            <v>6690.3</v>
          </cell>
          <cell r="L448">
            <v>3941.62</v>
          </cell>
          <cell r="M448">
            <v>15991.5</v>
          </cell>
          <cell r="N448">
            <v>8672.94</v>
          </cell>
          <cell r="O448">
            <v>37101.78</v>
          </cell>
          <cell r="Q448">
            <v>105998.33</v>
          </cell>
        </row>
        <row r="449">
          <cell r="A449" t="str">
            <v>F86700G</v>
          </cell>
          <cell r="B449" t="str">
            <v>MAINTENANCE OF OTHER EQUIPMENT</v>
          </cell>
          <cell r="G449">
            <v>31.67</v>
          </cell>
          <cell r="I449">
            <v>0</v>
          </cell>
          <cell r="K449">
            <v>2517.0500000000002</v>
          </cell>
          <cell r="L449">
            <v>-1376.19</v>
          </cell>
          <cell r="M449">
            <v>1720</v>
          </cell>
          <cell r="N449">
            <v>11751.38</v>
          </cell>
          <cell r="O449">
            <v>2218.96</v>
          </cell>
          <cell r="Q449">
            <v>16862.87</v>
          </cell>
        </row>
        <row r="450">
          <cell r="A450" t="str">
            <v>F87000G</v>
          </cell>
          <cell r="B450" t="str">
            <v>OPERATION SUPERVISION AND ENGINEERING</v>
          </cell>
          <cell r="D450">
            <v>9002.11</v>
          </cell>
          <cell r="E450">
            <v>9372.81</v>
          </cell>
          <cell r="F450">
            <v>45215.040000000001</v>
          </cell>
          <cell r="G450">
            <v>4827.29</v>
          </cell>
          <cell r="H450">
            <v>6690.6</v>
          </cell>
          <cell r="I450">
            <v>2006.46</v>
          </cell>
          <cell r="J450">
            <v>10685.02</v>
          </cell>
          <cell r="K450">
            <v>5772.25</v>
          </cell>
          <cell r="L450">
            <v>4689.91</v>
          </cell>
          <cell r="M450">
            <v>10279.32</v>
          </cell>
          <cell r="N450">
            <v>28570.1</v>
          </cell>
          <cell r="O450">
            <v>-28247.599999999999</v>
          </cell>
          <cell r="Q450">
            <v>108863.31000000003</v>
          </cell>
        </row>
        <row r="451">
          <cell r="A451" t="str">
            <v>F87010G</v>
          </cell>
          <cell r="B451" t="str">
            <v>OPERATION SUPERVISIO</v>
          </cell>
          <cell r="D451">
            <v>166693.18</v>
          </cell>
          <cell r="E451">
            <v>140929.28</v>
          </cell>
          <cell r="F451">
            <v>158377.09</v>
          </cell>
          <cell r="G451">
            <v>127403.46</v>
          </cell>
          <cell r="H451">
            <v>149342.75</v>
          </cell>
          <cell r="I451">
            <v>135189.76999999999</v>
          </cell>
          <cell r="J451">
            <v>144025.35999999999</v>
          </cell>
          <cell r="K451">
            <v>139071.54999999999</v>
          </cell>
          <cell r="L451">
            <v>130040.09</v>
          </cell>
          <cell r="M451">
            <v>145240.09</v>
          </cell>
          <cell r="N451">
            <v>118814.18</v>
          </cell>
          <cell r="O451">
            <v>128051.47</v>
          </cell>
          <cell r="Q451">
            <v>1683178.27</v>
          </cell>
        </row>
        <row r="452">
          <cell r="A452" t="str">
            <v>F87020G</v>
          </cell>
          <cell r="B452" t="str">
            <v>OPERATION SUPERVISIO</v>
          </cell>
          <cell r="D452">
            <v>74996.350000000006</v>
          </cell>
          <cell r="E452">
            <v>60037.120000000003</v>
          </cell>
          <cell r="F452">
            <v>60518.27</v>
          </cell>
          <cell r="G452">
            <v>48388.78</v>
          </cell>
          <cell r="H452">
            <v>56509.43</v>
          </cell>
          <cell r="I452">
            <v>54002.69</v>
          </cell>
          <cell r="J452">
            <v>58846.23</v>
          </cell>
          <cell r="K452">
            <v>57793.1</v>
          </cell>
          <cell r="L452">
            <v>48747.57</v>
          </cell>
          <cell r="M452">
            <v>65767.070000000007</v>
          </cell>
          <cell r="N452">
            <v>55487.09</v>
          </cell>
          <cell r="O452">
            <v>57661.62</v>
          </cell>
          <cell r="Q452">
            <v>698755.32</v>
          </cell>
        </row>
        <row r="453">
          <cell r="A453" t="str">
            <v>F87100G</v>
          </cell>
          <cell r="B453" t="str">
            <v>DISTRIBUTION LOAD DISPATCHING</v>
          </cell>
          <cell r="D453">
            <v>3785.38</v>
          </cell>
          <cell r="E453">
            <v>2661.65</v>
          </cell>
          <cell r="F453">
            <v>3574.89</v>
          </cell>
          <cell r="G453">
            <v>3431.26</v>
          </cell>
          <cell r="H453">
            <v>2464.9499999999998</v>
          </cell>
          <cell r="I453">
            <v>-7400.58</v>
          </cell>
          <cell r="N453">
            <v>203.81</v>
          </cell>
          <cell r="O453">
            <v>3</v>
          </cell>
          <cell r="Q453">
            <v>8724.36</v>
          </cell>
        </row>
        <row r="454">
          <cell r="A454" t="str">
            <v>F87200C</v>
          </cell>
          <cell r="B454" t="str">
            <v>COMPRESSOR STATION LABOR AND EXPENSES</v>
          </cell>
          <cell r="E454">
            <v>1489.94</v>
          </cell>
          <cell r="F454">
            <v>739.2</v>
          </cell>
          <cell r="H454">
            <v>1318.83</v>
          </cell>
          <cell r="I454">
            <v>0</v>
          </cell>
          <cell r="J454">
            <v>1554.7</v>
          </cell>
          <cell r="K454">
            <v>-373.61</v>
          </cell>
          <cell r="L454">
            <v>560.22</v>
          </cell>
          <cell r="M454">
            <v>486.11</v>
          </cell>
          <cell r="N454">
            <v>0</v>
          </cell>
          <cell r="O454">
            <v>-5775.48</v>
          </cell>
          <cell r="Q454">
            <v>-8.9999999999236024E-2</v>
          </cell>
        </row>
        <row r="455">
          <cell r="A455" t="str">
            <v>F87200G</v>
          </cell>
          <cell r="B455" t="str">
            <v>COMPRESSOR STATION LABOR AND EXPENSES</v>
          </cell>
          <cell r="I455">
            <v>0</v>
          </cell>
          <cell r="N455">
            <v>0</v>
          </cell>
          <cell r="O455">
            <v>6366.24</v>
          </cell>
          <cell r="Q455">
            <v>6366.24</v>
          </cell>
        </row>
        <row r="456">
          <cell r="A456" t="str">
            <v>F87300G</v>
          </cell>
          <cell r="B456" t="str">
            <v>COMPRESSOR STATION FUEL AND POWER</v>
          </cell>
          <cell r="I456">
            <v>0</v>
          </cell>
          <cell r="N456">
            <v>0</v>
          </cell>
          <cell r="O456">
            <v>0</v>
          </cell>
          <cell r="Q456">
            <v>0</v>
          </cell>
        </row>
        <row r="457">
          <cell r="A457" t="str">
            <v>F87400G</v>
          </cell>
          <cell r="B457" t="str">
            <v>MAINS AND SERVICES EXPENSES</v>
          </cell>
          <cell r="D457">
            <v>39549.980000000003</v>
          </cell>
          <cell r="E457">
            <v>40856.03</v>
          </cell>
          <cell r="F457">
            <v>30161.32</v>
          </cell>
          <cell r="G457">
            <v>33742</v>
          </cell>
          <cell r="H457">
            <v>38649.370000000003</v>
          </cell>
          <cell r="I457">
            <v>35986.68</v>
          </cell>
          <cell r="J457">
            <v>36217.89</v>
          </cell>
          <cell r="K457">
            <v>103934.01</v>
          </cell>
          <cell r="L457">
            <v>26545.74</v>
          </cell>
          <cell r="M457">
            <v>26223.33</v>
          </cell>
          <cell r="N457">
            <v>34735.39</v>
          </cell>
          <cell r="O457">
            <v>51072.66</v>
          </cell>
          <cell r="Q457">
            <v>497674.4</v>
          </cell>
        </row>
        <row r="458">
          <cell r="A458" t="str">
            <v>F87410G</v>
          </cell>
          <cell r="B458" t="str">
            <v>MAINS AND SERVICES E</v>
          </cell>
          <cell r="D458">
            <v>47985.47</v>
          </cell>
          <cell r="E458">
            <v>41236.51</v>
          </cell>
          <cell r="F458">
            <v>43590.04</v>
          </cell>
          <cell r="G458">
            <v>44707.17</v>
          </cell>
          <cell r="H458">
            <v>56276.73</v>
          </cell>
          <cell r="I458">
            <v>45455.22</v>
          </cell>
          <cell r="J458">
            <v>53215.66</v>
          </cell>
          <cell r="K458">
            <v>53467.54</v>
          </cell>
          <cell r="L458">
            <v>36422.86</v>
          </cell>
          <cell r="M458">
            <v>62816.06</v>
          </cell>
          <cell r="N458">
            <v>41387.599999999999</v>
          </cell>
          <cell r="O458">
            <v>50543.56</v>
          </cell>
          <cell r="Q458">
            <v>577104.41999999993</v>
          </cell>
        </row>
        <row r="459">
          <cell r="A459" t="str">
            <v>F87430G</v>
          </cell>
          <cell r="B459" t="str">
            <v>MAINS AND SERVICES E</v>
          </cell>
          <cell r="D459">
            <v>82505.95</v>
          </cell>
          <cell r="E459">
            <v>97508.14</v>
          </cell>
          <cell r="F459">
            <v>137227.35</v>
          </cell>
          <cell r="G459">
            <v>92520.83</v>
          </cell>
          <cell r="H459">
            <v>125750.59</v>
          </cell>
          <cell r="I459">
            <v>92688.68</v>
          </cell>
          <cell r="J459">
            <v>136092.07</v>
          </cell>
          <cell r="K459">
            <v>97849.99</v>
          </cell>
          <cell r="L459">
            <v>100010.24000000001</v>
          </cell>
          <cell r="M459">
            <v>147424.78</v>
          </cell>
          <cell r="N459">
            <v>96485.25</v>
          </cell>
          <cell r="O459">
            <v>107764.63</v>
          </cell>
          <cell r="Q459">
            <v>1313828.5</v>
          </cell>
        </row>
        <row r="460">
          <cell r="A460" t="str">
            <v>F87440G</v>
          </cell>
          <cell r="B460" t="str">
            <v>MAINS AND SERVICES E</v>
          </cell>
          <cell r="D460">
            <v>42286.94</v>
          </cell>
          <cell r="E460">
            <v>36969.18</v>
          </cell>
          <cell r="F460">
            <v>37037.43</v>
          </cell>
          <cell r="G460">
            <v>28862.86</v>
          </cell>
          <cell r="H460">
            <v>48948.69</v>
          </cell>
          <cell r="I460">
            <v>21846.38</v>
          </cell>
          <cell r="J460">
            <v>36595.64</v>
          </cell>
          <cell r="K460">
            <v>28872.52</v>
          </cell>
          <cell r="L460">
            <v>29714.48</v>
          </cell>
          <cell r="M460">
            <v>40020.17</v>
          </cell>
          <cell r="N460">
            <v>38669.94</v>
          </cell>
          <cell r="O460">
            <v>27542.36</v>
          </cell>
          <cell r="Q460">
            <v>417366.58999999997</v>
          </cell>
        </row>
        <row r="461">
          <cell r="A461" t="str">
            <v>F87450G</v>
          </cell>
          <cell r="B461" t="str">
            <v>MAINS AND SERVICES E</v>
          </cell>
          <cell r="D461">
            <v>3237.65</v>
          </cell>
          <cell r="E461">
            <v>3170.62</v>
          </cell>
          <cell r="F461">
            <v>1290.01</v>
          </cell>
          <cell r="G461">
            <v>2952.03</v>
          </cell>
          <cell r="H461">
            <v>821.57</v>
          </cell>
          <cell r="I461">
            <v>6132.2</v>
          </cell>
          <cell r="J461">
            <v>2110.8200000000002</v>
          </cell>
          <cell r="K461">
            <v>852.28</v>
          </cell>
          <cell r="L461">
            <v>18024.2</v>
          </cell>
          <cell r="M461">
            <v>11328.08</v>
          </cell>
          <cell r="N461">
            <v>1509.47</v>
          </cell>
          <cell r="O461">
            <v>35523.449999999997</v>
          </cell>
          <cell r="Q461">
            <v>86952.38</v>
          </cell>
        </row>
        <row r="462">
          <cell r="A462" t="str">
            <v>F87500G</v>
          </cell>
          <cell r="B462" t="str">
            <v>MEASURING AND REGULATING STATION EXPENSES-GENERAL</v>
          </cell>
          <cell r="D462">
            <v>34164.93</v>
          </cell>
          <cell r="E462">
            <v>39509.31</v>
          </cell>
          <cell r="F462">
            <v>35383.949999999997</v>
          </cell>
          <cell r="G462">
            <v>29788.51</v>
          </cell>
          <cell r="H462">
            <v>33131.269999999997</v>
          </cell>
          <cell r="I462">
            <v>18774.599999999999</v>
          </cell>
          <cell r="J462">
            <v>28358.81</v>
          </cell>
          <cell r="K462">
            <v>37080.769999999997</v>
          </cell>
          <cell r="L462">
            <v>27786.35</v>
          </cell>
          <cell r="M462">
            <v>58896.06</v>
          </cell>
          <cell r="N462">
            <v>27754.99</v>
          </cell>
          <cell r="O462">
            <v>41432.050000000003</v>
          </cell>
          <cell r="Q462">
            <v>412061.59999999992</v>
          </cell>
        </row>
        <row r="463">
          <cell r="A463" t="str">
            <v>F87800G</v>
          </cell>
          <cell r="B463" t="str">
            <v>METER AND HOUSE REGULATOR EXPENSES</v>
          </cell>
          <cell r="D463">
            <v>45604.22</v>
          </cell>
          <cell r="E463">
            <v>83231.520000000004</v>
          </cell>
          <cell r="F463">
            <v>22757.96</v>
          </cell>
          <cell r="G463">
            <v>56545.64</v>
          </cell>
          <cell r="H463">
            <v>81903.199999999997</v>
          </cell>
          <cell r="I463">
            <v>27555.26</v>
          </cell>
          <cell r="J463">
            <v>121079.51</v>
          </cell>
          <cell r="K463">
            <v>66418.86</v>
          </cell>
          <cell r="L463">
            <v>71991.820000000007</v>
          </cell>
          <cell r="M463">
            <v>52430.17</v>
          </cell>
          <cell r="N463">
            <v>86277.31</v>
          </cell>
          <cell r="O463">
            <v>202801.18</v>
          </cell>
          <cell r="Q463">
            <v>918596.64999999991</v>
          </cell>
        </row>
        <row r="464">
          <cell r="A464" t="str">
            <v>F87810G</v>
          </cell>
          <cell r="B464" t="str">
            <v>METER AND HOUSE REGU</v>
          </cell>
          <cell r="D464">
            <v>18899.560000000001</v>
          </cell>
          <cell r="E464">
            <v>13262.12</v>
          </cell>
          <cell r="F464">
            <v>21428.46</v>
          </cell>
          <cell r="G464">
            <v>13842.04</v>
          </cell>
          <cell r="H464">
            <v>16925.5</v>
          </cell>
          <cell r="I464">
            <v>33448.78</v>
          </cell>
          <cell r="J464">
            <v>11381.72</v>
          </cell>
          <cell r="K464">
            <v>11721.41</v>
          </cell>
          <cell r="L464">
            <v>6832.51</v>
          </cell>
          <cell r="M464">
            <v>12494.9</v>
          </cell>
          <cell r="N464">
            <v>11077.48</v>
          </cell>
          <cell r="O464">
            <v>10308.01</v>
          </cell>
          <cell r="Q464">
            <v>181622.49000000002</v>
          </cell>
        </row>
        <row r="465">
          <cell r="A465" t="str">
            <v>F87820G</v>
          </cell>
          <cell r="B465" t="str">
            <v>METER AND HOUSE REGU</v>
          </cell>
          <cell r="D465">
            <v>123451.16</v>
          </cell>
          <cell r="E465">
            <v>117917.02</v>
          </cell>
          <cell r="F465">
            <v>131361.24</v>
          </cell>
          <cell r="G465">
            <v>129976.46</v>
          </cell>
          <cell r="H465">
            <v>185889.78</v>
          </cell>
          <cell r="I465">
            <v>140502.91</v>
          </cell>
          <cell r="J465">
            <v>170264.83</v>
          </cell>
          <cell r="K465">
            <v>165698.79</v>
          </cell>
          <cell r="L465">
            <v>128826.27</v>
          </cell>
          <cell r="M465">
            <v>149924.35</v>
          </cell>
          <cell r="N465">
            <v>114648.11</v>
          </cell>
          <cell r="O465">
            <v>137621.47</v>
          </cell>
          <cell r="Q465">
            <v>1696082.3900000001</v>
          </cell>
        </row>
        <row r="466">
          <cell r="A466" t="str">
            <v>F87830G</v>
          </cell>
          <cell r="B466" t="str">
            <v>METER AND HOUSE REGU</v>
          </cell>
          <cell r="D466">
            <v>2970.57</v>
          </cell>
          <cell r="E466">
            <v>4283.8</v>
          </cell>
          <cell r="F466">
            <v>4095.88</v>
          </cell>
          <cell r="G466">
            <v>2971.56</v>
          </cell>
          <cell r="H466">
            <v>3716.28</v>
          </cell>
          <cell r="I466">
            <v>1772.64</v>
          </cell>
          <cell r="J466">
            <v>2564.6</v>
          </cell>
          <cell r="K466">
            <v>5848.01</v>
          </cell>
          <cell r="L466">
            <v>2276.5300000000002</v>
          </cell>
          <cell r="M466">
            <v>3621.29</v>
          </cell>
          <cell r="N466">
            <v>2814.06</v>
          </cell>
          <cell r="O466">
            <v>1569.89</v>
          </cell>
          <cell r="Q466">
            <v>38505.109999999993</v>
          </cell>
        </row>
        <row r="467">
          <cell r="A467" t="str">
            <v>F87840G</v>
          </cell>
          <cell r="B467" t="str">
            <v>METER AND HOUSE REGU</v>
          </cell>
          <cell r="D467">
            <v>9735.01</v>
          </cell>
          <cell r="E467">
            <v>15916.61</v>
          </cell>
          <cell r="F467">
            <v>13589.69</v>
          </cell>
          <cell r="G467">
            <v>4862.87</v>
          </cell>
          <cell r="H467">
            <v>12344.74</v>
          </cell>
          <cell r="I467">
            <v>5501.3</v>
          </cell>
          <cell r="J467">
            <v>3493.41</v>
          </cell>
          <cell r="K467">
            <v>2708.4</v>
          </cell>
          <cell r="L467">
            <v>4996.93</v>
          </cell>
          <cell r="M467">
            <v>3687.94</v>
          </cell>
          <cell r="N467">
            <v>6951.14</v>
          </cell>
          <cell r="O467">
            <v>5729.51</v>
          </cell>
          <cell r="Q467">
            <v>89517.549999999988</v>
          </cell>
        </row>
        <row r="468">
          <cell r="A468" t="str">
            <v>F87850G</v>
          </cell>
          <cell r="B468" t="str">
            <v>METER AND HOUSE REGU</v>
          </cell>
          <cell r="D468">
            <v>1883.47</v>
          </cell>
          <cell r="E468">
            <v>1873.06</v>
          </cell>
          <cell r="F468">
            <v>2132.5500000000002</v>
          </cell>
          <cell r="G468">
            <v>1569.22</v>
          </cell>
          <cell r="H468">
            <v>2332.21</v>
          </cell>
          <cell r="I468">
            <v>2195.96</v>
          </cell>
          <cell r="J468">
            <v>2795.95</v>
          </cell>
          <cell r="K468">
            <v>2122.71</v>
          </cell>
          <cell r="L468">
            <v>2296.13</v>
          </cell>
          <cell r="M468">
            <v>2603</v>
          </cell>
          <cell r="N468">
            <v>2847.05</v>
          </cell>
          <cell r="O468">
            <v>3543.99</v>
          </cell>
          <cell r="Q468">
            <v>28195.300000000003</v>
          </cell>
        </row>
        <row r="469">
          <cell r="A469" t="str">
            <v>F87860G</v>
          </cell>
          <cell r="B469" t="str">
            <v>METER AND HOUSE REGU</v>
          </cell>
          <cell r="D469">
            <v>3828.43</v>
          </cell>
          <cell r="E469">
            <v>2822.06</v>
          </cell>
          <cell r="F469">
            <v>89.85</v>
          </cell>
          <cell r="G469">
            <v>347.87</v>
          </cell>
          <cell r="H469">
            <v>1749.16</v>
          </cell>
          <cell r="I469">
            <v>109.34</v>
          </cell>
          <cell r="J469">
            <v>665.01</v>
          </cell>
          <cell r="K469">
            <v>366.81</v>
          </cell>
          <cell r="M469">
            <v>332.71</v>
          </cell>
          <cell r="N469">
            <v>171.81</v>
          </cell>
          <cell r="O469">
            <v>979.97</v>
          </cell>
          <cell r="Q469">
            <v>11463.019999999999</v>
          </cell>
        </row>
        <row r="470">
          <cell r="A470" t="str">
            <v>F87900G</v>
          </cell>
          <cell r="B470" t="str">
            <v>CUSTOMER INSTALLATIONS EXPENSES</v>
          </cell>
          <cell r="D470">
            <v>244881.3</v>
          </cell>
          <cell r="E470">
            <v>191890.44</v>
          </cell>
          <cell r="F470">
            <v>195245.72</v>
          </cell>
          <cell r="G470">
            <v>181646.17</v>
          </cell>
          <cell r="H470">
            <v>247876.13</v>
          </cell>
          <cell r="I470">
            <v>177033.76</v>
          </cell>
          <cell r="J470">
            <v>208477.89</v>
          </cell>
          <cell r="K470">
            <v>178331.24</v>
          </cell>
          <cell r="L470">
            <v>202643.01</v>
          </cell>
          <cell r="M470">
            <v>274946.71000000002</v>
          </cell>
          <cell r="N470">
            <v>225139.78</v>
          </cell>
          <cell r="O470">
            <v>367099.88</v>
          </cell>
          <cell r="Q470">
            <v>2695212.03</v>
          </cell>
        </row>
        <row r="471">
          <cell r="A471" t="str">
            <v>F87910G</v>
          </cell>
          <cell r="B471" t="str">
            <v>CUSTOMER INSTALLATIO</v>
          </cell>
          <cell r="D471">
            <v>515759.09</v>
          </cell>
          <cell r="E471">
            <v>376519.88</v>
          </cell>
          <cell r="F471">
            <v>291769.11</v>
          </cell>
          <cell r="G471">
            <v>282106.90000000002</v>
          </cell>
          <cell r="H471">
            <v>399950.33</v>
          </cell>
          <cell r="I471">
            <v>129381.21</v>
          </cell>
          <cell r="J471">
            <v>287625.23</v>
          </cell>
          <cell r="K471">
            <v>237632.6</v>
          </cell>
          <cell r="L471">
            <v>210994.57</v>
          </cell>
          <cell r="M471">
            <v>357061.18</v>
          </cell>
          <cell r="N471">
            <v>369578.7</v>
          </cell>
          <cell r="O471">
            <v>672920.67</v>
          </cell>
          <cell r="Q471">
            <v>4131299.47</v>
          </cell>
        </row>
        <row r="472">
          <cell r="A472" t="str">
            <v>F87920G</v>
          </cell>
          <cell r="B472" t="str">
            <v>CUSTOMER INSTALLATIO</v>
          </cell>
          <cell r="D472">
            <v>10576.72</v>
          </cell>
          <cell r="E472">
            <v>5158.66</v>
          </cell>
          <cell r="F472">
            <v>8626.4599999999991</v>
          </cell>
          <cell r="G472">
            <v>17198.72</v>
          </cell>
          <cell r="H472">
            <v>23308.400000000001</v>
          </cell>
          <cell r="I472">
            <v>21775.85</v>
          </cell>
          <cell r="J472">
            <v>24684</v>
          </cell>
          <cell r="K472">
            <v>27413.45</v>
          </cell>
          <cell r="L472">
            <v>21181.38</v>
          </cell>
          <cell r="M472">
            <v>13513.11</v>
          </cell>
          <cell r="N472">
            <v>7650.52</v>
          </cell>
          <cell r="O472">
            <v>5403.03</v>
          </cell>
          <cell r="Q472">
            <v>186490.3</v>
          </cell>
        </row>
        <row r="473">
          <cell r="A473" t="str">
            <v>F87940G</v>
          </cell>
          <cell r="B473" t="str">
            <v>CUSTOMER INSTALLATIONS EXPENSES</v>
          </cell>
          <cell r="I473">
            <v>-5568.41</v>
          </cell>
          <cell r="N473">
            <v>0</v>
          </cell>
          <cell r="O473">
            <v>0</v>
          </cell>
          <cell r="Q473">
            <v>-5568.41</v>
          </cell>
        </row>
        <row r="474">
          <cell r="A474" t="str">
            <v>F87950G</v>
          </cell>
          <cell r="B474" t="str">
            <v>CUSTOMER INSTALLATIO</v>
          </cell>
          <cell r="D474">
            <v>16721.27</v>
          </cell>
          <cell r="E474">
            <v>7355.06</v>
          </cell>
          <cell r="F474">
            <v>4887.62</v>
          </cell>
          <cell r="G474">
            <v>900.48</v>
          </cell>
          <cell r="H474">
            <v>375.66</v>
          </cell>
          <cell r="I474">
            <v>719.28</v>
          </cell>
          <cell r="J474">
            <v>311.57</v>
          </cell>
          <cell r="K474">
            <v>-600.54999999999995</v>
          </cell>
          <cell r="L474">
            <v>16127.85</v>
          </cell>
          <cell r="M474">
            <v>114547.51</v>
          </cell>
          <cell r="N474">
            <v>200210.11</v>
          </cell>
          <cell r="O474">
            <v>288666.38</v>
          </cell>
          <cell r="Q474">
            <v>650222.24</v>
          </cell>
        </row>
        <row r="475">
          <cell r="A475" t="str">
            <v>F88000G</v>
          </cell>
          <cell r="B475" t="str">
            <v>OTHER EXPENSES</v>
          </cell>
          <cell r="D475">
            <v>120127.2</v>
          </cell>
          <cell r="E475">
            <v>121957.85</v>
          </cell>
          <cell r="F475">
            <v>100746.97</v>
          </cell>
          <cell r="G475">
            <v>90378.29</v>
          </cell>
          <cell r="H475">
            <v>112807.35</v>
          </cell>
          <cell r="I475">
            <v>77194.070000000007</v>
          </cell>
          <cell r="J475">
            <v>103137.36</v>
          </cell>
          <cell r="K475">
            <v>128642.3</v>
          </cell>
          <cell r="L475">
            <v>81802.06</v>
          </cell>
          <cell r="M475">
            <v>138676.64000000001</v>
          </cell>
          <cell r="N475">
            <v>76705.17</v>
          </cell>
          <cell r="O475">
            <v>107805.78</v>
          </cell>
          <cell r="Q475">
            <v>1259981.0399999998</v>
          </cell>
        </row>
        <row r="476">
          <cell r="A476" t="str">
            <v>F88010G</v>
          </cell>
          <cell r="B476" t="str">
            <v>MTGS/TRAINING/ETC</v>
          </cell>
          <cell r="D476">
            <v>50072.2</v>
          </cell>
          <cell r="E476">
            <v>41563.57</v>
          </cell>
          <cell r="F476">
            <v>44000.63</v>
          </cell>
          <cell r="G476">
            <v>32416.62</v>
          </cell>
          <cell r="H476">
            <v>41153.360000000001</v>
          </cell>
          <cell r="I476">
            <v>37021.24</v>
          </cell>
          <cell r="J476">
            <v>72301.789999999994</v>
          </cell>
          <cell r="K476">
            <v>34540.79</v>
          </cell>
          <cell r="L476">
            <v>32056.62</v>
          </cell>
          <cell r="M476">
            <v>39986.769999999997</v>
          </cell>
          <cell r="N476">
            <v>38015.760000000002</v>
          </cell>
          <cell r="O476">
            <v>31186.07</v>
          </cell>
          <cell r="Q476">
            <v>494315.42</v>
          </cell>
        </row>
        <row r="477">
          <cell r="A477" t="str">
            <v>F88030G</v>
          </cell>
          <cell r="B477" t="str">
            <v>DISPATH OFFICE</v>
          </cell>
          <cell r="D477">
            <v>10488.93</v>
          </cell>
          <cell r="E477">
            <v>17928.419999999998</v>
          </cell>
          <cell r="F477">
            <v>7866.79</v>
          </cell>
          <cell r="G477">
            <v>3150.92</v>
          </cell>
          <cell r="H477">
            <v>4464.93</v>
          </cell>
          <cell r="I477">
            <v>1790.36</v>
          </cell>
          <cell r="J477">
            <v>2603.06</v>
          </cell>
          <cell r="K477">
            <v>7905.09</v>
          </cell>
          <cell r="L477">
            <v>7600.51</v>
          </cell>
          <cell r="M477">
            <v>3539.77</v>
          </cell>
          <cell r="N477">
            <v>10065.620000000001</v>
          </cell>
          <cell r="O477">
            <v>10406.450000000001</v>
          </cell>
          <cell r="Q477">
            <v>87810.849999999991</v>
          </cell>
        </row>
        <row r="478">
          <cell r="A478" t="str">
            <v>F88040G</v>
          </cell>
          <cell r="B478" t="str">
            <v>TECH OFFICE/DOCS /MISC. OPER. EXP.</v>
          </cell>
          <cell r="D478">
            <v>5349.93</v>
          </cell>
          <cell r="E478">
            <v>13620.5</v>
          </cell>
          <cell r="F478">
            <v>2461.59</v>
          </cell>
          <cell r="G478">
            <v>1124.31</v>
          </cell>
          <cell r="H478">
            <v>2677.46</v>
          </cell>
          <cell r="I478">
            <v>3458.64</v>
          </cell>
          <cell r="J478">
            <v>2017.23</v>
          </cell>
          <cell r="K478">
            <v>7934.19</v>
          </cell>
          <cell r="L478">
            <v>554.46</v>
          </cell>
          <cell r="M478">
            <v>3513.72</v>
          </cell>
          <cell r="N478">
            <v>15037.07</v>
          </cell>
          <cell r="O478">
            <v>429.85</v>
          </cell>
          <cell r="Q478">
            <v>58178.95</v>
          </cell>
        </row>
        <row r="479">
          <cell r="A479" t="str">
            <v>F88100G</v>
          </cell>
          <cell r="B479" t="str">
            <v>RENTS</v>
          </cell>
          <cell r="D479">
            <v>100</v>
          </cell>
          <cell r="E479">
            <v>25</v>
          </cell>
          <cell r="F479">
            <v>906</v>
          </cell>
          <cell r="G479">
            <v>400</v>
          </cell>
          <cell r="I479">
            <v>0</v>
          </cell>
          <cell r="J479">
            <v>1444</v>
          </cell>
          <cell r="M479">
            <v>600</v>
          </cell>
          <cell r="N479">
            <v>0</v>
          </cell>
          <cell r="O479">
            <v>0</v>
          </cell>
          <cell r="Q479">
            <v>3475</v>
          </cell>
        </row>
        <row r="480">
          <cell r="A480" t="str">
            <v>F88500G</v>
          </cell>
          <cell r="B480" t="str">
            <v>MAINTENANCE SUPERVISION AND ENGINEERING</v>
          </cell>
          <cell r="I480">
            <v>0</v>
          </cell>
          <cell r="N480">
            <v>0</v>
          </cell>
          <cell r="O480">
            <v>746.47</v>
          </cell>
          <cell r="Q480">
            <v>746.47</v>
          </cell>
        </row>
        <row r="481">
          <cell r="A481" t="str">
            <v>F88510G</v>
          </cell>
          <cell r="B481" t="str">
            <v>MAINT SUPERVISION AN</v>
          </cell>
          <cell r="D481">
            <v>2455.9</v>
          </cell>
          <cell r="E481">
            <v>2230.9</v>
          </cell>
          <cell r="F481">
            <v>2592.39</v>
          </cell>
          <cell r="G481">
            <v>2484.44</v>
          </cell>
          <cell r="H481">
            <v>3518.65</v>
          </cell>
          <cell r="I481">
            <v>2473.62</v>
          </cell>
          <cell r="J481">
            <v>2693.28</v>
          </cell>
          <cell r="K481">
            <v>2565.04</v>
          </cell>
          <cell r="L481">
            <v>2658.75</v>
          </cell>
          <cell r="M481">
            <v>3885.76</v>
          </cell>
          <cell r="N481">
            <v>2550.04</v>
          </cell>
          <cell r="O481">
            <v>3464.03</v>
          </cell>
          <cell r="Q481">
            <v>33572.800000000003</v>
          </cell>
        </row>
        <row r="482">
          <cell r="A482" t="str">
            <v>F88520G</v>
          </cell>
          <cell r="B482" t="str">
            <v>MAINT SUPERVISION AN</v>
          </cell>
          <cell r="D482">
            <v>2508.96</v>
          </cell>
          <cell r="E482">
            <v>2234.79</v>
          </cell>
          <cell r="F482">
            <v>2076.11</v>
          </cell>
          <cell r="G482">
            <v>2232.69</v>
          </cell>
          <cell r="H482">
            <v>2750.8</v>
          </cell>
          <cell r="I482">
            <v>1927.45</v>
          </cell>
          <cell r="J482">
            <v>2500.6799999999998</v>
          </cell>
          <cell r="K482">
            <v>2036.88</v>
          </cell>
          <cell r="L482">
            <v>2186.35</v>
          </cell>
          <cell r="M482">
            <v>2822.24</v>
          </cell>
          <cell r="N482">
            <v>2443.36</v>
          </cell>
          <cell r="O482">
            <v>2897.18</v>
          </cell>
          <cell r="Q482">
            <v>28617.490000000005</v>
          </cell>
        </row>
        <row r="483">
          <cell r="A483" t="str">
            <v>F88600G</v>
          </cell>
          <cell r="B483" t="str">
            <v>MAINTENANCE OF STRUCTURES AND IMPROVEME</v>
          </cell>
          <cell r="I483">
            <v>0</v>
          </cell>
          <cell r="N483">
            <v>0</v>
          </cell>
          <cell r="O483">
            <v>0</v>
          </cell>
          <cell r="Q483">
            <v>0</v>
          </cell>
        </row>
        <row r="484">
          <cell r="A484" t="str">
            <v>F88700G</v>
          </cell>
          <cell r="B484" t="str">
            <v>MAINTENANCE OF MAINS</v>
          </cell>
          <cell r="D484">
            <v>162681.87</v>
          </cell>
          <cell r="E484">
            <v>3206.09</v>
          </cell>
          <cell r="F484">
            <v>44024.38</v>
          </cell>
          <cell r="G484">
            <v>20766.509999999998</v>
          </cell>
          <cell r="H484">
            <v>43881.31</v>
          </cell>
          <cell r="I484">
            <v>16420.3</v>
          </cell>
          <cell r="J484">
            <v>45101.57</v>
          </cell>
          <cell r="K484">
            <v>-13216.26</v>
          </cell>
          <cell r="L484">
            <v>16748.84</v>
          </cell>
          <cell r="M484">
            <v>34258.69</v>
          </cell>
          <cell r="N484">
            <v>66127.25</v>
          </cell>
          <cell r="O484">
            <v>26091.48</v>
          </cell>
          <cell r="Q484">
            <v>466092.03</v>
          </cell>
        </row>
        <row r="485">
          <cell r="A485" t="str">
            <v>F88710G</v>
          </cell>
          <cell r="B485" t="str">
            <v>CPM IMPRESSED CURRENT</v>
          </cell>
          <cell r="D485">
            <v>15030.8</v>
          </cell>
          <cell r="E485">
            <v>31467.49</v>
          </cell>
          <cell r="F485">
            <v>17905.150000000001</v>
          </cell>
          <cell r="G485">
            <v>14374.95</v>
          </cell>
          <cell r="H485">
            <v>30981.24</v>
          </cell>
          <cell r="I485">
            <v>12147.43</v>
          </cell>
          <cell r="J485">
            <v>15172.44</v>
          </cell>
          <cell r="K485">
            <v>24980.36</v>
          </cell>
          <cell r="L485">
            <v>20554.75</v>
          </cell>
          <cell r="M485">
            <v>27719.17</v>
          </cell>
          <cell r="N485">
            <v>15872.83</v>
          </cell>
          <cell r="O485">
            <v>16912.28</v>
          </cell>
          <cell r="Q485">
            <v>243118.88999999996</v>
          </cell>
        </row>
        <row r="486">
          <cell r="A486" t="str">
            <v>F88720G</v>
          </cell>
          <cell r="B486" t="str">
            <v>CPM MAGNESUIM</v>
          </cell>
          <cell r="D486">
            <v>22259.8</v>
          </cell>
          <cell r="E486">
            <v>35521.15</v>
          </cell>
          <cell r="F486">
            <v>32762.07</v>
          </cell>
          <cell r="G486">
            <v>32086.26</v>
          </cell>
          <cell r="H486">
            <v>25376.97</v>
          </cell>
          <cell r="I486">
            <v>51957.38</v>
          </cell>
          <cell r="J486">
            <v>30957.62</v>
          </cell>
          <cell r="K486">
            <v>26679.73</v>
          </cell>
          <cell r="L486">
            <v>20489.04</v>
          </cell>
          <cell r="M486">
            <v>52590.41</v>
          </cell>
          <cell r="N486">
            <v>22204.86</v>
          </cell>
          <cell r="O486">
            <v>13415.37</v>
          </cell>
          <cell r="Q486">
            <v>366300.66000000003</v>
          </cell>
        </row>
        <row r="487">
          <cell r="A487" t="str">
            <v>F88730G</v>
          </cell>
          <cell r="B487" t="str">
            <v>CPM 10% CP INSPECTION</v>
          </cell>
          <cell r="D487">
            <v>70250.539999999994</v>
          </cell>
          <cell r="E487">
            <v>55153.16</v>
          </cell>
          <cell r="F487">
            <v>56890.81</v>
          </cell>
          <cell r="G487">
            <v>54265.45</v>
          </cell>
          <cell r="H487">
            <v>68029.48</v>
          </cell>
          <cell r="I487">
            <v>54177.37</v>
          </cell>
          <cell r="J487">
            <v>54414.49</v>
          </cell>
          <cell r="K487">
            <v>67320.460000000006</v>
          </cell>
          <cell r="L487">
            <v>35888.82</v>
          </cell>
          <cell r="M487">
            <v>59666.13</v>
          </cell>
          <cell r="N487">
            <v>54486.76</v>
          </cell>
          <cell r="O487">
            <v>58851.35</v>
          </cell>
          <cell r="Q487">
            <v>689394.82</v>
          </cell>
        </row>
        <row r="488">
          <cell r="A488" t="str">
            <v>F88740G</v>
          </cell>
          <cell r="B488" t="str">
            <v>MAINT OF MAINS</v>
          </cell>
          <cell r="D488">
            <v>19898.349999999999</v>
          </cell>
          <cell r="E488">
            <v>16207.42</v>
          </cell>
          <cell r="F488">
            <v>13683.99</v>
          </cell>
          <cell r="G488">
            <v>14306.22</v>
          </cell>
          <cell r="H488">
            <v>32489.24</v>
          </cell>
          <cell r="I488">
            <v>29288.43</v>
          </cell>
          <cell r="J488">
            <v>21914.81</v>
          </cell>
          <cell r="K488">
            <v>65517.27</v>
          </cell>
          <cell r="L488">
            <v>-24294.61</v>
          </cell>
          <cell r="M488">
            <v>19485.98</v>
          </cell>
          <cell r="N488">
            <v>14126.15</v>
          </cell>
          <cell r="O488">
            <v>16140.39</v>
          </cell>
          <cell r="Q488">
            <v>238763.64</v>
          </cell>
        </row>
        <row r="489">
          <cell r="A489" t="str">
            <v>F88750G</v>
          </cell>
          <cell r="B489" t="str">
            <v>MAINTENANCE OF MAINS</v>
          </cell>
          <cell r="E489">
            <v>84.11</v>
          </cell>
          <cell r="I489">
            <v>0</v>
          </cell>
          <cell r="N489">
            <v>0</v>
          </cell>
          <cell r="O489">
            <v>746.74</v>
          </cell>
          <cell r="Q489">
            <v>830.85</v>
          </cell>
        </row>
        <row r="490">
          <cell r="A490" t="str">
            <v>F88760G</v>
          </cell>
          <cell r="B490" t="str">
            <v>MAINT OF MAINS</v>
          </cell>
          <cell r="I490">
            <v>0</v>
          </cell>
          <cell r="N490">
            <v>0</v>
          </cell>
          <cell r="O490">
            <v>0</v>
          </cell>
          <cell r="Q490">
            <v>0</v>
          </cell>
        </row>
        <row r="491">
          <cell r="A491" t="str">
            <v>F88900G</v>
          </cell>
          <cell r="B491" t="str">
            <v>MAINTENANCE OF MEAS. AND REG. STA. EQUIP.-GENERAL</v>
          </cell>
          <cell r="D491">
            <v>1521.44</v>
          </cell>
          <cell r="E491">
            <v>6855.56</v>
          </cell>
          <cell r="F491">
            <v>3329.81</v>
          </cell>
          <cell r="G491">
            <v>957.81</v>
          </cell>
          <cell r="H491">
            <v>8321.85</v>
          </cell>
          <cell r="I491">
            <v>5138.0200000000004</v>
          </cell>
          <cell r="J491">
            <v>1589.26</v>
          </cell>
          <cell r="K491">
            <v>3406.44</v>
          </cell>
          <cell r="L491">
            <v>2773.96</v>
          </cell>
          <cell r="M491">
            <v>11537.25</v>
          </cell>
          <cell r="N491">
            <v>2942.73</v>
          </cell>
          <cell r="O491">
            <v>1529.67</v>
          </cell>
          <cell r="Q491">
            <v>49903.8</v>
          </cell>
        </row>
        <row r="492">
          <cell r="A492" t="str">
            <v>F89200G</v>
          </cell>
          <cell r="B492" t="str">
            <v>MAINTENANCE OF SERVICES</v>
          </cell>
          <cell r="D492">
            <v>111211.53</v>
          </cell>
          <cell r="E492">
            <v>22317</v>
          </cell>
          <cell r="F492">
            <v>38579.910000000003</v>
          </cell>
          <cell r="G492">
            <v>23245.759999999998</v>
          </cell>
          <cell r="H492">
            <v>38419.46</v>
          </cell>
          <cell r="I492">
            <v>17527.689999999999</v>
          </cell>
          <cell r="J492">
            <v>43177.43</v>
          </cell>
          <cell r="K492">
            <v>20399.05</v>
          </cell>
          <cell r="L492">
            <v>23194.67</v>
          </cell>
          <cell r="M492">
            <v>44188.87</v>
          </cell>
          <cell r="N492">
            <v>37165.61</v>
          </cell>
          <cell r="O492">
            <v>32897.39</v>
          </cell>
          <cell r="Q492">
            <v>452324.37</v>
          </cell>
        </row>
        <row r="493">
          <cell r="A493" t="str">
            <v>F89210G</v>
          </cell>
          <cell r="B493" t="str">
            <v>MAINT OF SERVICES</v>
          </cell>
          <cell r="D493">
            <v>3735.31</v>
          </cell>
          <cell r="E493">
            <v>2352.6799999999998</v>
          </cell>
          <cell r="F493">
            <v>2895.87</v>
          </cell>
          <cell r="G493">
            <v>3494.98</v>
          </cell>
          <cell r="H493">
            <v>5426.75</v>
          </cell>
          <cell r="I493">
            <v>5158.95</v>
          </cell>
          <cell r="J493">
            <v>5617.84</v>
          </cell>
          <cell r="K493">
            <v>2610.1</v>
          </cell>
          <cell r="L493">
            <v>2767.8</v>
          </cell>
          <cell r="M493">
            <v>3837.59</v>
          </cell>
          <cell r="N493">
            <v>2468.92</v>
          </cell>
          <cell r="O493">
            <v>1725.96</v>
          </cell>
          <cell r="Q493">
            <v>42092.749999999993</v>
          </cell>
        </row>
        <row r="494">
          <cell r="A494" t="str">
            <v>F89220G</v>
          </cell>
          <cell r="B494" t="str">
            <v>MAINT OF SERVICES</v>
          </cell>
          <cell r="D494">
            <v>1364.67</v>
          </cell>
          <cell r="E494">
            <v>1058.1600000000001</v>
          </cell>
          <cell r="F494">
            <v>734.91</v>
          </cell>
          <cell r="G494">
            <v>277.92</v>
          </cell>
          <cell r="H494">
            <v>1084.08</v>
          </cell>
          <cell r="I494">
            <v>1997.66</v>
          </cell>
          <cell r="J494">
            <v>585.66999999999996</v>
          </cell>
          <cell r="K494">
            <v>147.09</v>
          </cell>
          <cell r="L494">
            <v>290</v>
          </cell>
          <cell r="M494">
            <v>1740.4</v>
          </cell>
          <cell r="N494">
            <v>67.69</v>
          </cell>
          <cell r="O494">
            <v>1799.91</v>
          </cell>
          <cell r="Q494">
            <v>11148.16</v>
          </cell>
        </row>
        <row r="495">
          <cell r="A495" t="str">
            <v>F89230G</v>
          </cell>
          <cell r="B495" t="str">
            <v>MAINT OF SERVICES</v>
          </cell>
          <cell r="D495">
            <v>9011.9</v>
          </cell>
          <cell r="E495">
            <v>3867.61</v>
          </cell>
          <cell r="F495">
            <v>2698.58</v>
          </cell>
          <cell r="G495">
            <v>1578.92</v>
          </cell>
          <cell r="H495">
            <v>2889.55</v>
          </cell>
          <cell r="I495">
            <v>3624.15</v>
          </cell>
          <cell r="J495">
            <v>3095.82</v>
          </cell>
          <cell r="K495">
            <v>3079.32</v>
          </cell>
          <cell r="L495">
            <v>4078.65</v>
          </cell>
          <cell r="M495">
            <v>2476.29</v>
          </cell>
          <cell r="N495">
            <v>2838.76</v>
          </cell>
          <cell r="O495">
            <v>4940.2</v>
          </cell>
          <cell r="Q495">
            <v>44179.75</v>
          </cell>
        </row>
        <row r="496">
          <cell r="A496" t="str">
            <v>F89300G</v>
          </cell>
          <cell r="B496" t="str">
            <v>MAINTENANCE OF METERS AND HOUSE REGULATORS</v>
          </cell>
          <cell r="D496">
            <v>12973.12</v>
          </cell>
          <cell r="E496">
            <v>9568.51</v>
          </cell>
          <cell r="F496">
            <v>14640.58</v>
          </cell>
          <cell r="G496">
            <v>20393.77</v>
          </cell>
          <cell r="H496">
            <v>25278.45</v>
          </cell>
          <cell r="I496">
            <v>26071.29</v>
          </cell>
          <cell r="J496">
            <v>1135.3499999999999</v>
          </cell>
          <cell r="K496">
            <v>38397.68</v>
          </cell>
          <cell r="L496">
            <v>10852.27</v>
          </cell>
          <cell r="M496">
            <v>594.73</v>
          </cell>
          <cell r="N496">
            <v>13337.31</v>
          </cell>
          <cell r="O496">
            <v>17156.939999999999</v>
          </cell>
          <cell r="Q496">
            <v>190400</v>
          </cell>
        </row>
        <row r="497">
          <cell r="A497" t="str">
            <v>F89310G</v>
          </cell>
          <cell r="B497" t="str">
            <v>MAINT OF METERS AND</v>
          </cell>
          <cell r="D497">
            <v>9515.2800000000007</v>
          </cell>
          <cell r="E497">
            <v>4963.45</v>
          </cell>
          <cell r="F497">
            <v>18477.62</v>
          </cell>
          <cell r="G497">
            <v>17849.46</v>
          </cell>
          <cell r="H497">
            <v>23930.04</v>
          </cell>
          <cell r="I497">
            <v>13057.91</v>
          </cell>
          <cell r="J497">
            <v>13577.14</v>
          </cell>
          <cell r="K497">
            <v>10986.19</v>
          </cell>
          <cell r="L497">
            <v>7264.9</v>
          </cell>
          <cell r="M497">
            <v>14775.78</v>
          </cell>
          <cell r="N497">
            <v>10108.51</v>
          </cell>
          <cell r="O497">
            <v>7376.63</v>
          </cell>
          <cell r="Q497">
            <v>151882.91000000003</v>
          </cell>
        </row>
        <row r="498">
          <cell r="A498" t="str">
            <v>F89320G</v>
          </cell>
          <cell r="B498" t="str">
            <v>MAINT OF METERS AND</v>
          </cell>
          <cell r="D498">
            <v>40823.440000000002</v>
          </cell>
          <cell r="E498">
            <v>29631.98</v>
          </cell>
          <cell r="F498">
            <v>32953.83</v>
          </cell>
          <cell r="G498">
            <v>30890.33</v>
          </cell>
          <cell r="H498">
            <v>42082.8</v>
          </cell>
          <cell r="I498">
            <v>32847.449999999997</v>
          </cell>
          <cell r="J498">
            <v>33057.03</v>
          </cell>
          <cell r="K498">
            <v>42596.59</v>
          </cell>
          <cell r="L498">
            <v>26815</v>
          </cell>
          <cell r="M498">
            <v>32642.87</v>
          </cell>
          <cell r="N498">
            <v>31187.03</v>
          </cell>
          <cell r="O498">
            <v>29390.49</v>
          </cell>
          <cell r="Q498">
            <v>404918.83999999997</v>
          </cell>
        </row>
        <row r="499">
          <cell r="A499" t="str">
            <v>F89400G</v>
          </cell>
          <cell r="B499" t="str">
            <v>MAINTENANCE OF OTHER EQUIPMENT</v>
          </cell>
          <cell r="D499">
            <v>58034.85</v>
          </cell>
          <cell r="E499">
            <v>47528.91</v>
          </cell>
          <cell r="F499">
            <v>47213.95</v>
          </cell>
          <cell r="G499">
            <v>52065.61</v>
          </cell>
          <cell r="H499">
            <v>60675.12</v>
          </cell>
          <cell r="I499">
            <v>49525.88</v>
          </cell>
          <cell r="J499">
            <v>45068.79</v>
          </cell>
          <cell r="K499">
            <v>42248.01</v>
          </cell>
          <cell r="L499">
            <v>50580.24</v>
          </cell>
          <cell r="M499">
            <v>72937.679999999993</v>
          </cell>
          <cell r="N499">
            <v>69061.570000000007</v>
          </cell>
          <cell r="O499">
            <v>51049.64</v>
          </cell>
          <cell r="Q499">
            <v>645990.25000000012</v>
          </cell>
        </row>
        <row r="500">
          <cell r="A500" t="str">
            <v>F90100E</v>
          </cell>
          <cell r="B500" t="str">
            <v>SUPERVISION</v>
          </cell>
          <cell r="H500">
            <v>37.909999999999997</v>
          </cell>
          <cell r="I500">
            <v>0</v>
          </cell>
          <cell r="N500">
            <v>0</v>
          </cell>
          <cell r="O500">
            <v>0</v>
          </cell>
          <cell r="Q500">
            <v>37.909999999999997</v>
          </cell>
        </row>
        <row r="501">
          <cell r="A501" t="str">
            <v>F90100G</v>
          </cell>
          <cell r="B501" t="str">
            <v>SUPERVISION</v>
          </cell>
          <cell r="D501">
            <v>603.92999999999995</v>
          </cell>
          <cell r="H501">
            <v>20.65</v>
          </cell>
          <cell r="I501">
            <v>0</v>
          </cell>
          <cell r="N501">
            <v>0</v>
          </cell>
          <cell r="O501">
            <v>0</v>
          </cell>
          <cell r="Q501">
            <v>624.57999999999993</v>
          </cell>
        </row>
        <row r="502">
          <cell r="A502" t="str">
            <v>F90200E</v>
          </cell>
          <cell r="B502" t="str">
            <v>METER READING EXPENSES</v>
          </cell>
          <cell r="D502">
            <v>396261.34</v>
          </cell>
          <cell r="E502">
            <v>338766.12</v>
          </cell>
          <cell r="F502">
            <v>396153.7</v>
          </cell>
          <cell r="G502">
            <v>493378.99</v>
          </cell>
          <cell r="H502">
            <v>462818.15</v>
          </cell>
          <cell r="I502">
            <v>343387.01</v>
          </cell>
          <cell r="J502">
            <v>509441.48</v>
          </cell>
          <cell r="K502">
            <v>447917.02</v>
          </cell>
          <cell r="L502">
            <v>405821.21</v>
          </cell>
          <cell r="M502">
            <v>526888.64</v>
          </cell>
          <cell r="N502">
            <v>369602.59</v>
          </cell>
          <cell r="O502">
            <v>529953.92000000004</v>
          </cell>
          <cell r="Q502">
            <v>5220390.169999999</v>
          </cell>
        </row>
        <row r="503">
          <cell r="A503" t="str">
            <v>F90200G</v>
          </cell>
          <cell r="B503" t="str">
            <v>METER READING EXPENSES</v>
          </cell>
          <cell r="D503">
            <v>216439.36</v>
          </cell>
          <cell r="E503">
            <v>187034.41</v>
          </cell>
          <cell r="F503">
            <v>215308.68</v>
          </cell>
          <cell r="G503">
            <v>269075.09000000003</v>
          </cell>
          <cell r="H503">
            <v>252679.17</v>
          </cell>
          <cell r="I503">
            <v>186988.91</v>
          </cell>
          <cell r="J503">
            <v>278152.36</v>
          </cell>
          <cell r="K503">
            <v>244576.99</v>
          </cell>
          <cell r="L503">
            <v>221503.44</v>
          </cell>
          <cell r="M503">
            <v>287399.48</v>
          </cell>
          <cell r="N503">
            <v>208908.55</v>
          </cell>
          <cell r="O503">
            <v>289327.78999999998</v>
          </cell>
          <cell r="Q503">
            <v>2857394.2299999995</v>
          </cell>
        </row>
        <row r="504">
          <cell r="A504" t="str">
            <v>F90210E</v>
          </cell>
          <cell r="B504" t="str">
            <v>METER READING EXPENSES</v>
          </cell>
          <cell r="G504">
            <v>77.16</v>
          </cell>
          <cell r="H504">
            <v>232.22</v>
          </cell>
          <cell r="I504">
            <v>0</v>
          </cell>
          <cell r="J504">
            <v>380.3</v>
          </cell>
          <cell r="N504">
            <v>20.93</v>
          </cell>
          <cell r="O504">
            <v>52.01</v>
          </cell>
          <cell r="Q504">
            <v>762.62</v>
          </cell>
        </row>
        <row r="505">
          <cell r="A505" t="str">
            <v>F90210G</v>
          </cell>
          <cell r="B505" t="str">
            <v>METER READING EXPENSES</v>
          </cell>
          <cell r="G505">
            <v>42.12</v>
          </cell>
          <cell r="H505">
            <v>126.78</v>
          </cell>
          <cell r="I505">
            <v>0</v>
          </cell>
          <cell r="J505">
            <v>207.62</v>
          </cell>
          <cell r="N505">
            <v>11.43</v>
          </cell>
          <cell r="O505">
            <v>28.39</v>
          </cell>
          <cell r="Q505">
            <v>416.34</v>
          </cell>
        </row>
        <row r="506">
          <cell r="A506" t="str">
            <v>F90300E</v>
          </cell>
          <cell r="B506" t="str">
            <v>CUSTOMER RECORDS AND COLLECTION EXPENSES</v>
          </cell>
          <cell r="D506">
            <v>592614.94999999995</v>
          </cell>
          <cell r="E506">
            <v>601421.53</v>
          </cell>
          <cell r="F506">
            <v>716416.58</v>
          </cell>
          <cell r="G506">
            <v>699354.65</v>
          </cell>
          <cell r="H506">
            <v>896109.64</v>
          </cell>
          <cell r="I506">
            <v>823354.83</v>
          </cell>
          <cell r="J506">
            <v>697757.81</v>
          </cell>
          <cell r="K506">
            <v>760371.89</v>
          </cell>
          <cell r="L506">
            <v>685576.51</v>
          </cell>
          <cell r="M506">
            <v>650763.18000000005</v>
          </cell>
          <cell r="N506">
            <v>736387.07</v>
          </cell>
          <cell r="O506">
            <v>1044886.35</v>
          </cell>
          <cell r="Q506">
            <v>8905014.9900000002</v>
          </cell>
        </row>
        <row r="507">
          <cell r="A507" t="str">
            <v>F90300G</v>
          </cell>
          <cell r="B507" t="str">
            <v>CUSTOMER RECORDS AND COLLECTION EXPENSES</v>
          </cell>
          <cell r="D507">
            <v>260460.27</v>
          </cell>
          <cell r="E507">
            <v>280066.78999999998</v>
          </cell>
          <cell r="F507">
            <v>339086.51</v>
          </cell>
          <cell r="G507">
            <v>281450.42</v>
          </cell>
          <cell r="H507">
            <v>423160</v>
          </cell>
          <cell r="I507">
            <v>392799.69</v>
          </cell>
          <cell r="J507">
            <v>311197.15999999997</v>
          </cell>
          <cell r="K507">
            <v>357567.3</v>
          </cell>
          <cell r="L507">
            <v>273553.28000000003</v>
          </cell>
          <cell r="M507">
            <v>374936.84</v>
          </cell>
          <cell r="N507">
            <v>350935.22</v>
          </cell>
          <cell r="O507">
            <v>507034.29</v>
          </cell>
          <cell r="Q507">
            <v>4152247.7699999996</v>
          </cell>
        </row>
        <row r="508">
          <cell r="A508" t="str">
            <v>F90310E</v>
          </cell>
          <cell r="B508" t="str">
            <v>CUSTOMER RECORDS AND</v>
          </cell>
          <cell r="D508">
            <v>921051.75</v>
          </cell>
          <cell r="E508">
            <v>888844.34</v>
          </cell>
          <cell r="F508">
            <v>915642.09</v>
          </cell>
          <cell r="G508">
            <v>873958.84</v>
          </cell>
          <cell r="H508">
            <v>1162177.3700000001</v>
          </cell>
          <cell r="I508">
            <v>972740.59</v>
          </cell>
          <cell r="J508">
            <v>1135506.42</v>
          </cell>
          <cell r="K508">
            <v>1022703.19</v>
          </cell>
          <cell r="L508">
            <v>945466.99</v>
          </cell>
          <cell r="M508">
            <v>1228659.97</v>
          </cell>
          <cell r="N508">
            <v>1129320.28</v>
          </cell>
          <cell r="O508">
            <v>1337041.71</v>
          </cell>
          <cell r="Q508">
            <v>12533113.539999999</v>
          </cell>
        </row>
        <row r="509">
          <cell r="A509" t="str">
            <v>F90310G</v>
          </cell>
          <cell r="B509" t="str">
            <v>CUSTOMER RECORDS AND</v>
          </cell>
          <cell r="D509">
            <v>496436.32</v>
          </cell>
          <cell r="E509">
            <v>479050.19</v>
          </cell>
          <cell r="F509">
            <v>494198.17</v>
          </cell>
          <cell r="G509">
            <v>478609.81</v>
          </cell>
          <cell r="H509">
            <v>639356.65</v>
          </cell>
          <cell r="I509">
            <v>510045.33</v>
          </cell>
          <cell r="J509">
            <v>619453.65</v>
          </cell>
          <cell r="K509">
            <v>557006.02</v>
          </cell>
          <cell r="L509">
            <v>514959.94</v>
          </cell>
          <cell r="M509">
            <v>669187.63</v>
          </cell>
          <cell r="N509">
            <v>615132.13</v>
          </cell>
          <cell r="O509">
            <v>728237.18</v>
          </cell>
          <cell r="Q509">
            <v>6801673.0200000005</v>
          </cell>
        </row>
        <row r="510">
          <cell r="A510" t="str">
            <v>F90320E</v>
          </cell>
          <cell r="B510" t="str">
            <v>CUSTOMER RECORDS AND</v>
          </cell>
          <cell r="D510">
            <v>5573.31</v>
          </cell>
          <cell r="E510">
            <v>6781.7</v>
          </cell>
          <cell r="F510">
            <v>6190.98</v>
          </cell>
          <cell r="G510">
            <v>5748.95</v>
          </cell>
          <cell r="H510">
            <v>7807.25</v>
          </cell>
          <cell r="I510">
            <v>6080.81</v>
          </cell>
          <cell r="J510">
            <v>7535.65</v>
          </cell>
          <cell r="K510">
            <v>4829.83</v>
          </cell>
          <cell r="L510">
            <v>6384.75</v>
          </cell>
          <cell r="M510">
            <v>8453.69</v>
          </cell>
          <cell r="N510">
            <v>7284.2</v>
          </cell>
          <cell r="O510">
            <v>6809.99</v>
          </cell>
          <cell r="Q510">
            <v>79481.110000000015</v>
          </cell>
        </row>
        <row r="511">
          <cell r="A511" t="str">
            <v>F90320G</v>
          </cell>
          <cell r="B511" t="str">
            <v>CUSTOMER RECORDS AND</v>
          </cell>
          <cell r="D511">
            <v>3057.92</v>
          </cell>
          <cell r="E511">
            <v>3701.89</v>
          </cell>
          <cell r="F511">
            <v>3382.13</v>
          </cell>
          <cell r="G511">
            <v>3139.2</v>
          </cell>
          <cell r="H511">
            <v>4264.3999999999996</v>
          </cell>
          <cell r="I511">
            <v>3316.71</v>
          </cell>
          <cell r="J511">
            <v>4115.1499999999996</v>
          </cell>
          <cell r="K511">
            <v>2639.86</v>
          </cell>
          <cell r="L511">
            <v>3483.4</v>
          </cell>
          <cell r="M511">
            <v>4626.58</v>
          </cell>
          <cell r="N511">
            <v>3981.25</v>
          </cell>
          <cell r="O511">
            <v>3697.02</v>
          </cell>
          <cell r="Q511">
            <v>43405.51</v>
          </cell>
        </row>
        <row r="512">
          <cell r="A512" t="str">
            <v>F90330E</v>
          </cell>
          <cell r="B512" t="str">
            <v>CUSTOMER RECORDS AND</v>
          </cell>
          <cell r="D512">
            <v>133184.29999999999</v>
          </cell>
          <cell r="E512">
            <v>158851.28</v>
          </cell>
          <cell r="F512">
            <v>144312.34</v>
          </cell>
          <cell r="G512">
            <v>205993.2</v>
          </cell>
          <cell r="H512">
            <v>185997.78</v>
          </cell>
          <cell r="I512">
            <v>168081.28</v>
          </cell>
          <cell r="J512">
            <v>179034.48</v>
          </cell>
          <cell r="K512">
            <v>200018.78</v>
          </cell>
          <cell r="L512">
            <v>137947.01</v>
          </cell>
          <cell r="M512">
            <v>185800.47</v>
          </cell>
          <cell r="N512">
            <v>162178.66</v>
          </cell>
          <cell r="O512">
            <v>185356.98</v>
          </cell>
          <cell r="Q512">
            <v>2046756.5599999998</v>
          </cell>
        </row>
        <row r="513">
          <cell r="A513" t="str">
            <v>F90330G</v>
          </cell>
          <cell r="B513" t="str">
            <v>CUSTOMER RECORDS AND</v>
          </cell>
          <cell r="D513">
            <v>72680.039999999994</v>
          </cell>
          <cell r="E513">
            <v>86722.04</v>
          </cell>
          <cell r="F513">
            <v>78787.850000000006</v>
          </cell>
          <cell r="G513">
            <v>112449.71</v>
          </cell>
          <cell r="H513">
            <v>101528.14</v>
          </cell>
          <cell r="I513">
            <v>91744.93</v>
          </cell>
          <cell r="J513">
            <v>97730.02</v>
          </cell>
          <cell r="K513">
            <v>109192.61</v>
          </cell>
          <cell r="L513">
            <v>75353.03</v>
          </cell>
          <cell r="M513">
            <v>101416.22</v>
          </cell>
          <cell r="N513">
            <v>88469.99</v>
          </cell>
          <cell r="O513">
            <v>101163.62</v>
          </cell>
          <cell r="Q513">
            <v>1117238.2</v>
          </cell>
        </row>
        <row r="514">
          <cell r="A514" t="str">
            <v>F90340E</v>
          </cell>
          <cell r="B514" t="str">
            <v>CUSTOMER RECORDS AND COLLECTION EXPENSES</v>
          </cell>
          <cell r="D514">
            <v>53434.74</v>
          </cell>
          <cell r="E514">
            <v>79490.720000000001</v>
          </cell>
          <cell r="F514">
            <v>88663.9</v>
          </cell>
          <cell r="G514">
            <v>82256.25</v>
          </cell>
          <cell r="H514">
            <v>121001.92</v>
          </cell>
          <cell r="I514">
            <v>109603.97</v>
          </cell>
          <cell r="J514">
            <v>200246.47</v>
          </cell>
          <cell r="K514">
            <v>122991.08</v>
          </cell>
          <cell r="L514">
            <v>134668.24</v>
          </cell>
          <cell r="M514">
            <v>166378.59</v>
          </cell>
          <cell r="N514">
            <v>135339.98000000001</v>
          </cell>
          <cell r="O514">
            <v>181282.8</v>
          </cell>
          <cell r="Q514">
            <v>1475358.66</v>
          </cell>
        </row>
        <row r="515">
          <cell r="A515" t="str">
            <v>F90340G</v>
          </cell>
          <cell r="B515" t="str">
            <v>CUSTOMER RECORDS AND</v>
          </cell>
          <cell r="D515">
            <v>29359.03</v>
          </cell>
          <cell r="E515">
            <v>43402.879999999997</v>
          </cell>
          <cell r="F515">
            <v>48405.51</v>
          </cell>
          <cell r="G515">
            <v>44890.25</v>
          </cell>
          <cell r="H515">
            <v>66053.240000000005</v>
          </cell>
          <cell r="I515">
            <v>59810.57</v>
          </cell>
          <cell r="J515">
            <v>109324.66</v>
          </cell>
          <cell r="K515">
            <v>65777.490000000005</v>
          </cell>
          <cell r="L515">
            <v>72082.28</v>
          </cell>
          <cell r="M515">
            <v>91894.46</v>
          </cell>
          <cell r="N515">
            <v>72001.03</v>
          </cell>
          <cell r="O515">
            <v>100195.3</v>
          </cell>
          <cell r="Q515">
            <v>803196.70000000007</v>
          </cell>
        </row>
        <row r="516">
          <cell r="A516" t="str">
            <v>F90350E</v>
          </cell>
          <cell r="B516" t="str">
            <v>CUSTOMER RECORDS AND</v>
          </cell>
          <cell r="D516">
            <v>165894.84</v>
          </cell>
          <cell r="E516">
            <v>150390.20000000001</v>
          </cell>
          <cell r="F516">
            <v>152046.78</v>
          </cell>
          <cell r="G516">
            <v>93470.38</v>
          </cell>
          <cell r="H516">
            <v>152024.37</v>
          </cell>
          <cell r="I516">
            <v>124315.36</v>
          </cell>
          <cell r="J516">
            <v>154748.76</v>
          </cell>
          <cell r="K516">
            <v>130877.15</v>
          </cell>
          <cell r="L516">
            <v>130673.78</v>
          </cell>
          <cell r="M516">
            <v>170659.39</v>
          </cell>
          <cell r="N516">
            <v>169730.68</v>
          </cell>
          <cell r="O516">
            <v>174903.71</v>
          </cell>
          <cell r="Q516">
            <v>1769735.4000000001</v>
          </cell>
        </row>
        <row r="517">
          <cell r="A517" t="str">
            <v>F90350G</v>
          </cell>
          <cell r="B517" t="str">
            <v>CUSTOMER RECORDS AND</v>
          </cell>
          <cell r="D517">
            <v>90634.4</v>
          </cell>
          <cell r="E517">
            <v>82069.3</v>
          </cell>
          <cell r="F517">
            <v>82981.72</v>
          </cell>
          <cell r="G517">
            <v>51049.27</v>
          </cell>
          <cell r="H517">
            <v>83016.679999999993</v>
          </cell>
          <cell r="I517">
            <v>64557.11</v>
          </cell>
          <cell r="J517">
            <v>84512.68</v>
          </cell>
          <cell r="K517">
            <v>71311.7</v>
          </cell>
          <cell r="L517">
            <v>71358.759999999995</v>
          </cell>
          <cell r="M517">
            <v>93133.54</v>
          </cell>
          <cell r="N517">
            <v>92746.28</v>
          </cell>
          <cell r="O517">
            <v>95531.13</v>
          </cell>
          <cell r="Q517">
            <v>962902.57</v>
          </cell>
        </row>
        <row r="518">
          <cell r="A518" t="str">
            <v>F90360E</v>
          </cell>
          <cell r="B518" t="str">
            <v>CUSTOMER RECORDS AND COLLECTION EXPENSE</v>
          </cell>
          <cell r="I518">
            <v>0</v>
          </cell>
          <cell r="N518">
            <v>0</v>
          </cell>
          <cell r="O518">
            <v>0</v>
          </cell>
          <cell r="Q518">
            <v>0</v>
          </cell>
        </row>
        <row r="519">
          <cell r="A519" t="str">
            <v>F90360G</v>
          </cell>
          <cell r="B519" t="str">
            <v>CUSTOMER RECORDS AND</v>
          </cell>
          <cell r="G519">
            <v>1837.22</v>
          </cell>
          <cell r="I519">
            <v>0</v>
          </cell>
          <cell r="K519">
            <v>1858.45</v>
          </cell>
          <cell r="N519">
            <v>0</v>
          </cell>
          <cell r="O519">
            <v>3508.75</v>
          </cell>
          <cell r="Q519">
            <v>7204.42</v>
          </cell>
        </row>
        <row r="520">
          <cell r="A520" t="str">
            <v>F90370E</v>
          </cell>
          <cell r="B520" t="str">
            <v>CUSTOMER RECORDS AND COLLECTION EXPENSES</v>
          </cell>
          <cell r="H520">
            <v>257.99</v>
          </cell>
          <cell r="I520">
            <v>0</v>
          </cell>
          <cell r="N520">
            <v>0</v>
          </cell>
          <cell r="O520">
            <v>0</v>
          </cell>
          <cell r="Q520">
            <v>257.99</v>
          </cell>
        </row>
        <row r="521">
          <cell r="A521" t="str">
            <v>F90370G</v>
          </cell>
          <cell r="B521" t="str">
            <v>CUSTOMER RECORDS AND COLLECTION EXPENSES</v>
          </cell>
          <cell r="H521">
            <v>140.84</v>
          </cell>
          <cell r="I521">
            <v>0</v>
          </cell>
          <cell r="N521">
            <v>0</v>
          </cell>
          <cell r="O521">
            <v>0</v>
          </cell>
          <cell r="Q521">
            <v>140.84</v>
          </cell>
        </row>
        <row r="522">
          <cell r="A522" t="str">
            <v>F90380E</v>
          </cell>
          <cell r="B522" t="str">
            <v>CUSTOMER RECORDS AND</v>
          </cell>
          <cell r="D522">
            <v>18492.64</v>
          </cell>
          <cell r="E522">
            <v>16972.86</v>
          </cell>
          <cell r="F522">
            <v>15009.64</v>
          </cell>
          <cell r="G522">
            <v>17298.8</v>
          </cell>
          <cell r="H522">
            <v>20614.79</v>
          </cell>
          <cell r="I522">
            <v>15791.45</v>
          </cell>
          <cell r="J522">
            <v>18714.48</v>
          </cell>
          <cell r="K522">
            <v>22440.18</v>
          </cell>
          <cell r="L522">
            <v>14927.72</v>
          </cell>
          <cell r="M522">
            <v>18870.439999999999</v>
          </cell>
          <cell r="N522">
            <v>17480.36</v>
          </cell>
          <cell r="O522">
            <v>17651.82</v>
          </cell>
          <cell r="Q522">
            <v>214265.18</v>
          </cell>
        </row>
        <row r="523">
          <cell r="A523" t="str">
            <v>F90380G</v>
          </cell>
          <cell r="B523" t="str">
            <v>CUSTOMER RECORDS AND</v>
          </cell>
          <cell r="D523">
            <v>10088.540000000001</v>
          </cell>
          <cell r="E523">
            <v>9263.23</v>
          </cell>
          <cell r="F523">
            <v>8188.05</v>
          </cell>
          <cell r="G523">
            <v>9438.48</v>
          </cell>
          <cell r="H523">
            <v>11252.29</v>
          </cell>
          <cell r="I523">
            <v>8619.07</v>
          </cell>
          <cell r="J523">
            <v>10210.200000000001</v>
          </cell>
          <cell r="K523">
            <v>12248.22</v>
          </cell>
          <cell r="L523">
            <v>8148.17</v>
          </cell>
          <cell r="M523">
            <v>10297.06</v>
          </cell>
          <cell r="N523">
            <v>9537.2000000000007</v>
          </cell>
          <cell r="O523">
            <v>9630.19</v>
          </cell>
          <cell r="Q523">
            <v>116920.7</v>
          </cell>
        </row>
        <row r="524">
          <cell r="A524" t="str">
            <v>F90390E</v>
          </cell>
          <cell r="B524" t="str">
            <v>CUSTOMER RECORDS AND COLLECTION EXPENSE</v>
          </cell>
          <cell r="I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A525" t="str">
            <v>F90400E</v>
          </cell>
          <cell r="B525" t="str">
            <v>UNCOLLECTIBLE ACCOUNTS</v>
          </cell>
          <cell r="D525">
            <v>264107.21000000002</v>
          </cell>
          <cell r="E525">
            <v>269753.73</v>
          </cell>
          <cell r="F525">
            <v>373839.07</v>
          </cell>
          <cell r="G525">
            <v>283210</v>
          </cell>
          <cell r="H525">
            <v>463723.13</v>
          </cell>
          <cell r="I525">
            <v>1145997</v>
          </cell>
          <cell r="J525">
            <v>946191</v>
          </cell>
          <cell r="K525">
            <v>1003029.1</v>
          </cell>
          <cell r="L525">
            <v>996754.17</v>
          </cell>
          <cell r="M525">
            <v>722838</v>
          </cell>
          <cell r="N525">
            <v>1079406.74</v>
          </cell>
          <cell r="O525">
            <v>-17747</v>
          </cell>
          <cell r="Q525">
            <v>7531102.1500000004</v>
          </cell>
        </row>
        <row r="526">
          <cell r="A526" t="str">
            <v>F90400G</v>
          </cell>
          <cell r="B526" t="str">
            <v>UNCOLLECTIBLE ACCOUNTS</v>
          </cell>
          <cell r="D526">
            <v>58988</v>
          </cell>
          <cell r="E526">
            <v>54255.43</v>
          </cell>
          <cell r="F526">
            <v>83765</v>
          </cell>
          <cell r="G526">
            <v>62735</v>
          </cell>
          <cell r="H526">
            <v>96735.74</v>
          </cell>
          <cell r="I526">
            <v>253671</v>
          </cell>
          <cell r="J526">
            <v>209455</v>
          </cell>
          <cell r="K526">
            <v>216022.81</v>
          </cell>
          <cell r="L526">
            <v>220707</v>
          </cell>
          <cell r="M526">
            <v>160030</v>
          </cell>
          <cell r="N526">
            <v>233893.1</v>
          </cell>
          <cell r="O526">
            <v>168821</v>
          </cell>
          <cell r="Q526">
            <v>1819079.08</v>
          </cell>
        </row>
        <row r="527">
          <cell r="A527" t="str">
            <v>F90500E</v>
          </cell>
          <cell r="B527" t="str">
            <v>MISCELLANEOUS CUSTOMER ACCOUNTS EXPENSES</v>
          </cell>
          <cell r="D527">
            <v>15889.47</v>
          </cell>
          <cell r="E527">
            <v>5674.85</v>
          </cell>
          <cell r="F527">
            <v>17843.73</v>
          </cell>
          <cell r="G527">
            <v>14279.69</v>
          </cell>
          <cell r="H527">
            <v>10528.33</v>
          </cell>
          <cell r="I527">
            <v>9388.9599999999991</v>
          </cell>
          <cell r="J527">
            <v>12807.62</v>
          </cell>
          <cell r="K527">
            <v>10975.57</v>
          </cell>
          <cell r="L527">
            <v>12633.95</v>
          </cell>
          <cell r="M527">
            <v>12573.64</v>
          </cell>
          <cell r="N527">
            <v>4817.66</v>
          </cell>
          <cell r="O527">
            <v>17276.84</v>
          </cell>
          <cell r="Q527">
            <v>144690.31</v>
          </cell>
        </row>
        <row r="528">
          <cell r="A528" t="str">
            <v>F90500G</v>
          </cell>
          <cell r="B528" t="str">
            <v>MISCELLANEOUS CUSTOMER ACCOUNTS EXPENSES</v>
          </cell>
          <cell r="D528">
            <v>53.16</v>
          </cell>
          <cell r="E528">
            <v>1046.1500000000001</v>
          </cell>
          <cell r="F528">
            <v>1284.6400000000001</v>
          </cell>
          <cell r="G528">
            <v>36.299999999999997</v>
          </cell>
          <cell r="H528">
            <v>948.88</v>
          </cell>
          <cell r="I528">
            <v>36.81</v>
          </cell>
          <cell r="J528">
            <v>1235.57</v>
          </cell>
          <cell r="K528">
            <v>576.70000000000005</v>
          </cell>
          <cell r="L528">
            <v>1258.1500000000001</v>
          </cell>
          <cell r="M528">
            <v>740.9</v>
          </cell>
          <cell r="N528">
            <v>38.51</v>
          </cell>
          <cell r="O528">
            <v>2050.34</v>
          </cell>
          <cell r="Q528">
            <v>9306.11</v>
          </cell>
        </row>
        <row r="529">
          <cell r="A529" t="str">
            <v>F90700C</v>
          </cell>
          <cell r="B529" t="str">
            <v>SUPERVISION</v>
          </cell>
          <cell r="D529">
            <v>20.100000000000001</v>
          </cell>
          <cell r="F529">
            <v>521.15</v>
          </cell>
          <cell r="G529">
            <v>130.22</v>
          </cell>
          <cell r="H529">
            <v>232.74</v>
          </cell>
          <cell r="I529">
            <v>295.67</v>
          </cell>
          <cell r="J529">
            <v>108.99</v>
          </cell>
          <cell r="K529">
            <v>219.82</v>
          </cell>
          <cell r="L529">
            <v>101.51</v>
          </cell>
          <cell r="M529">
            <v>198.99</v>
          </cell>
          <cell r="N529">
            <v>63.27</v>
          </cell>
          <cell r="O529">
            <v>107.45</v>
          </cell>
          <cell r="Q529">
            <v>1999.91</v>
          </cell>
        </row>
        <row r="530">
          <cell r="A530" t="str">
            <v>F90700E</v>
          </cell>
          <cell r="B530" t="str">
            <v>SUPERVISION</v>
          </cell>
          <cell r="D530">
            <v>17288.64</v>
          </cell>
          <cell r="E530">
            <v>18261.36</v>
          </cell>
          <cell r="F530">
            <v>15831.62</v>
          </cell>
          <cell r="G530">
            <v>21306.959999999999</v>
          </cell>
          <cell r="H530">
            <v>21210.95</v>
          </cell>
          <cell r="I530">
            <v>38726.6</v>
          </cell>
          <cell r="J530">
            <v>23015.200000000001</v>
          </cell>
          <cell r="K530">
            <v>22044.28</v>
          </cell>
          <cell r="L530">
            <v>18547.310000000001</v>
          </cell>
          <cell r="M530">
            <v>22887.85</v>
          </cell>
          <cell r="N530">
            <v>14484.95</v>
          </cell>
          <cell r="O530">
            <v>20915.52</v>
          </cell>
          <cell r="Q530">
            <v>254521.24000000002</v>
          </cell>
        </row>
        <row r="531">
          <cell r="A531" t="str">
            <v>F90700G</v>
          </cell>
          <cell r="B531" t="str">
            <v>SUPERVISION</v>
          </cell>
          <cell r="D531">
            <v>3050.95</v>
          </cell>
          <cell r="E531">
            <v>3222.64</v>
          </cell>
          <cell r="F531">
            <v>2797.13</v>
          </cell>
          <cell r="G531">
            <v>3760.04</v>
          </cell>
          <cell r="H531">
            <v>3743.12</v>
          </cell>
          <cell r="I531">
            <v>6834.12</v>
          </cell>
          <cell r="J531">
            <v>5702.7</v>
          </cell>
          <cell r="K531">
            <v>3890.2</v>
          </cell>
          <cell r="L531">
            <v>5067.8</v>
          </cell>
          <cell r="M531">
            <v>8153.54</v>
          </cell>
          <cell r="N531">
            <v>4174.21</v>
          </cell>
          <cell r="O531">
            <v>8683.84</v>
          </cell>
          <cell r="Q531">
            <v>59080.290000000008</v>
          </cell>
        </row>
        <row r="532">
          <cell r="A532" t="str">
            <v>F90710C</v>
          </cell>
          <cell r="B532" t="str">
            <v>SUPERVISION</v>
          </cell>
          <cell r="I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A533" t="str">
            <v>F90800C</v>
          </cell>
          <cell r="B533" t="str">
            <v>CUSTOMER ASSISTANCE EXPENSES</v>
          </cell>
          <cell r="D533">
            <v>1210.4000000000001</v>
          </cell>
          <cell r="E533">
            <v>217.34</v>
          </cell>
          <cell r="F533">
            <v>220.91</v>
          </cell>
          <cell r="G533">
            <v>454.86</v>
          </cell>
          <cell r="H533">
            <v>1022.56</v>
          </cell>
          <cell r="I533">
            <v>412.5</v>
          </cell>
          <cell r="J533">
            <v>26385.39</v>
          </cell>
          <cell r="K533">
            <v>34560.730000000003</v>
          </cell>
          <cell r="L533">
            <v>38353.89</v>
          </cell>
          <cell r="M533">
            <v>50686.41</v>
          </cell>
          <cell r="N533">
            <v>73.75</v>
          </cell>
          <cell r="O533">
            <v>474.39</v>
          </cell>
          <cell r="Q533">
            <v>154073.13</v>
          </cell>
        </row>
        <row r="534">
          <cell r="A534" t="str">
            <v>F90800E</v>
          </cell>
          <cell r="B534" t="str">
            <v>CUSTOMER ASSISTANCE EXPENSES</v>
          </cell>
          <cell r="D534">
            <v>-1526017.53</v>
          </cell>
          <cell r="E534">
            <v>2920856.38</v>
          </cell>
          <cell r="F534">
            <v>686725.5</v>
          </cell>
          <cell r="G534">
            <v>2284415.81</v>
          </cell>
          <cell r="H534">
            <v>2356006.7000000002</v>
          </cell>
          <cell r="I534">
            <v>4714042.54</v>
          </cell>
          <cell r="J534">
            <v>5276508.13</v>
          </cell>
          <cell r="K534">
            <v>4378188.4800000004</v>
          </cell>
          <cell r="L534">
            <v>4364874.42</v>
          </cell>
          <cell r="M534">
            <v>2022316.03</v>
          </cell>
          <cell r="N534">
            <v>4517177.59</v>
          </cell>
          <cell r="O534">
            <v>13912518</v>
          </cell>
          <cell r="Q534">
            <v>45907612.049999997</v>
          </cell>
        </row>
        <row r="535">
          <cell r="A535" t="str">
            <v>F90800G</v>
          </cell>
          <cell r="B535" t="str">
            <v>CUSTOMER ASSISTANCE EXPENSES</v>
          </cell>
          <cell r="D535">
            <v>246227.5</v>
          </cell>
          <cell r="E535">
            <v>619849.87</v>
          </cell>
          <cell r="F535">
            <v>496130.1</v>
          </cell>
          <cell r="G535">
            <v>342520.86</v>
          </cell>
          <cell r="H535">
            <v>1448925.77</v>
          </cell>
          <cell r="I535">
            <v>1400708.34</v>
          </cell>
          <cell r="J535">
            <v>1738192.48</v>
          </cell>
          <cell r="K535">
            <v>1072738.31</v>
          </cell>
          <cell r="L535">
            <v>1156024.29</v>
          </cell>
          <cell r="M535">
            <v>960607.26</v>
          </cell>
          <cell r="N535">
            <v>2117844.79</v>
          </cell>
          <cell r="O535">
            <v>3528459.65</v>
          </cell>
          <cell r="Q535">
            <v>15128229.220000001</v>
          </cell>
        </row>
        <row r="536">
          <cell r="A536" t="str">
            <v>F90900C</v>
          </cell>
          <cell r="B536" t="str">
            <v>INFORMATIONAL AND INSTRUCTIONAL EXPENSE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F90900E</v>
          </cell>
          <cell r="B537" t="str">
            <v>INFORMATIONAL AND INSTRUCTIONAL EXPENSE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F90900G</v>
          </cell>
          <cell r="B538" t="str">
            <v>INFORMATIONAL AND INSTRUCTIONAL EXPENSE</v>
          </cell>
          <cell r="I538">
            <v>0</v>
          </cell>
          <cell r="N538">
            <v>0</v>
          </cell>
          <cell r="O538">
            <v>0</v>
          </cell>
          <cell r="Q538">
            <v>0</v>
          </cell>
        </row>
        <row r="539">
          <cell r="A539" t="str">
            <v>F91000C</v>
          </cell>
          <cell r="B539" t="str">
            <v>MISCELLANEOUS CUSTOMER SERV AND INFORMATIONAL EXPE</v>
          </cell>
          <cell r="D539">
            <v>150.91999999999999</v>
          </cell>
          <cell r="F539">
            <v>-0.62</v>
          </cell>
          <cell r="G539">
            <v>231.33</v>
          </cell>
          <cell r="H539">
            <v>214.74</v>
          </cell>
          <cell r="I539">
            <v>53.6</v>
          </cell>
          <cell r="J539">
            <v>107.2</v>
          </cell>
          <cell r="K539">
            <v>35784.949999999997</v>
          </cell>
          <cell r="L539">
            <v>116953.44</v>
          </cell>
          <cell r="M539">
            <v>34539.15</v>
          </cell>
          <cell r="N539">
            <v>17103.91</v>
          </cell>
          <cell r="O539">
            <v>12995.88</v>
          </cell>
          <cell r="Q539">
            <v>218134.5</v>
          </cell>
        </row>
        <row r="540">
          <cell r="A540" t="str">
            <v>F91000E</v>
          </cell>
          <cell r="B540" t="str">
            <v>MISCELLANEOUS CUSTOMER SERV AND INFORMATIONAL EXPE</v>
          </cell>
          <cell r="D540">
            <v>80062.53</v>
          </cell>
          <cell r="E540">
            <v>184761.56</v>
          </cell>
          <cell r="F540">
            <v>267902.12</v>
          </cell>
          <cell r="G540">
            <v>308915.15000000002</v>
          </cell>
          <cell r="H540">
            <v>160087.09</v>
          </cell>
          <cell r="I540">
            <v>294142.65000000002</v>
          </cell>
          <cell r="J540">
            <v>400077.95</v>
          </cell>
          <cell r="K540">
            <v>836271.67</v>
          </cell>
          <cell r="L540">
            <v>817236.59</v>
          </cell>
          <cell r="M540">
            <v>374930.17</v>
          </cell>
          <cell r="N540">
            <v>552683.48</v>
          </cell>
          <cell r="O540">
            <v>274333.24</v>
          </cell>
          <cell r="Q540">
            <v>4551404.2</v>
          </cell>
        </row>
        <row r="541">
          <cell r="A541" t="str">
            <v>F91000G</v>
          </cell>
          <cell r="B541" t="str">
            <v>MISCELLANEOUS CUSTOMER SERV AND INFORMATIONAL EXPE</v>
          </cell>
          <cell r="D541">
            <v>-43970.080000000002</v>
          </cell>
          <cell r="E541">
            <v>19192.75</v>
          </cell>
          <cell r="F541">
            <v>31770.1</v>
          </cell>
          <cell r="G541">
            <v>71343.48</v>
          </cell>
          <cell r="H541">
            <v>26340.23</v>
          </cell>
          <cell r="I541">
            <v>24061.75</v>
          </cell>
          <cell r="J541">
            <v>23090.7</v>
          </cell>
          <cell r="K541">
            <v>49531.19</v>
          </cell>
          <cell r="L541">
            <v>-25198.38</v>
          </cell>
          <cell r="M541">
            <v>50579.24</v>
          </cell>
          <cell r="N541">
            <v>22920.27</v>
          </cell>
          <cell r="O541">
            <v>27921.73</v>
          </cell>
          <cell r="Q541">
            <v>277582.98</v>
          </cell>
        </row>
        <row r="542">
          <cell r="A542" t="str">
            <v>F91020C</v>
          </cell>
          <cell r="B542" t="str">
            <v>MISCELLANEOUS CUSTOMER SERV AND INFORMATIONAL EXPE</v>
          </cell>
          <cell r="D542">
            <v>128.21</v>
          </cell>
          <cell r="E542">
            <v>68.42</v>
          </cell>
          <cell r="F542">
            <v>61.29</v>
          </cell>
          <cell r="G542">
            <v>61.19</v>
          </cell>
          <cell r="I542">
            <v>0</v>
          </cell>
          <cell r="N542">
            <v>0</v>
          </cell>
          <cell r="O542">
            <v>0</v>
          </cell>
          <cell r="Q542">
            <v>319.11</v>
          </cell>
        </row>
        <row r="543">
          <cell r="A543" t="str">
            <v>F91020E</v>
          </cell>
          <cell r="B543" t="str">
            <v>MISC CUSTOMER SERVIC</v>
          </cell>
          <cell r="D543">
            <v>2506</v>
          </cell>
          <cell r="E543">
            <v>2122</v>
          </cell>
          <cell r="F543">
            <v>2280</v>
          </cell>
          <cell r="G543">
            <v>2280</v>
          </cell>
          <cell r="H543">
            <v>2850</v>
          </cell>
          <cell r="I543">
            <v>2162</v>
          </cell>
          <cell r="J543">
            <v>-2930</v>
          </cell>
          <cell r="K543">
            <v>7680</v>
          </cell>
          <cell r="L543">
            <v>-2489.3200000000002</v>
          </cell>
          <cell r="M543">
            <v>2128</v>
          </cell>
          <cell r="N543">
            <v>2044</v>
          </cell>
          <cell r="O543">
            <v>760</v>
          </cell>
          <cell r="Q543">
            <v>21392.68</v>
          </cell>
        </row>
        <row r="544">
          <cell r="A544" t="str">
            <v>F91020G</v>
          </cell>
          <cell r="B544" t="str">
            <v>MISC CUSTOMER SERVIC</v>
          </cell>
          <cell r="I544">
            <v>0</v>
          </cell>
          <cell r="N544">
            <v>0</v>
          </cell>
          <cell r="O544">
            <v>0</v>
          </cell>
          <cell r="Q544">
            <v>0</v>
          </cell>
        </row>
        <row r="545">
          <cell r="A545" t="str">
            <v>F91080E</v>
          </cell>
          <cell r="B545" t="str">
            <v>MISCELLANEOUS CUSTOMER SERV AND INFORMA</v>
          </cell>
          <cell r="I545">
            <v>0</v>
          </cell>
          <cell r="N545">
            <v>0</v>
          </cell>
          <cell r="O545">
            <v>0</v>
          </cell>
          <cell r="Q545">
            <v>0</v>
          </cell>
        </row>
        <row r="546">
          <cell r="A546" t="str">
            <v>F91200C</v>
          </cell>
          <cell r="B546" t="str">
            <v>DEMONSTRATING AND SELLING EXPENSES</v>
          </cell>
          <cell r="I546">
            <v>0</v>
          </cell>
          <cell r="L546">
            <v>0.56000000000000005</v>
          </cell>
          <cell r="N546">
            <v>0</v>
          </cell>
          <cell r="O546">
            <v>0</v>
          </cell>
          <cell r="Q546">
            <v>0.56000000000000005</v>
          </cell>
        </row>
        <row r="547">
          <cell r="A547" t="str">
            <v>F91200E</v>
          </cell>
          <cell r="B547" t="str">
            <v>DEMONSTRATING AND SELLING EXPENSES</v>
          </cell>
          <cell r="I547">
            <v>0</v>
          </cell>
          <cell r="N547">
            <v>0</v>
          </cell>
          <cell r="O547">
            <v>0</v>
          </cell>
          <cell r="Q547">
            <v>0</v>
          </cell>
        </row>
        <row r="548">
          <cell r="A548" t="str">
            <v>F91200G</v>
          </cell>
          <cell r="B548" t="str">
            <v>DEMONSTRATING AND SELLING EXPENSES</v>
          </cell>
          <cell r="E548">
            <v>-7250.11</v>
          </cell>
          <cell r="I548">
            <v>0</v>
          </cell>
          <cell r="L548">
            <v>190.27</v>
          </cell>
          <cell r="N548">
            <v>0</v>
          </cell>
          <cell r="O548">
            <v>0</v>
          </cell>
          <cell r="Q548">
            <v>-7059.8399999999992</v>
          </cell>
        </row>
        <row r="549">
          <cell r="A549" t="str">
            <v>F91210E</v>
          </cell>
          <cell r="B549" t="str">
            <v>DEMONSTRATING AND SELLING EXPENSES</v>
          </cell>
          <cell r="I549">
            <v>0</v>
          </cell>
          <cell r="L549">
            <v>138.52000000000001</v>
          </cell>
          <cell r="N549">
            <v>0</v>
          </cell>
          <cell r="O549">
            <v>0</v>
          </cell>
          <cell r="Q549">
            <v>138.52000000000001</v>
          </cell>
        </row>
        <row r="550">
          <cell r="A550" t="str">
            <v>F91300C</v>
          </cell>
          <cell r="B550" t="str">
            <v>ADVERTISING EXPENSES</v>
          </cell>
          <cell r="D550">
            <v>356.39</v>
          </cell>
          <cell r="F550">
            <v>210.49</v>
          </cell>
          <cell r="G550">
            <v>89.04</v>
          </cell>
          <cell r="H550">
            <v>123.68</v>
          </cell>
          <cell r="I550">
            <v>70.33</v>
          </cell>
          <cell r="J550">
            <v>95.19</v>
          </cell>
          <cell r="K550">
            <v>73.099999999999994</v>
          </cell>
          <cell r="L550">
            <v>79.31</v>
          </cell>
          <cell r="N550">
            <v>89.31</v>
          </cell>
          <cell r="O550">
            <v>141.44</v>
          </cell>
          <cell r="Q550">
            <v>1328.28</v>
          </cell>
        </row>
        <row r="551">
          <cell r="A551" t="str">
            <v>F91600E</v>
          </cell>
          <cell r="B551" t="str">
            <v>MISCELLANEOUS SALES EXPENSES</v>
          </cell>
          <cell r="I551">
            <v>0</v>
          </cell>
          <cell r="N551">
            <v>0</v>
          </cell>
          <cell r="O551">
            <v>0</v>
          </cell>
          <cell r="Q551">
            <v>0</v>
          </cell>
        </row>
        <row r="552">
          <cell r="A552" t="str">
            <v>F91600G</v>
          </cell>
          <cell r="B552" t="str">
            <v>MISCELLANEOUS SALES EXPENSES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F92000C</v>
          </cell>
          <cell r="B553" t="str">
            <v>ADMINISTRATIVE AND GENERAL SALARIES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F92000E</v>
          </cell>
          <cell r="B554" t="str">
            <v>ADMINISTRATIVE AND GENERAL SALARIES</v>
          </cell>
          <cell r="D554">
            <v>1793123.89</v>
          </cell>
          <cell r="E554">
            <v>648325</v>
          </cell>
          <cell r="F554">
            <v>704100.65</v>
          </cell>
          <cell r="G554">
            <v>672797.69</v>
          </cell>
          <cell r="H554">
            <v>815924.62</v>
          </cell>
          <cell r="I554">
            <v>629268.26</v>
          </cell>
          <cell r="J554">
            <v>783443.89</v>
          </cell>
          <cell r="K554">
            <v>635871.05000000005</v>
          </cell>
          <cell r="L554">
            <v>2337591.7799999998</v>
          </cell>
          <cell r="M554">
            <v>431912.36</v>
          </cell>
          <cell r="N554">
            <v>389196.66</v>
          </cell>
          <cell r="O554">
            <v>1812443.67</v>
          </cell>
          <cell r="Q554">
            <v>11653999.519999998</v>
          </cell>
        </row>
        <row r="555">
          <cell r="A555" t="str">
            <v>F92000G</v>
          </cell>
          <cell r="B555" t="str">
            <v>ADMINISTRATIVE AND GENERAL SALARIES</v>
          </cell>
          <cell r="D555">
            <v>879114.23</v>
          </cell>
          <cell r="E555">
            <v>206791.96</v>
          </cell>
          <cell r="F555">
            <v>224669.52</v>
          </cell>
          <cell r="G555">
            <v>214648.28</v>
          </cell>
          <cell r="H555">
            <v>260470.92</v>
          </cell>
          <cell r="I555">
            <v>200836.6</v>
          </cell>
          <cell r="J555">
            <v>249749.44</v>
          </cell>
          <cell r="K555">
            <v>202944.32</v>
          </cell>
          <cell r="L555">
            <v>745950.93</v>
          </cell>
          <cell r="M555">
            <v>137794.16</v>
          </cell>
          <cell r="N555">
            <v>124215.66</v>
          </cell>
          <cell r="O555">
            <v>578511.07999999996</v>
          </cell>
          <cell r="Q555">
            <v>4025697.1000000006</v>
          </cell>
        </row>
        <row r="556">
          <cell r="A556" t="str">
            <v>F92090E</v>
          </cell>
          <cell r="B556" t="str">
            <v>ADMINISTRATIVE AND GENERAL SALARIES</v>
          </cell>
          <cell r="I556">
            <v>0</v>
          </cell>
          <cell r="N556">
            <v>0</v>
          </cell>
          <cell r="O556">
            <v>0</v>
          </cell>
          <cell r="Q556">
            <v>0</v>
          </cell>
        </row>
        <row r="557">
          <cell r="A557" t="str">
            <v>F92090G</v>
          </cell>
          <cell r="B557" t="str">
            <v>ADMINISTRATIVE AND G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F92100C</v>
          </cell>
          <cell r="B558" t="str">
            <v>OFFICE SUPPLIES AND EXPENSES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F92100E</v>
          </cell>
          <cell r="B559" t="str">
            <v>OFFICE SUPPLIES AND EXPENSES</v>
          </cell>
          <cell r="D559">
            <v>4386076.21</v>
          </cell>
          <cell r="E559">
            <v>-4125626.7</v>
          </cell>
          <cell r="F559">
            <v>503382.21</v>
          </cell>
          <cell r="G559">
            <v>-110585.15</v>
          </cell>
          <cell r="H559">
            <v>813709.14</v>
          </cell>
          <cell r="I559">
            <v>-3443615.18</v>
          </cell>
          <cell r="J559">
            <v>-94065.96</v>
          </cell>
          <cell r="K559">
            <v>-728087.26</v>
          </cell>
          <cell r="L559">
            <v>705842.74</v>
          </cell>
          <cell r="M559">
            <v>855747.49</v>
          </cell>
          <cell r="N559">
            <v>-40490.04</v>
          </cell>
          <cell r="O559">
            <v>1186706.2899999998</v>
          </cell>
          <cell r="Q559">
            <v>-91006.210000000661</v>
          </cell>
        </row>
        <row r="560">
          <cell r="A560" t="str">
            <v>F92100G</v>
          </cell>
          <cell r="B560" t="str">
            <v>OFFICE SUPPLIES AND EXPENSES</v>
          </cell>
          <cell r="D560">
            <v>1369462.03</v>
          </cell>
          <cell r="E560">
            <v>-1318662.43</v>
          </cell>
          <cell r="F560">
            <v>158687.31</v>
          </cell>
          <cell r="G560">
            <v>-37198.980000000003</v>
          </cell>
          <cell r="H560">
            <v>260794.16</v>
          </cell>
          <cell r="I560">
            <v>97007.25</v>
          </cell>
          <cell r="J560">
            <v>-30357.360000000001</v>
          </cell>
          <cell r="K560">
            <v>124287.47</v>
          </cell>
          <cell r="L560">
            <v>-137853.76999999999</v>
          </cell>
          <cell r="M560">
            <v>273376.69</v>
          </cell>
          <cell r="N560">
            <v>-13122.79</v>
          </cell>
          <cell r="O560">
            <v>235577</v>
          </cell>
          <cell r="Q560">
            <v>981996.58000000007</v>
          </cell>
        </row>
        <row r="561">
          <cell r="A561" t="str">
            <v>F92101C</v>
          </cell>
          <cell r="B561" t="str">
            <v>OFFICE SUPPLIES AND EXPENSES - FLOW ADJ</v>
          </cell>
          <cell r="I561">
            <v>0</v>
          </cell>
          <cell r="N561">
            <v>0</v>
          </cell>
          <cell r="O561">
            <v>0</v>
          </cell>
          <cell r="Q561">
            <v>0</v>
          </cell>
        </row>
        <row r="562">
          <cell r="A562" t="str">
            <v>F92101E</v>
          </cell>
          <cell r="B562" t="str">
            <v>OFFICE SUPPLIES AND EXPENSES - FLOW ADJ</v>
          </cell>
          <cell r="D562">
            <v>-1152.79</v>
          </cell>
          <cell r="E562">
            <v>4032.68</v>
          </cell>
          <cell r="F562">
            <v>-2202.9299999999998</v>
          </cell>
          <cell r="G562">
            <v>-4137.21</v>
          </cell>
          <cell r="H562">
            <v>21265.25</v>
          </cell>
          <cell r="I562">
            <v>-23828.18</v>
          </cell>
          <cell r="J562">
            <v>0.04</v>
          </cell>
          <cell r="K562">
            <v>-0.02</v>
          </cell>
          <cell r="L562">
            <v>-0.04</v>
          </cell>
          <cell r="M562">
            <v>736.75</v>
          </cell>
          <cell r="N562">
            <v>-736.75</v>
          </cell>
          <cell r="O562">
            <v>0.02</v>
          </cell>
          <cell r="Q562">
            <v>-6023.18</v>
          </cell>
        </row>
        <row r="563">
          <cell r="A563" t="str">
            <v>F92101G</v>
          </cell>
          <cell r="B563" t="str">
            <v>OFFICE SUPPLIES AND EXPENSES- FLOW ADJ</v>
          </cell>
          <cell r="D563">
            <v>-367.9</v>
          </cell>
          <cell r="E563">
            <v>1287.21</v>
          </cell>
          <cell r="F563">
            <v>-702.78</v>
          </cell>
          <cell r="G563">
            <v>-1320.38</v>
          </cell>
          <cell r="H563">
            <v>6786.99</v>
          </cell>
          <cell r="I563">
            <v>-7604.87</v>
          </cell>
          <cell r="J563">
            <v>-0.05</v>
          </cell>
          <cell r="K563">
            <v>0.03</v>
          </cell>
          <cell r="L563">
            <v>0.03</v>
          </cell>
          <cell r="M563">
            <v>235.12</v>
          </cell>
          <cell r="N563">
            <v>-235.13</v>
          </cell>
          <cell r="O563">
            <v>0.01</v>
          </cell>
          <cell r="Q563">
            <v>-1921.7200000000005</v>
          </cell>
        </row>
        <row r="564">
          <cell r="A564" t="str">
            <v>F9210AC</v>
          </cell>
          <cell r="B564" t="str">
            <v>OFFICE SUPPLIES AND EXPE - SEMPRA CHARGES</v>
          </cell>
          <cell r="E564">
            <v>-18.09</v>
          </cell>
          <cell r="F564">
            <v>-457.94</v>
          </cell>
          <cell r="G564">
            <v>315.18</v>
          </cell>
          <cell r="I564">
            <v>0</v>
          </cell>
          <cell r="N564">
            <v>4.78</v>
          </cell>
          <cell r="O564">
            <v>0</v>
          </cell>
          <cell r="Q564">
            <v>-156.06999999999996</v>
          </cell>
        </row>
        <row r="565">
          <cell r="A565" t="str">
            <v>F9210AE</v>
          </cell>
          <cell r="B565" t="str">
            <v>OFFICE SUPPLIES AND EXPE - SEMPRA CHARGES</v>
          </cell>
          <cell r="D565">
            <v>-2658068.9300000002</v>
          </cell>
          <cell r="E565">
            <v>4819653.25</v>
          </cell>
          <cell r="F565">
            <v>3120643.83</v>
          </cell>
          <cell r="G565">
            <v>2791397.04</v>
          </cell>
          <cell r="H565">
            <v>3305560.83</v>
          </cell>
          <cell r="I565">
            <v>3440471.34</v>
          </cell>
          <cell r="J565">
            <v>2620359.7799999998</v>
          </cell>
          <cell r="K565">
            <v>2458833.5099999998</v>
          </cell>
          <cell r="L565">
            <v>820923.23</v>
          </cell>
          <cell r="M565">
            <v>1722937.69</v>
          </cell>
          <cell r="N565">
            <v>2287633.77</v>
          </cell>
          <cell r="O565">
            <v>4369786.92</v>
          </cell>
          <cell r="Q565">
            <v>29100132.259999998</v>
          </cell>
        </row>
        <row r="566">
          <cell r="A566" t="str">
            <v>F9210AG</v>
          </cell>
          <cell r="B566" t="str">
            <v>OFFICE SUPPLIES AND EXPE - SEMPRA CHARGES</v>
          </cell>
          <cell r="D566">
            <v>-848340.77</v>
          </cell>
          <cell r="E566">
            <v>1538225.02</v>
          </cell>
          <cell r="F566">
            <v>995974.13</v>
          </cell>
          <cell r="G566">
            <v>890893.07</v>
          </cell>
          <cell r="H566">
            <v>1054992.0900000001</v>
          </cell>
          <cell r="I566">
            <v>1098049.8</v>
          </cell>
          <cell r="J566">
            <v>836305.84</v>
          </cell>
          <cell r="K566">
            <v>784753.36</v>
          </cell>
          <cell r="L566">
            <v>262002.99</v>
          </cell>
          <cell r="M566">
            <v>549887.4</v>
          </cell>
          <cell r="N566">
            <v>730112.85</v>
          </cell>
          <cell r="O566">
            <v>1394522.75</v>
          </cell>
          <cell r="Q566">
            <v>9287378.5300000012</v>
          </cell>
        </row>
        <row r="567">
          <cell r="A567" t="str">
            <v>F92120E</v>
          </cell>
          <cell r="B567" t="str">
            <v>OFFICE SUPPLIES AND EXPENSES</v>
          </cell>
          <cell r="I567">
            <v>0</v>
          </cell>
          <cell r="L567">
            <v>122.34</v>
          </cell>
          <cell r="N567">
            <v>0</v>
          </cell>
          <cell r="O567">
            <v>0</v>
          </cell>
          <cell r="Q567">
            <v>122.34</v>
          </cell>
        </row>
        <row r="568">
          <cell r="A568" t="str">
            <v>F92120G</v>
          </cell>
          <cell r="B568" t="str">
            <v>OFFICE SUPPLIES AND</v>
          </cell>
          <cell r="I568">
            <v>0</v>
          </cell>
          <cell r="L568">
            <v>39.04</v>
          </cell>
          <cell r="N568">
            <v>0</v>
          </cell>
          <cell r="O568">
            <v>0</v>
          </cell>
          <cell r="Q568">
            <v>39.04</v>
          </cell>
        </row>
        <row r="569">
          <cell r="A569" t="str">
            <v>F92140C</v>
          </cell>
          <cell r="B569" t="str">
            <v>OFFICE SUPPLIES AND EXPENSES</v>
          </cell>
          <cell r="I569">
            <v>0</v>
          </cell>
          <cell r="N569">
            <v>0</v>
          </cell>
          <cell r="O569">
            <v>0</v>
          </cell>
          <cell r="Q569">
            <v>0</v>
          </cell>
        </row>
        <row r="570">
          <cell r="A570" t="str">
            <v>F92140E</v>
          </cell>
          <cell r="B570" t="str">
            <v>OFFICE SUPPLIES AND EXPENSES</v>
          </cell>
          <cell r="D570">
            <v>-14546.82</v>
          </cell>
          <cell r="E570">
            <v>-15186.01</v>
          </cell>
          <cell r="F570">
            <v>-15266.3</v>
          </cell>
          <cell r="G570">
            <v>-14662.82</v>
          </cell>
          <cell r="H570">
            <v>-14733</v>
          </cell>
          <cell r="I570">
            <v>-14733</v>
          </cell>
          <cell r="J570">
            <v>-14733</v>
          </cell>
          <cell r="K570">
            <v>-14733</v>
          </cell>
          <cell r="L570">
            <v>-14733</v>
          </cell>
          <cell r="M570">
            <v>-14732.99</v>
          </cell>
          <cell r="N570">
            <v>-14733</v>
          </cell>
          <cell r="O570">
            <v>-14733</v>
          </cell>
          <cell r="Q570">
            <v>-177525.94</v>
          </cell>
        </row>
        <row r="571">
          <cell r="A571" t="str">
            <v>F92140G</v>
          </cell>
          <cell r="B571" t="str">
            <v>OFFICE SUPPLIES AND</v>
          </cell>
          <cell r="D571">
            <v>-4642.8500000000004</v>
          </cell>
          <cell r="E571">
            <v>-4846.58</v>
          </cell>
          <cell r="F571">
            <v>-4872.2</v>
          </cell>
          <cell r="G571">
            <v>-4679.6000000000004</v>
          </cell>
          <cell r="H571">
            <v>-4702</v>
          </cell>
          <cell r="I571">
            <v>-4702</v>
          </cell>
          <cell r="J571">
            <v>-4702</v>
          </cell>
          <cell r="K571">
            <v>-4702</v>
          </cell>
          <cell r="L571">
            <v>-4702</v>
          </cell>
          <cell r="M571">
            <v>-4702</v>
          </cell>
          <cell r="N571">
            <v>-4702</v>
          </cell>
          <cell r="O571">
            <v>-4702</v>
          </cell>
          <cell r="Q571">
            <v>-56657.23</v>
          </cell>
        </row>
        <row r="572">
          <cell r="A572" t="str">
            <v>F92170E</v>
          </cell>
          <cell r="B572" t="str">
            <v>OFFICE SUPPLIES AND EXPENSES-WA DOCS-ELECTRIC</v>
          </cell>
          <cell r="G572">
            <v>71.31</v>
          </cell>
          <cell r="I572">
            <v>0</v>
          </cell>
          <cell r="N572">
            <v>0</v>
          </cell>
          <cell r="O572">
            <v>0</v>
          </cell>
          <cell r="Q572">
            <v>71.31</v>
          </cell>
        </row>
        <row r="573">
          <cell r="A573" t="str">
            <v>F92170G</v>
          </cell>
          <cell r="B573" t="str">
            <v>OFFICE SUPPLIES AND EXPENSES-WA DOCS-GAS</v>
          </cell>
          <cell r="G573">
            <v>22.91</v>
          </cell>
          <cell r="I573">
            <v>0</v>
          </cell>
          <cell r="N573">
            <v>0</v>
          </cell>
          <cell r="O573">
            <v>0</v>
          </cell>
          <cell r="Q573">
            <v>22.91</v>
          </cell>
        </row>
        <row r="574">
          <cell r="A574" t="str">
            <v>F92180E</v>
          </cell>
          <cell r="B574" t="str">
            <v>OFFICE SUPPLIES AND EXPENSES-MAT COST A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F92180G</v>
          </cell>
          <cell r="B575" t="str">
            <v>OFFICE SUPPLIES AND EXPENSES-MAT COST A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F92190E</v>
          </cell>
          <cell r="B576" t="str">
            <v>OFFICE SUPPLIES AND EXPENSES-OFFSET ADJS</v>
          </cell>
          <cell r="D576">
            <v>705.9</v>
          </cell>
          <cell r="E576">
            <v>1389.1</v>
          </cell>
          <cell r="F576">
            <v>-947.06</v>
          </cell>
          <cell r="G576">
            <v>-1061.32</v>
          </cell>
          <cell r="H576">
            <v>718.35</v>
          </cell>
          <cell r="I576">
            <v>2044.6</v>
          </cell>
          <cell r="J576">
            <v>-21462.36</v>
          </cell>
          <cell r="K576">
            <v>-712.99</v>
          </cell>
          <cell r="L576">
            <v>0.42</v>
          </cell>
          <cell r="N576">
            <v>2375.19</v>
          </cell>
          <cell r="O576">
            <v>17260.21</v>
          </cell>
          <cell r="Q576">
            <v>310.0399999999936</v>
          </cell>
        </row>
        <row r="577">
          <cell r="A577" t="str">
            <v>F92190G</v>
          </cell>
          <cell r="B577" t="str">
            <v>OFFICE SUPPLIES AND EXPENSES-OFFSET ADJS</v>
          </cell>
          <cell r="D577">
            <v>225.21</v>
          </cell>
          <cell r="E577">
            <v>443.33</v>
          </cell>
          <cell r="F577">
            <v>-298.05</v>
          </cell>
          <cell r="G577">
            <v>-338.76</v>
          </cell>
          <cell r="H577">
            <v>229.2</v>
          </cell>
          <cell r="I577">
            <v>642.42999999999995</v>
          </cell>
          <cell r="J577">
            <v>-6868.87</v>
          </cell>
          <cell r="K577">
            <v>-227.54</v>
          </cell>
          <cell r="L577">
            <v>0.14000000000000001</v>
          </cell>
          <cell r="N577">
            <v>758.08</v>
          </cell>
          <cell r="O577">
            <v>5508.8</v>
          </cell>
          <cell r="Q577">
            <v>73.970000000000255</v>
          </cell>
        </row>
        <row r="578">
          <cell r="A578" t="str">
            <v>F92200C</v>
          </cell>
          <cell r="B578" t="str">
            <v>ADMINISTRATIVE EXPENSES TRANSFERRED-CREDIT</v>
          </cell>
          <cell r="D578">
            <v>-144896.09</v>
          </cell>
          <cell r="E578">
            <v>-131927.34</v>
          </cell>
          <cell r="F578">
            <v>-118608.39</v>
          </cell>
          <cell r="G578">
            <v>-121298.23</v>
          </cell>
          <cell r="H578">
            <v>-136290.10999999999</v>
          </cell>
          <cell r="I578">
            <v>-121918.57</v>
          </cell>
          <cell r="J578">
            <v>-155667.59</v>
          </cell>
          <cell r="K578">
            <v>-137382.29</v>
          </cell>
          <cell r="N578">
            <v>0</v>
          </cell>
          <cell r="O578">
            <v>0</v>
          </cell>
          <cell r="Q578">
            <v>-1067988.6099999999</v>
          </cell>
        </row>
        <row r="579">
          <cell r="A579" t="str">
            <v>F92200E</v>
          </cell>
          <cell r="B579" t="str">
            <v>ADMINISTRATIVE EXPENSES TRANSFERRED-CREDIT</v>
          </cell>
          <cell r="I579">
            <v>0</v>
          </cell>
          <cell r="L579">
            <v>-127038.22</v>
          </cell>
          <cell r="M579">
            <v>-162303.44</v>
          </cell>
          <cell r="N579">
            <v>-207009.24</v>
          </cell>
          <cell r="O579">
            <v>-211420.89</v>
          </cell>
          <cell r="Q579">
            <v>-707771.79</v>
          </cell>
        </row>
        <row r="580">
          <cell r="A580" t="str">
            <v>F92200G</v>
          </cell>
          <cell r="B580" t="str">
            <v>ADMINISTRATIVE EXPENSES TRANSFERRED-CREDIT</v>
          </cell>
          <cell r="I580">
            <v>0</v>
          </cell>
          <cell r="L580">
            <v>-40539.440000000002</v>
          </cell>
          <cell r="M580">
            <v>-51801.1</v>
          </cell>
          <cell r="N580">
            <v>-66069.759999999995</v>
          </cell>
          <cell r="O580">
            <v>-67480.28</v>
          </cell>
          <cell r="Q580">
            <v>-225890.58</v>
          </cell>
        </row>
        <row r="581">
          <cell r="A581" t="str">
            <v>F9220AE</v>
          </cell>
          <cell r="B581" t="str">
            <v>ADMIN EXP TRANSFERRED CREDIT - SEMPRA CHARGES</v>
          </cell>
          <cell r="D581">
            <v>110.37</v>
          </cell>
          <cell r="E581">
            <v>-265902.5</v>
          </cell>
          <cell r="F581">
            <v>-299223.77</v>
          </cell>
          <cell r="G581">
            <v>-236977.87</v>
          </cell>
          <cell r="H581">
            <v>-326075.48</v>
          </cell>
          <cell r="I581">
            <v>-348720.74</v>
          </cell>
          <cell r="J581">
            <v>-239190.47</v>
          </cell>
          <cell r="K581">
            <v>-222264.16</v>
          </cell>
          <cell r="N581">
            <v>0</v>
          </cell>
          <cell r="O581">
            <v>0</v>
          </cell>
          <cell r="Q581">
            <v>-1938244.6199999999</v>
          </cell>
        </row>
        <row r="582">
          <cell r="A582" t="str">
            <v>F9220AG</v>
          </cell>
          <cell r="B582" t="str">
            <v>ADMIN EXP TRANSFERRED CREDIT - SEMPRA CHARGES</v>
          </cell>
          <cell r="D582">
            <v>35.229999999999997</v>
          </cell>
          <cell r="E582">
            <v>-84864.6</v>
          </cell>
          <cell r="F582">
            <v>-95499.3</v>
          </cell>
          <cell r="G582">
            <v>-75633.100000000006</v>
          </cell>
          <cell r="H582">
            <v>-104069.21</v>
          </cell>
          <cell r="I582">
            <v>-111296.59</v>
          </cell>
          <cell r="J582">
            <v>-76339.25</v>
          </cell>
          <cell r="K582">
            <v>-70937.119999999995</v>
          </cell>
          <cell r="N582">
            <v>0</v>
          </cell>
          <cell r="O582">
            <v>0</v>
          </cell>
          <cell r="Q582">
            <v>-618603.94000000006</v>
          </cell>
        </row>
        <row r="583">
          <cell r="A583" t="str">
            <v>F922A0E</v>
          </cell>
          <cell r="B583" t="str">
            <v>ADMIN EXP TRANSFERRED CREDIT-SEMPRA CHARGES</v>
          </cell>
          <cell r="I583">
            <v>0</v>
          </cell>
          <cell r="L583">
            <v>-120208.33</v>
          </cell>
          <cell r="M583">
            <v>-256845.44</v>
          </cell>
          <cell r="N583">
            <v>-349878.72</v>
          </cell>
          <cell r="O583">
            <v>-654552.73</v>
          </cell>
          <cell r="Q583">
            <v>-1381485.22</v>
          </cell>
        </row>
        <row r="584">
          <cell r="A584" t="str">
            <v>F922A0G</v>
          </cell>
          <cell r="B584" t="str">
            <v>ADMIN EXP TRANSFERRED CREDIT-SEMPRA CHARGES</v>
          </cell>
          <cell r="I584">
            <v>0</v>
          </cell>
          <cell r="L584">
            <v>-38369.47</v>
          </cell>
          <cell r="M584">
            <v>-81971.740000000005</v>
          </cell>
          <cell r="N584">
            <v>-111669.59</v>
          </cell>
          <cell r="O584">
            <v>-208900.87</v>
          </cell>
          <cell r="Q584">
            <v>-440911.67</v>
          </cell>
        </row>
        <row r="585">
          <cell r="A585" t="str">
            <v>F92300C</v>
          </cell>
          <cell r="B585" t="str">
            <v>OUTSIDE SERVICES EMPLOYED</v>
          </cell>
          <cell r="I585">
            <v>0</v>
          </cell>
          <cell r="N585">
            <v>0</v>
          </cell>
          <cell r="O585">
            <v>0</v>
          </cell>
          <cell r="Q585">
            <v>0</v>
          </cell>
        </row>
        <row r="586">
          <cell r="A586" t="str">
            <v>F92300E</v>
          </cell>
          <cell r="B586" t="str">
            <v>OUTSIDE SERVICES EMPLOYED</v>
          </cell>
          <cell r="D586">
            <v>13127.32</v>
          </cell>
          <cell r="E586">
            <v>197282.6</v>
          </cell>
          <cell r="F586">
            <v>171244.48</v>
          </cell>
          <cell r="G586">
            <v>253065.38</v>
          </cell>
          <cell r="H586">
            <v>199835.5</v>
          </cell>
          <cell r="I586">
            <v>155126.39999999999</v>
          </cell>
          <cell r="J586">
            <v>70327.91</v>
          </cell>
          <cell r="K586">
            <v>41242.58</v>
          </cell>
          <cell r="L586">
            <v>26722.25</v>
          </cell>
          <cell r="M586">
            <v>41449.339999999997</v>
          </cell>
          <cell r="N586">
            <v>75981.820000000007</v>
          </cell>
          <cell r="O586">
            <v>-628032.43000000005</v>
          </cell>
          <cell r="Q586">
            <v>617373.15000000026</v>
          </cell>
        </row>
        <row r="587">
          <cell r="A587" t="str">
            <v>F92300G</v>
          </cell>
          <cell r="B587" t="str">
            <v>OUTSIDE SERVICES EMPLOYED</v>
          </cell>
          <cell r="D587">
            <v>1093.8800000000001</v>
          </cell>
          <cell r="E587">
            <v>14474.11</v>
          </cell>
          <cell r="F587">
            <v>41097.129999999997</v>
          </cell>
          <cell r="G587">
            <v>48169.19</v>
          </cell>
          <cell r="H587">
            <v>55291.76</v>
          </cell>
          <cell r="I587">
            <v>47115.26</v>
          </cell>
          <cell r="J587">
            <v>19075.5</v>
          </cell>
          <cell r="K587">
            <v>16853.38</v>
          </cell>
          <cell r="L587">
            <v>27977.09</v>
          </cell>
          <cell r="M587">
            <v>20916.080000000002</v>
          </cell>
          <cell r="N587">
            <v>32368</v>
          </cell>
          <cell r="O587">
            <v>-105664.69</v>
          </cell>
          <cell r="Q587">
            <v>218766.69000000006</v>
          </cell>
        </row>
        <row r="588">
          <cell r="A588" t="str">
            <v>F9230AE</v>
          </cell>
          <cell r="B588" t="str">
            <v>OUTSIDE SERVICES EMPLOYED-SEMPRA CHARGES</v>
          </cell>
          <cell r="I588">
            <v>0</v>
          </cell>
          <cell r="L588">
            <v>90967.21</v>
          </cell>
          <cell r="M588">
            <v>204711.07</v>
          </cell>
          <cell r="N588">
            <v>61706.65</v>
          </cell>
          <cell r="O588">
            <v>90967.52</v>
          </cell>
          <cell r="Q588">
            <v>448352.45000000007</v>
          </cell>
        </row>
        <row r="589">
          <cell r="A589" t="str">
            <v>F9230AG</v>
          </cell>
          <cell r="B589" t="str">
            <v>OUTSIDE SERVICES EMPLOYED</v>
          </cell>
          <cell r="I589">
            <v>0</v>
          </cell>
          <cell r="L589">
            <v>29032.79</v>
          </cell>
          <cell r="M589">
            <v>65334.91</v>
          </cell>
          <cell r="N589">
            <v>19694.12</v>
          </cell>
          <cell r="O589">
            <v>29032.91</v>
          </cell>
          <cell r="Q589">
            <v>143094.73000000001</v>
          </cell>
        </row>
        <row r="590">
          <cell r="A590" t="str">
            <v>F92400C</v>
          </cell>
          <cell r="B590" t="str">
            <v>PROPERTY INSURANCE</v>
          </cell>
          <cell r="I590">
            <v>0</v>
          </cell>
          <cell r="N590">
            <v>0</v>
          </cell>
          <cell r="O590">
            <v>0</v>
          </cell>
          <cell r="Q590">
            <v>0</v>
          </cell>
        </row>
        <row r="591">
          <cell r="A591" t="str">
            <v>F92400E</v>
          </cell>
          <cell r="B591" t="str">
            <v>PROPERTY INSURANCE</v>
          </cell>
          <cell r="D591">
            <v>7164.56</v>
          </cell>
          <cell r="F591">
            <v>500101.84</v>
          </cell>
          <cell r="G591">
            <v>-3801838.65</v>
          </cell>
          <cell r="H591">
            <v>228.16</v>
          </cell>
          <cell r="I591">
            <v>24.81</v>
          </cell>
          <cell r="J591">
            <v>10424.01</v>
          </cell>
          <cell r="L591">
            <v>47725.83</v>
          </cell>
          <cell r="M591">
            <v>81302.09</v>
          </cell>
          <cell r="N591">
            <v>47458.28</v>
          </cell>
          <cell r="O591">
            <v>9135.5300000000007</v>
          </cell>
          <cell r="Q591">
            <v>-3098273.5400000005</v>
          </cell>
        </row>
        <row r="592">
          <cell r="A592" t="str">
            <v>F92400G</v>
          </cell>
          <cell r="B592" t="str">
            <v>PROPERTY INSURANCE</v>
          </cell>
          <cell r="D592">
            <v>2897.9</v>
          </cell>
          <cell r="E592">
            <v>5184.03</v>
          </cell>
          <cell r="F592">
            <v>752.65</v>
          </cell>
          <cell r="G592">
            <v>3576.01</v>
          </cell>
          <cell r="H592">
            <v>13492.38</v>
          </cell>
          <cell r="I592">
            <v>2781.22</v>
          </cell>
          <cell r="J592">
            <v>32293.53</v>
          </cell>
          <cell r="K592">
            <v>22698.53</v>
          </cell>
          <cell r="L592">
            <v>25316.85</v>
          </cell>
          <cell r="M592">
            <v>36216.89</v>
          </cell>
          <cell r="N592">
            <v>28956.38</v>
          </cell>
          <cell r="O592">
            <v>7826.99</v>
          </cell>
          <cell r="Q592">
            <v>181993.36</v>
          </cell>
        </row>
        <row r="593">
          <cell r="A593" t="str">
            <v>F92500C</v>
          </cell>
          <cell r="B593" t="str">
            <v>INJURIES AND DAMAGES</v>
          </cell>
          <cell r="I593">
            <v>0</v>
          </cell>
          <cell r="N593">
            <v>0</v>
          </cell>
          <cell r="O593">
            <v>0</v>
          </cell>
          <cell r="Q593">
            <v>0</v>
          </cell>
        </row>
        <row r="594">
          <cell r="A594" t="str">
            <v>F92500E</v>
          </cell>
          <cell r="B594" t="str">
            <v>INJURIES AND DAMAGES</v>
          </cell>
          <cell r="D594">
            <v>291545.40000000002</v>
          </cell>
          <cell r="E594">
            <v>133156.95000000001</v>
          </cell>
          <cell r="F594">
            <v>430737.63</v>
          </cell>
          <cell r="G594">
            <v>276438.21999999997</v>
          </cell>
          <cell r="H594">
            <v>212577.18</v>
          </cell>
          <cell r="I594">
            <v>361290.27</v>
          </cell>
          <cell r="J594">
            <v>465184.99</v>
          </cell>
          <cell r="K594">
            <v>133675.72</v>
          </cell>
          <cell r="L594">
            <v>-233766.8</v>
          </cell>
          <cell r="M594">
            <v>346041.44</v>
          </cell>
          <cell r="N594">
            <v>212558.11</v>
          </cell>
          <cell r="O594">
            <v>352164.74000000022</v>
          </cell>
          <cell r="Q594">
            <v>2981603.85</v>
          </cell>
        </row>
        <row r="595">
          <cell r="A595" t="str">
            <v>F92500G</v>
          </cell>
          <cell r="B595" t="str">
            <v>INJURIES AND DAMAGES</v>
          </cell>
          <cell r="D595">
            <v>123889.28</v>
          </cell>
          <cell r="E595">
            <v>98992.33</v>
          </cell>
          <cell r="F595">
            <v>291866.63</v>
          </cell>
          <cell r="G595">
            <v>113834.3</v>
          </cell>
          <cell r="H595">
            <v>133116.93</v>
          </cell>
          <cell r="I595">
            <v>177486.01</v>
          </cell>
          <cell r="J595">
            <v>227475.1</v>
          </cell>
          <cell r="K595">
            <v>75733.149999999994</v>
          </cell>
          <cell r="L595">
            <v>-57339.86</v>
          </cell>
          <cell r="M595">
            <v>181697.17</v>
          </cell>
          <cell r="N595">
            <v>113478.12</v>
          </cell>
          <cell r="O595">
            <v>179224.93999999994</v>
          </cell>
          <cell r="Q595">
            <v>1659454.0999999996</v>
          </cell>
        </row>
        <row r="596">
          <cell r="A596" t="str">
            <v>F92510C</v>
          </cell>
          <cell r="B596" t="str">
            <v>INJURIES AND DAMAGES - PLPD</v>
          </cell>
          <cell r="I596">
            <v>0</v>
          </cell>
          <cell r="N596">
            <v>0</v>
          </cell>
          <cell r="O596">
            <v>0</v>
          </cell>
          <cell r="Q596">
            <v>0</v>
          </cell>
        </row>
        <row r="597">
          <cell r="A597" t="str">
            <v>F92510E</v>
          </cell>
          <cell r="B597" t="str">
            <v>INJURIES AND DAMAGES</v>
          </cell>
          <cell r="D597">
            <v>156728.65</v>
          </cell>
          <cell r="E597">
            <v>86038.18</v>
          </cell>
          <cell r="F597">
            <v>96960.11</v>
          </cell>
          <cell r="G597">
            <v>159956.73000000001</v>
          </cell>
          <cell r="H597">
            <v>116021.23</v>
          </cell>
          <cell r="I597">
            <v>37537.43</v>
          </cell>
          <cell r="J597">
            <v>70446.27</v>
          </cell>
          <cell r="K597">
            <v>77216.19</v>
          </cell>
          <cell r="L597">
            <v>523202.49</v>
          </cell>
          <cell r="M597">
            <v>95562.14</v>
          </cell>
          <cell r="N597">
            <v>105366.2</v>
          </cell>
          <cell r="O597">
            <v>118493.73</v>
          </cell>
          <cell r="Q597">
            <v>1643529.3499999999</v>
          </cell>
        </row>
        <row r="598">
          <cell r="A598" t="str">
            <v>F92510G</v>
          </cell>
          <cell r="B598" t="str">
            <v>INJURIES AND DAMAGES</v>
          </cell>
          <cell r="D598">
            <v>68591.12</v>
          </cell>
          <cell r="E598">
            <v>37658.25</v>
          </cell>
          <cell r="F598">
            <v>42460.23</v>
          </cell>
          <cell r="G598">
            <v>47207.75</v>
          </cell>
          <cell r="H598">
            <v>44830.2</v>
          </cell>
          <cell r="I598">
            <v>10530.83</v>
          </cell>
          <cell r="J598">
            <v>30831.55</v>
          </cell>
          <cell r="K598">
            <v>33799.300000000003</v>
          </cell>
          <cell r="L598">
            <v>218104.76</v>
          </cell>
          <cell r="M598">
            <v>36381.980000000003</v>
          </cell>
          <cell r="N598">
            <v>40356.129999999997</v>
          </cell>
          <cell r="O598">
            <v>42907.1</v>
          </cell>
          <cell r="Q598">
            <v>653659.19999999995</v>
          </cell>
        </row>
        <row r="599">
          <cell r="A599" t="str">
            <v>F92520E</v>
          </cell>
          <cell r="B599" t="str">
            <v>INJURIES AND DAMAGES</v>
          </cell>
          <cell r="D599">
            <v>15492.61</v>
          </cell>
          <cell r="E599">
            <v>14788.54</v>
          </cell>
          <cell r="F599">
            <v>15083</v>
          </cell>
          <cell r="G599">
            <v>15043.53</v>
          </cell>
          <cell r="H599">
            <v>17470.18</v>
          </cell>
          <cell r="I599">
            <v>14333.5</v>
          </cell>
          <cell r="J599">
            <v>18107.52</v>
          </cell>
          <cell r="K599">
            <v>17903.82</v>
          </cell>
          <cell r="L599">
            <v>15155.19</v>
          </cell>
          <cell r="M599">
            <v>36329.72</v>
          </cell>
          <cell r="N599">
            <v>18039.240000000002</v>
          </cell>
          <cell r="O599">
            <v>10463.129999999999</v>
          </cell>
          <cell r="Q599">
            <v>208209.98</v>
          </cell>
        </row>
        <row r="600">
          <cell r="A600" t="str">
            <v>F92520G</v>
          </cell>
          <cell r="B600" t="str">
            <v>INJURIES AND DAMAGES</v>
          </cell>
          <cell r="E600">
            <v>23.12</v>
          </cell>
          <cell r="I600">
            <v>0</v>
          </cell>
          <cell r="M600">
            <v>882.39</v>
          </cell>
          <cell r="N600">
            <v>0</v>
          </cell>
          <cell r="O600">
            <v>25.1</v>
          </cell>
          <cell r="Q600">
            <v>930.61</v>
          </cell>
        </row>
        <row r="601">
          <cell r="A601" t="str">
            <v>F92600C</v>
          </cell>
          <cell r="B601" t="str">
            <v>EMPLOYEE PENSIONS AND BENEFITS</v>
          </cell>
          <cell r="I601">
            <v>0</v>
          </cell>
          <cell r="N601">
            <v>0</v>
          </cell>
          <cell r="O601">
            <v>0</v>
          </cell>
          <cell r="Q601">
            <v>0</v>
          </cell>
        </row>
        <row r="602">
          <cell r="A602" t="str">
            <v>F92600E</v>
          </cell>
          <cell r="B602" t="str">
            <v>EMPLOYEE PENSIONS AND BENEFITS</v>
          </cell>
          <cell r="D602">
            <v>1186233.68</v>
          </cell>
          <cell r="E602">
            <v>407865.03</v>
          </cell>
          <cell r="F602">
            <v>1103215.96</v>
          </cell>
          <cell r="G602">
            <v>759718.63</v>
          </cell>
          <cell r="H602">
            <v>664233.57999999996</v>
          </cell>
          <cell r="I602">
            <v>949004.79</v>
          </cell>
          <cell r="J602">
            <v>520548.67</v>
          </cell>
          <cell r="K602">
            <v>823073.9</v>
          </cell>
          <cell r="L602">
            <v>443039.82</v>
          </cell>
          <cell r="M602">
            <v>597754.62</v>
          </cell>
          <cell r="N602">
            <v>-271644.09000000003</v>
          </cell>
          <cell r="O602">
            <v>4193703.49</v>
          </cell>
          <cell r="Q602">
            <v>11376748.080000002</v>
          </cell>
        </row>
        <row r="603">
          <cell r="A603" t="str">
            <v>F92600G</v>
          </cell>
          <cell r="B603" t="str">
            <v>EMPLOYEE PENSIONS AND BENEFITS</v>
          </cell>
          <cell r="D603">
            <v>481703.2</v>
          </cell>
          <cell r="E603">
            <v>165594.15</v>
          </cell>
          <cell r="F603">
            <v>448458.68</v>
          </cell>
          <cell r="G603">
            <v>308715.48</v>
          </cell>
          <cell r="H603">
            <v>268696.32000000001</v>
          </cell>
          <cell r="I603">
            <v>342894.73</v>
          </cell>
          <cell r="J603">
            <v>210289.22</v>
          </cell>
          <cell r="K603">
            <v>334875.65999999997</v>
          </cell>
          <cell r="L603">
            <v>177055.49</v>
          </cell>
          <cell r="M603">
            <v>242714.23999999999</v>
          </cell>
          <cell r="N603">
            <v>-110496.95</v>
          </cell>
          <cell r="O603">
            <v>1703005.45</v>
          </cell>
          <cell r="Q603">
            <v>4573505.6700000009</v>
          </cell>
        </row>
        <row r="604">
          <cell r="A604" t="str">
            <v>F9260AE</v>
          </cell>
          <cell r="B604" t="str">
            <v>EMPLOYEE PENSIONS AND BENEFITS-AFFILIATE</v>
          </cell>
          <cell r="D604">
            <v>-280927.71999999997</v>
          </cell>
          <cell r="E604">
            <v>-80424.3</v>
          </cell>
          <cell r="F604">
            <v>-595648.56000000006</v>
          </cell>
          <cell r="G604">
            <v>303852.65000000002</v>
          </cell>
          <cell r="I604">
            <v>0</v>
          </cell>
          <cell r="J604">
            <v>-30459.41</v>
          </cell>
          <cell r="K604">
            <v>-136426.03</v>
          </cell>
          <cell r="L604">
            <v>30357.01</v>
          </cell>
          <cell r="M604">
            <v>30663.79</v>
          </cell>
          <cell r="N604">
            <v>30454.62</v>
          </cell>
          <cell r="O604">
            <v>401299.19</v>
          </cell>
          <cell r="Q604">
            <v>-327258.76000000007</v>
          </cell>
        </row>
        <row r="605">
          <cell r="A605" t="str">
            <v>F9260AG</v>
          </cell>
          <cell r="B605" t="str">
            <v>EMPLOYEE PENSIONS AND BENEFITS-AFFILIATE</v>
          </cell>
          <cell r="D605">
            <v>-114166.39999999999</v>
          </cell>
          <cell r="E605">
            <v>-32683.69</v>
          </cell>
          <cell r="F605">
            <v>-242065.62</v>
          </cell>
          <cell r="G605">
            <v>123482.87</v>
          </cell>
          <cell r="I605">
            <v>0</v>
          </cell>
          <cell r="J605">
            <v>-12438.01</v>
          </cell>
          <cell r="K605">
            <v>-55442.26</v>
          </cell>
          <cell r="L605">
            <v>12355.33</v>
          </cell>
          <cell r="M605">
            <v>12469.44</v>
          </cell>
          <cell r="N605">
            <v>12384.21</v>
          </cell>
          <cell r="O605">
            <v>163502.67000000001</v>
          </cell>
          <cell r="Q605">
            <v>-132601.45999999993</v>
          </cell>
        </row>
        <row r="606">
          <cell r="A606" t="str">
            <v>F92700C</v>
          </cell>
          <cell r="B606" t="str">
            <v>FRANCHISE REQUIREMENTS</v>
          </cell>
          <cell r="I606">
            <v>0</v>
          </cell>
          <cell r="N606">
            <v>0</v>
          </cell>
          <cell r="O606">
            <v>0</v>
          </cell>
          <cell r="Q606">
            <v>0</v>
          </cell>
        </row>
        <row r="607">
          <cell r="A607" t="str">
            <v>F92700E</v>
          </cell>
          <cell r="B607" t="str">
            <v>FRANCHISE REQUIREMENTS</v>
          </cell>
          <cell r="D607">
            <v>4529112</v>
          </cell>
          <cell r="E607">
            <v>4296628.96</v>
          </cell>
          <cell r="F607">
            <v>-2244476.2400000002</v>
          </cell>
          <cell r="G607">
            <v>3712618</v>
          </cell>
          <cell r="H607">
            <v>3131089.65</v>
          </cell>
          <cell r="I607">
            <v>3038026</v>
          </cell>
          <cell r="J607">
            <v>3121866</v>
          </cell>
          <cell r="K607">
            <v>3196426.65</v>
          </cell>
          <cell r="L607">
            <v>3428478</v>
          </cell>
          <cell r="M607">
            <v>394910</v>
          </cell>
          <cell r="N607">
            <v>2250708.65</v>
          </cell>
          <cell r="O607">
            <v>2552813</v>
          </cell>
          <cell r="Q607">
            <v>31408200.669999998</v>
          </cell>
        </row>
        <row r="608">
          <cell r="A608" t="str">
            <v>F92700G</v>
          </cell>
          <cell r="B608" t="str">
            <v>FRANCHISE REQUIREMENTS</v>
          </cell>
          <cell r="D608">
            <v>2373517</v>
          </cell>
          <cell r="E608">
            <v>2576689</v>
          </cell>
          <cell r="F608">
            <v>2079161.54</v>
          </cell>
          <cell r="G608">
            <v>1748003</v>
          </cell>
          <cell r="H608">
            <v>1279229</v>
          </cell>
          <cell r="I608">
            <v>1261445</v>
          </cell>
          <cell r="J608">
            <v>824476</v>
          </cell>
          <cell r="K608">
            <v>478658</v>
          </cell>
          <cell r="L608">
            <v>462974</v>
          </cell>
          <cell r="M608">
            <v>481370</v>
          </cell>
          <cell r="N608">
            <v>562934</v>
          </cell>
          <cell r="O608">
            <v>1023011</v>
          </cell>
          <cell r="Q608">
            <v>15151467.539999999</v>
          </cell>
        </row>
        <row r="609">
          <cell r="A609" t="str">
            <v>F92800C</v>
          </cell>
          <cell r="B609" t="str">
            <v>REGULATORY COMMISSION EXPENSES</v>
          </cell>
          <cell r="I609">
            <v>0</v>
          </cell>
          <cell r="N609">
            <v>0</v>
          </cell>
          <cell r="O609">
            <v>0</v>
          </cell>
          <cell r="Q609">
            <v>0</v>
          </cell>
        </row>
        <row r="610">
          <cell r="A610" t="str">
            <v>F92800E</v>
          </cell>
          <cell r="B610" t="str">
            <v>REGULATORY COMMISSION EXPENSES</v>
          </cell>
          <cell r="D610">
            <v>381003.47</v>
          </cell>
          <cell r="E610">
            <v>608798.15</v>
          </cell>
          <cell r="F610">
            <v>642409.1</v>
          </cell>
          <cell r="G610">
            <v>461233.21</v>
          </cell>
          <cell r="H610">
            <v>608798.12</v>
          </cell>
          <cell r="I610">
            <v>557374.39</v>
          </cell>
          <cell r="J610">
            <v>914772.55</v>
          </cell>
          <cell r="K610">
            <v>515163.1</v>
          </cell>
          <cell r="L610">
            <v>455204.46</v>
          </cell>
          <cell r="M610">
            <v>604929.15</v>
          </cell>
          <cell r="N610">
            <v>364147.21</v>
          </cell>
          <cell r="O610">
            <v>585406.4</v>
          </cell>
          <cell r="Q610">
            <v>6699239.3100000005</v>
          </cell>
        </row>
        <row r="611">
          <cell r="A611" t="str">
            <v>F92800G</v>
          </cell>
          <cell r="B611" t="str">
            <v>REGULATORY COMMISSION EXPENSES</v>
          </cell>
          <cell r="D611">
            <v>164891.39000000001</v>
          </cell>
          <cell r="E611">
            <v>164058.69</v>
          </cell>
          <cell r="F611">
            <v>197245.87</v>
          </cell>
          <cell r="G611">
            <v>176669.88</v>
          </cell>
          <cell r="H611">
            <v>206918.29</v>
          </cell>
          <cell r="I611">
            <v>184776.49</v>
          </cell>
          <cell r="J611">
            <v>158954.13</v>
          </cell>
          <cell r="K611">
            <v>148597.82</v>
          </cell>
          <cell r="L611">
            <v>148399.75</v>
          </cell>
          <cell r="M611">
            <v>134215.01999999999</v>
          </cell>
          <cell r="N611">
            <v>122433.26</v>
          </cell>
          <cell r="O611">
            <v>148808.56</v>
          </cell>
          <cell r="Q611">
            <v>1955969.15</v>
          </cell>
        </row>
        <row r="612">
          <cell r="A612" t="str">
            <v>F9280AE</v>
          </cell>
          <cell r="B612" t="str">
            <v>REGULATORY COMMISSION EXPENSES-AFFILIATE</v>
          </cell>
          <cell r="I612">
            <v>0</v>
          </cell>
          <cell r="L612">
            <v>122703.93</v>
          </cell>
          <cell r="M612">
            <v>161195.04999999999</v>
          </cell>
          <cell r="N612">
            <v>120416.05</v>
          </cell>
          <cell r="O612">
            <v>124406.19</v>
          </cell>
          <cell r="Q612">
            <v>528721.22</v>
          </cell>
        </row>
        <row r="613">
          <cell r="A613" t="str">
            <v>F9280AG</v>
          </cell>
          <cell r="B613" t="str">
            <v>REGULATORY COMMISSION EXPENSES-AFFILIATE</v>
          </cell>
          <cell r="I613">
            <v>0</v>
          </cell>
          <cell r="L613">
            <v>39161.81</v>
          </cell>
          <cell r="M613">
            <v>51446.55</v>
          </cell>
          <cell r="N613">
            <v>38431.620000000003</v>
          </cell>
          <cell r="O613">
            <v>39705.07</v>
          </cell>
          <cell r="Q613">
            <v>168745.05000000002</v>
          </cell>
        </row>
        <row r="614">
          <cell r="A614" t="str">
            <v>F92850E</v>
          </cell>
          <cell r="B614" t="str">
            <v>REGULATORY COMMISSION EXPENSES</v>
          </cell>
          <cell r="I614">
            <v>0</v>
          </cell>
          <cell r="N614">
            <v>0</v>
          </cell>
          <cell r="O614">
            <v>0</v>
          </cell>
          <cell r="Q614">
            <v>0</v>
          </cell>
        </row>
        <row r="615">
          <cell r="A615" t="str">
            <v>F92850G</v>
          </cell>
          <cell r="B615" t="str">
            <v>REGULATORY COMMISSION EXPENSES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F92900E</v>
          </cell>
          <cell r="B616" t="str">
            <v>DUPLICATE CHARGES-CR.</v>
          </cell>
          <cell r="D616">
            <v>-197929.01</v>
          </cell>
          <cell r="F616">
            <v>-666068.78</v>
          </cell>
          <cell r="H616">
            <v>-587404.52</v>
          </cell>
          <cell r="I616">
            <v>0</v>
          </cell>
          <cell r="J616">
            <v>-299627.31</v>
          </cell>
          <cell r="K616">
            <v>-110444.44</v>
          </cell>
          <cell r="M616">
            <v>-193751.58</v>
          </cell>
          <cell r="N616">
            <v>0</v>
          </cell>
          <cell r="O616">
            <v>-188507.98</v>
          </cell>
          <cell r="Q616">
            <v>-2243733.62</v>
          </cell>
        </row>
        <row r="617">
          <cell r="A617" t="str">
            <v>F93010E</v>
          </cell>
          <cell r="B617" t="str">
            <v>GENERAL ADVERTISING EXPENSES</v>
          </cell>
          <cell r="D617">
            <v>-1437.35</v>
          </cell>
          <cell r="F617">
            <v>1437.09</v>
          </cell>
          <cell r="H617">
            <v>1.1399999999999999</v>
          </cell>
          <cell r="I617">
            <v>0</v>
          </cell>
          <cell r="J617">
            <v>77.569999999999993</v>
          </cell>
          <cell r="K617">
            <v>0.56999999999999995</v>
          </cell>
          <cell r="M617">
            <v>81.010000000000005</v>
          </cell>
          <cell r="N617">
            <v>0</v>
          </cell>
          <cell r="O617">
            <v>715.79</v>
          </cell>
          <cell r="Q617">
            <v>875.81999999999994</v>
          </cell>
        </row>
        <row r="618">
          <cell r="A618" t="str">
            <v>F93010G</v>
          </cell>
          <cell r="B618" t="str">
            <v>GENERAL ADVERTISING EXPENSES</v>
          </cell>
          <cell r="D618">
            <v>-458.74</v>
          </cell>
          <cell r="F618">
            <v>458.66</v>
          </cell>
          <cell r="H618">
            <v>0.36</v>
          </cell>
          <cell r="I618">
            <v>0</v>
          </cell>
          <cell r="J618">
            <v>24.76</v>
          </cell>
          <cell r="K618">
            <v>0.18</v>
          </cell>
          <cell r="M618">
            <v>25.85</v>
          </cell>
          <cell r="N618">
            <v>0</v>
          </cell>
          <cell r="O618">
            <v>1013.31</v>
          </cell>
          <cell r="Q618">
            <v>1064.3799999999999</v>
          </cell>
        </row>
        <row r="619">
          <cell r="A619" t="str">
            <v>F93020C</v>
          </cell>
          <cell r="B619" t="str">
            <v>MISCELLANEOUS GENERAL EXPENSES</v>
          </cell>
          <cell r="I619">
            <v>0</v>
          </cell>
          <cell r="N619">
            <v>0</v>
          </cell>
          <cell r="O619">
            <v>0</v>
          </cell>
          <cell r="Q619">
            <v>0</v>
          </cell>
        </row>
        <row r="620">
          <cell r="A620" t="str">
            <v>F93020E</v>
          </cell>
          <cell r="B620" t="str">
            <v>MISCELLANEOUS GENERAL EXPENSES</v>
          </cell>
          <cell r="D620">
            <v>-291631.49</v>
          </cell>
          <cell r="E620">
            <v>-278363.86</v>
          </cell>
          <cell r="F620">
            <v>4628932.08</v>
          </cell>
          <cell r="G620">
            <v>438430.63</v>
          </cell>
          <cell r="H620">
            <v>201082.34</v>
          </cell>
          <cell r="I620">
            <v>4463999.99</v>
          </cell>
          <cell r="J620">
            <v>552476.81000000006</v>
          </cell>
          <cell r="K620">
            <v>228874.06</v>
          </cell>
          <cell r="L620">
            <v>402479.84</v>
          </cell>
          <cell r="M620">
            <v>4218586.79</v>
          </cell>
          <cell r="N620">
            <v>387607.47</v>
          </cell>
          <cell r="O620">
            <v>8812245.2100000009</v>
          </cell>
          <cell r="Q620">
            <v>23764719.870000005</v>
          </cell>
        </row>
        <row r="621">
          <cell r="A621" t="str">
            <v>F93020G</v>
          </cell>
          <cell r="B621" t="str">
            <v>MISCELLANEOUS GENERAL EXPENSES</v>
          </cell>
          <cell r="D621">
            <v>533786.35</v>
          </cell>
          <cell r="E621">
            <v>96465.27</v>
          </cell>
          <cell r="F621">
            <v>155457.38</v>
          </cell>
          <cell r="G621">
            <v>20869.57</v>
          </cell>
          <cell r="H621">
            <v>76710.240000000005</v>
          </cell>
          <cell r="I621">
            <v>116770.52</v>
          </cell>
          <cell r="J621">
            <v>181743.37</v>
          </cell>
          <cell r="K621">
            <v>95217.88</v>
          </cell>
          <cell r="L621">
            <v>73623.56</v>
          </cell>
          <cell r="M621">
            <v>85575.42</v>
          </cell>
          <cell r="N621">
            <v>109174.48</v>
          </cell>
          <cell r="O621">
            <v>283396.52</v>
          </cell>
          <cell r="Q621">
            <v>1828790.56</v>
          </cell>
        </row>
        <row r="622">
          <cell r="A622" t="str">
            <v>F93021C</v>
          </cell>
          <cell r="B622" t="str">
            <v>MISCELLANEOUS GENERAL EXPENSES - ADJ</v>
          </cell>
          <cell r="I622">
            <v>0</v>
          </cell>
          <cell r="N622">
            <v>0</v>
          </cell>
          <cell r="O622">
            <v>0</v>
          </cell>
          <cell r="Q622">
            <v>0</v>
          </cell>
        </row>
        <row r="623">
          <cell r="A623" t="str">
            <v>F93022C</v>
          </cell>
          <cell r="B623" t="str">
            <v>MISCELLANEOUS GENERAL EXPENSES-V&amp;S ADJUSTMENTS</v>
          </cell>
          <cell r="D623">
            <v>218876.44</v>
          </cell>
          <cell r="E623">
            <v>98162.09</v>
          </cell>
          <cell r="F623">
            <v>74390.52</v>
          </cell>
          <cell r="G623">
            <v>221663.44</v>
          </cell>
          <cell r="H623">
            <v>192782</v>
          </cell>
          <cell r="I623">
            <v>120068.53</v>
          </cell>
          <cell r="J623">
            <v>169050.67</v>
          </cell>
          <cell r="K623">
            <v>104514.67</v>
          </cell>
          <cell r="L623">
            <v>101743.3</v>
          </cell>
          <cell r="M623">
            <v>102997.47</v>
          </cell>
          <cell r="N623">
            <v>181458.13</v>
          </cell>
          <cell r="O623">
            <v>311146.40999999997</v>
          </cell>
          <cell r="Q623">
            <v>1896853.6699999997</v>
          </cell>
        </row>
        <row r="624">
          <cell r="A624" t="str">
            <v>F93022E</v>
          </cell>
          <cell r="B624" t="str">
            <v>MISCELLANEOUS GENERAL EXPENSES</v>
          </cell>
          <cell r="I624">
            <v>0</v>
          </cell>
          <cell r="N624">
            <v>0</v>
          </cell>
          <cell r="O624">
            <v>0</v>
          </cell>
          <cell r="Q624">
            <v>0</v>
          </cell>
        </row>
        <row r="625">
          <cell r="A625" t="str">
            <v>F93022G</v>
          </cell>
          <cell r="B625" t="str">
            <v>MISCELLANEOUS GENERAL EXPENSES</v>
          </cell>
          <cell r="I625">
            <v>0</v>
          </cell>
          <cell r="N625">
            <v>0</v>
          </cell>
          <cell r="O625">
            <v>0</v>
          </cell>
          <cell r="Q625">
            <v>0</v>
          </cell>
        </row>
        <row r="626">
          <cell r="A626" t="str">
            <v>F93030E</v>
          </cell>
          <cell r="B626" t="str">
            <v>MISC GENERAL EXP-AFFIL. BILLING</v>
          </cell>
          <cell r="D626">
            <v>-733.07</v>
          </cell>
          <cell r="E626">
            <v>4380.1000000000004</v>
          </cell>
          <cell r="F626">
            <v>0</v>
          </cell>
          <cell r="G626">
            <v>-7566</v>
          </cell>
          <cell r="H626">
            <v>24147.42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6.3</v>
          </cell>
          <cell r="N626">
            <v>0</v>
          </cell>
          <cell r="O626">
            <v>0</v>
          </cell>
          <cell r="Q626">
            <v>20234.749999999996</v>
          </cell>
        </row>
        <row r="627">
          <cell r="A627" t="str">
            <v>F93031E</v>
          </cell>
          <cell r="B627" t="str">
            <v>INTERCO BILLING - SCG TO SDGE</v>
          </cell>
          <cell r="D627">
            <v>2037272.81</v>
          </cell>
          <cell r="E627">
            <v>-1820632.26</v>
          </cell>
          <cell r="F627">
            <v>15238.72</v>
          </cell>
          <cell r="G627">
            <v>58542.47</v>
          </cell>
          <cell r="H627">
            <v>266067.71000000002</v>
          </cell>
          <cell r="I627">
            <v>-398237.23</v>
          </cell>
          <cell r="L627">
            <v>-72004.62</v>
          </cell>
          <cell r="M627">
            <v>-21355.7</v>
          </cell>
          <cell r="N627">
            <v>53543.199999999997</v>
          </cell>
          <cell r="O627">
            <v>0</v>
          </cell>
          <cell r="Q627">
            <v>118435.10000000009</v>
          </cell>
        </row>
        <row r="628">
          <cell r="A628" t="str">
            <v>F93031G</v>
          </cell>
          <cell r="B628" t="str">
            <v>INTERCO BILLING - SCG TO SDGE</v>
          </cell>
          <cell r="I628">
            <v>0</v>
          </cell>
          <cell r="J628">
            <v>-272958.82</v>
          </cell>
          <cell r="K628">
            <v>150005.54</v>
          </cell>
          <cell r="N628">
            <v>0</v>
          </cell>
          <cell r="O628">
            <v>0</v>
          </cell>
          <cell r="Q628">
            <v>-122953.28</v>
          </cell>
        </row>
        <row r="629">
          <cell r="A629" t="str">
            <v>F93040E</v>
          </cell>
          <cell r="B629" t="str">
            <v>EMERGING BUSINESS ENT. COSTS</v>
          </cell>
          <cell r="I629">
            <v>0</v>
          </cell>
          <cell r="J629">
            <v>129.32</v>
          </cell>
          <cell r="N629">
            <v>0</v>
          </cell>
          <cell r="O629">
            <v>0</v>
          </cell>
          <cell r="Q629">
            <v>129.32</v>
          </cell>
        </row>
        <row r="630">
          <cell r="A630" t="str">
            <v>F93040G</v>
          </cell>
          <cell r="B630" t="str">
            <v>FLEET COSTS</v>
          </cell>
          <cell r="I630">
            <v>0</v>
          </cell>
          <cell r="J630">
            <v>41.28</v>
          </cell>
          <cell r="N630">
            <v>0</v>
          </cell>
          <cell r="O630">
            <v>0</v>
          </cell>
          <cell r="Q630">
            <v>41.28</v>
          </cell>
        </row>
        <row r="631">
          <cell r="A631" t="str">
            <v>F93100C</v>
          </cell>
          <cell r="B631" t="str">
            <v>RENTS</v>
          </cell>
          <cell r="I631">
            <v>0</v>
          </cell>
          <cell r="N631">
            <v>0</v>
          </cell>
          <cell r="O631">
            <v>0</v>
          </cell>
          <cell r="Q631">
            <v>0</v>
          </cell>
        </row>
        <row r="632">
          <cell r="A632" t="str">
            <v>F93100E</v>
          </cell>
          <cell r="B632" t="str">
            <v>RENTS</v>
          </cell>
          <cell r="D632">
            <v>315209.19</v>
          </cell>
          <cell r="E632">
            <v>279742.94</v>
          </cell>
          <cell r="F632">
            <v>310415.34999999998</v>
          </cell>
          <cell r="G632">
            <v>292167.74</v>
          </cell>
          <cell r="H632">
            <v>307718.40000000002</v>
          </cell>
          <cell r="I632">
            <v>295925.23</v>
          </cell>
          <cell r="J632">
            <v>170203.62</v>
          </cell>
          <cell r="K632">
            <v>305053.5</v>
          </cell>
          <cell r="L632">
            <v>45160.27</v>
          </cell>
          <cell r="M632">
            <v>56176.17</v>
          </cell>
          <cell r="N632">
            <v>117251.35</v>
          </cell>
          <cell r="O632">
            <v>41764.31</v>
          </cell>
          <cell r="Q632">
            <v>2536788.0700000003</v>
          </cell>
        </row>
        <row r="633">
          <cell r="A633" t="str">
            <v>F93100G</v>
          </cell>
          <cell r="B633" t="str">
            <v>RENTS</v>
          </cell>
          <cell r="D633">
            <v>101750.56</v>
          </cell>
          <cell r="E633">
            <v>89282.38</v>
          </cell>
          <cell r="F633">
            <v>99072.17</v>
          </cell>
          <cell r="G633">
            <v>93248.06</v>
          </cell>
          <cell r="H633">
            <v>98211.15</v>
          </cell>
          <cell r="I633">
            <v>94447.26</v>
          </cell>
          <cell r="J633">
            <v>54319.95</v>
          </cell>
          <cell r="K633">
            <v>97360.82</v>
          </cell>
          <cell r="L633">
            <v>14409.12</v>
          </cell>
          <cell r="M633">
            <v>17924.95</v>
          </cell>
          <cell r="N633">
            <v>37413.4</v>
          </cell>
          <cell r="O633">
            <v>12566.74</v>
          </cell>
          <cell r="Q633">
            <v>810006.55999999982</v>
          </cell>
        </row>
        <row r="634">
          <cell r="A634" t="str">
            <v>F93500C</v>
          </cell>
          <cell r="B634" t="str">
            <v>MAINTENANCE OF GENERAL PLANT</v>
          </cell>
          <cell r="I634">
            <v>0</v>
          </cell>
          <cell r="N634">
            <v>0</v>
          </cell>
          <cell r="O634">
            <v>0</v>
          </cell>
          <cell r="Q634">
            <v>0</v>
          </cell>
        </row>
        <row r="635">
          <cell r="A635" t="str">
            <v>F93500E</v>
          </cell>
          <cell r="B635" t="str">
            <v>MAINTENANCE OF GENERAL PLANT</v>
          </cell>
          <cell r="D635">
            <v>1195603.18</v>
          </cell>
          <cell r="E635">
            <v>1035988.67</v>
          </cell>
          <cell r="F635">
            <v>1385880.38</v>
          </cell>
          <cell r="G635">
            <v>1043754.33</v>
          </cell>
          <cell r="H635">
            <v>2001320.6</v>
          </cell>
          <cell r="I635">
            <v>1119405.29</v>
          </cell>
          <cell r="J635">
            <v>1411411.35</v>
          </cell>
          <cell r="K635">
            <v>1428052.35</v>
          </cell>
          <cell r="L635">
            <v>1448844.57</v>
          </cell>
          <cell r="M635">
            <v>1623473.19</v>
          </cell>
          <cell r="N635">
            <v>1473771.57</v>
          </cell>
          <cell r="O635">
            <v>1834793.7</v>
          </cell>
          <cell r="Q635">
            <v>17002299.18</v>
          </cell>
        </row>
        <row r="636">
          <cell r="A636" t="str">
            <v>F93500G</v>
          </cell>
          <cell r="B636" t="str">
            <v>MAINTENANCE OF GENERAL PLANT</v>
          </cell>
          <cell r="D636">
            <v>382357.16</v>
          </cell>
          <cell r="E636">
            <v>328070.53000000003</v>
          </cell>
          <cell r="F636">
            <v>442941.23</v>
          </cell>
          <cell r="G636">
            <v>335482.86</v>
          </cell>
          <cell r="H636">
            <v>639269.86</v>
          </cell>
          <cell r="I636">
            <v>358400.42</v>
          </cell>
          <cell r="J636">
            <v>450789.71</v>
          </cell>
          <cell r="K636">
            <v>456375.15</v>
          </cell>
          <cell r="L636">
            <v>409993.53</v>
          </cell>
          <cell r="M636">
            <v>476717.07</v>
          </cell>
          <cell r="N636">
            <v>474697.47</v>
          </cell>
          <cell r="O636">
            <v>541304.65</v>
          </cell>
          <cell r="Q636">
            <v>5296399.6399999997</v>
          </cell>
        </row>
        <row r="637">
          <cell r="A637" t="str">
            <v>F9350AE</v>
          </cell>
          <cell r="B637" t="str">
            <v>MAINTENANCE OF GENERAL PLANT-SEMPRA CHARGES</v>
          </cell>
          <cell r="D637">
            <v>1574446.99</v>
          </cell>
          <cell r="E637">
            <v>2091093.85</v>
          </cell>
          <cell r="F637">
            <v>1807746.79</v>
          </cell>
          <cell r="G637">
            <v>1966576.17</v>
          </cell>
          <cell r="H637">
            <v>1744461.2</v>
          </cell>
          <cell r="I637">
            <v>1739915.97</v>
          </cell>
          <cell r="J637">
            <v>1984624.65</v>
          </cell>
          <cell r="K637">
            <v>1807331.31</v>
          </cell>
          <cell r="L637">
            <v>1872531.17</v>
          </cell>
          <cell r="M637">
            <v>2561779.7200000002</v>
          </cell>
          <cell r="N637">
            <v>2784217.34</v>
          </cell>
          <cell r="O637">
            <v>1907031.59</v>
          </cell>
          <cell r="Q637">
            <v>23841756.75</v>
          </cell>
        </row>
        <row r="638">
          <cell r="A638" t="str">
            <v>F9350AG</v>
          </cell>
          <cell r="B638" t="str">
            <v>MAINTENANCE OF GENERAL PLANT-SEMPRA CHARGES</v>
          </cell>
          <cell r="D638">
            <v>502495.2</v>
          </cell>
          <cell r="E638">
            <v>667387</v>
          </cell>
          <cell r="F638">
            <v>576954.87</v>
          </cell>
          <cell r="G638">
            <v>627646.18999999994</v>
          </cell>
          <cell r="H638">
            <v>556756.72</v>
          </cell>
          <cell r="I638">
            <v>555305.88</v>
          </cell>
          <cell r="J638">
            <v>633406.54</v>
          </cell>
          <cell r="K638">
            <v>576822.26</v>
          </cell>
          <cell r="L638">
            <v>597631.06000000006</v>
          </cell>
          <cell r="M638">
            <v>817609.38</v>
          </cell>
          <cell r="N638">
            <v>888601.96</v>
          </cell>
          <cell r="O638">
            <v>608642.13</v>
          </cell>
          <cell r="Q638">
            <v>7609259.1899999985</v>
          </cell>
        </row>
        <row r="639">
          <cell r="A639" t="str">
            <v>F93510E</v>
          </cell>
          <cell r="B639" t="str">
            <v>MAINT OF GENERAL PLA</v>
          </cell>
          <cell r="D639">
            <v>88995.47</v>
          </cell>
          <cell r="E639">
            <v>73590.06</v>
          </cell>
          <cell r="F639">
            <v>70341.38</v>
          </cell>
          <cell r="G639">
            <v>75034.080000000002</v>
          </cell>
          <cell r="H639">
            <v>89633.64</v>
          </cell>
          <cell r="I639">
            <v>64870.95</v>
          </cell>
          <cell r="J639">
            <v>87790.25</v>
          </cell>
          <cell r="K639">
            <v>77312.73</v>
          </cell>
          <cell r="L639">
            <v>56477.75</v>
          </cell>
          <cell r="M639">
            <v>82303.95</v>
          </cell>
          <cell r="N639">
            <v>103855.23</v>
          </cell>
          <cell r="O639">
            <v>146562.73000000001</v>
          </cell>
          <cell r="Q639">
            <v>1016768.22</v>
          </cell>
        </row>
        <row r="640">
          <cell r="A640" t="str">
            <v>F93510G</v>
          </cell>
          <cell r="B640" t="str">
            <v>MAINT OF GENERAL PLA</v>
          </cell>
          <cell r="D640">
            <v>35358.89</v>
          </cell>
          <cell r="E640">
            <v>30130.9</v>
          </cell>
          <cell r="F640">
            <v>24269.66</v>
          </cell>
          <cell r="G640">
            <v>26818.82</v>
          </cell>
          <cell r="H640">
            <v>32215.23</v>
          </cell>
          <cell r="I640">
            <v>25788.31</v>
          </cell>
          <cell r="J640">
            <v>34254.300000000003</v>
          </cell>
          <cell r="K640">
            <v>29855.47</v>
          </cell>
          <cell r="L640">
            <v>21213.48</v>
          </cell>
          <cell r="M640">
            <v>31942.98</v>
          </cell>
          <cell r="N640">
            <v>31160.36</v>
          </cell>
          <cell r="O640">
            <v>48913.75</v>
          </cell>
          <cell r="Q640">
            <v>371922.14999999997</v>
          </cell>
        </row>
        <row r="641">
          <cell r="A641" t="str">
            <v>F99990C</v>
          </cell>
          <cell r="B641" t="str">
            <v>PROFIT AND LOSS OFFSET ACCOUNT</v>
          </cell>
          <cell r="D641">
            <v>-65802692.390000001</v>
          </cell>
          <cell r="E641">
            <v>-56475969.340000004</v>
          </cell>
          <cell r="F641">
            <v>-61681522.969999999</v>
          </cell>
          <cell r="G641">
            <v>-57600900.140000001</v>
          </cell>
          <cell r="H641">
            <v>-65188421</v>
          </cell>
          <cell r="I641">
            <v>-53334603.219999999</v>
          </cell>
          <cell r="J641">
            <v>-62958587.590000004</v>
          </cell>
          <cell r="K641">
            <v>-56950255.469999999</v>
          </cell>
          <cell r="L641">
            <v>-61410909.310000002</v>
          </cell>
          <cell r="M641">
            <v>-62371151.369999997</v>
          </cell>
          <cell r="N641">
            <v>-58139272.600000001</v>
          </cell>
          <cell r="O641">
            <v>-96608686.739999995</v>
          </cell>
          <cell r="Q641">
            <v>-758522972.1400001</v>
          </cell>
        </row>
        <row r="642">
          <cell r="A642" t="str">
            <v>FERA363</v>
          </cell>
          <cell r="B642" t="str">
            <v>FERC ERRORS - INDICATOR A363</v>
          </cell>
          <cell r="E642">
            <v>273.45999999999998</v>
          </cell>
          <cell r="F642">
            <v>481.59</v>
          </cell>
          <cell r="G642">
            <v>42.39</v>
          </cell>
          <cell r="I642">
            <v>0</v>
          </cell>
          <cell r="N642">
            <v>0</v>
          </cell>
          <cell r="O642">
            <v>0</v>
          </cell>
          <cell r="Q642">
            <v>797.43999999999994</v>
          </cell>
        </row>
        <row r="643">
          <cell r="A643" t="str">
            <v>FERROR1</v>
          </cell>
          <cell r="B643" t="str">
            <v>FERC FLOW OF COSTS TRACE ERRORS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FGMLABR</v>
          </cell>
          <cell r="B644" t="str">
            <v>FERC GEN MAP LABOR COST ELEMENTS</v>
          </cell>
          <cell r="D644">
            <v>2636.32</v>
          </cell>
          <cell r="I644">
            <v>0</v>
          </cell>
          <cell r="N644">
            <v>0</v>
          </cell>
          <cell r="O644">
            <v>0</v>
          </cell>
          <cell r="Q644">
            <v>2636.32</v>
          </cell>
        </row>
        <row r="645">
          <cell r="A645" t="str">
            <v>FSCE17C</v>
          </cell>
          <cell r="B645" t="str">
            <v>FERC SEC CE 9101017 ADJUSTMENT</v>
          </cell>
          <cell r="D645">
            <v>0.43</v>
          </cell>
          <cell r="I645">
            <v>0</v>
          </cell>
          <cell r="N645">
            <v>0</v>
          </cell>
          <cell r="O645">
            <v>0</v>
          </cell>
          <cell r="Q645">
            <v>0.43</v>
          </cell>
        </row>
        <row r="646">
          <cell r="A646" t="str">
            <v>FSDBB01</v>
          </cell>
          <cell r="B646" t="str">
            <v>FERC FLOW OF COSTS TRACE ERRORS-EB19</v>
          </cell>
          <cell r="I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FSDBB02</v>
          </cell>
          <cell r="B647" t="str">
            <v>FERC FLOW OF COSTS TRACE ERRORS-EB07</v>
          </cell>
          <cell r="I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</row>
        <row r="648">
          <cell r="A648" t="str">
            <v>FSDBB03</v>
          </cell>
          <cell r="B648" t="str">
            <v>FERC FLOW OF COSTS TRACE ERRORS-EB14</v>
          </cell>
          <cell r="I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</row>
        <row r="649">
          <cell r="A649" t="str">
            <v>FSDBB04</v>
          </cell>
          <cell r="B649" t="str">
            <v>FERC FLOW OF COSTS TRACE ERRORS-EB08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</row>
        <row r="650">
          <cell r="A650" t="str">
            <v>FSDBB05</v>
          </cell>
          <cell r="B650" t="str">
            <v>FERC FLOW OF COSTS TRACE ERRORS-EB15</v>
          </cell>
          <cell r="I650">
            <v>0</v>
          </cell>
          <cell r="L650">
            <v>-0.02</v>
          </cell>
          <cell r="M650">
            <v>0.03</v>
          </cell>
          <cell r="N650">
            <v>0.04</v>
          </cell>
          <cell r="O650">
            <v>-0.05</v>
          </cell>
          <cell r="Q650">
            <v>0</v>
          </cell>
        </row>
        <row r="651">
          <cell r="A651" t="str">
            <v>FSDBB06</v>
          </cell>
          <cell r="B651" t="str">
            <v>FERC FLOW OF COSTS TRACE ERRORS-EB02</v>
          </cell>
          <cell r="I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</row>
        <row r="652">
          <cell r="A652" t="str">
            <v>FSDBB07</v>
          </cell>
          <cell r="B652" t="str">
            <v>FERC FLOW OF COSTS TRACE ERRORS-EB17</v>
          </cell>
          <cell r="I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</row>
        <row r="653">
          <cell r="A653" t="str">
            <v>FSDBB08</v>
          </cell>
          <cell r="B653" t="str">
            <v>FERC FLOW OF COSTS TRACE ERRORS-EB18</v>
          </cell>
          <cell r="I653">
            <v>0</v>
          </cell>
          <cell r="L653">
            <v>0.01</v>
          </cell>
          <cell r="M653">
            <v>0</v>
          </cell>
          <cell r="N653">
            <v>0.01</v>
          </cell>
          <cell r="O653">
            <v>0</v>
          </cell>
          <cell r="Q653">
            <v>0.02</v>
          </cell>
        </row>
        <row r="654">
          <cell r="A654" t="str">
            <v>FSDBB11</v>
          </cell>
          <cell r="B654" t="str">
            <v>FERC FLOW OF COSTS TRACE ERRORS-EB09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FSDBB12</v>
          </cell>
          <cell r="B655" t="str">
            <v>FERC FLOW OF COSTS TRACE ERRORS-EB10</v>
          </cell>
          <cell r="I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</row>
        <row r="656">
          <cell r="A656" t="str">
            <v>FSDBB13</v>
          </cell>
          <cell r="B656" t="str">
            <v>FERC FLOW OF COSTS TRACE ERRORS-EB11</v>
          </cell>
          <cell r="I656">
            <v>0</v>
          </cell>
          <cell r="L656">
            <v>-0.03</v>
          </cell>
          <cell r="M656">
            <v>0.01</v>
          </cell>
          <cell r="N656">
            <v>0</v>
          </cell>
          <cell r="O656">
            <v>-0.02</v>
          </cell>
          <cell r="Q656">
            <v>-3.9999999999999994E-2</v>
          </cell>
        </row>
        <row r="657">
          <cell r="A657" t="str">
            <v>FSDBB14</v>
          </cell>
          <cell r="B657" t="str">
            <v>FERC FLOW OF COSTS TRACE ERRORS-EB12</v>
          </cell>
          <cell r="I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FSDBB15</v>
          </cell>
          <cell r="B658" t="str">
            <v>FERC FLOW OF COSTS TRACE ERRORS-EB13</v>
          </cell>
          <cell r="I658">
            <v>0</v>
          </cell>
          <cell r="L658">
            <v>0.01</v>
          </cell>
          <cell r="M658">
            <v>0.04</v>
          </cell>
          <cell r="N658">
            <v>-0.01</v>
          </cell>
          <cell r="O658">
            <v>0.01</v>
          </cell>
          <cell r="Q658">
            <v>0.05</v>
          </cell>
        </row>
        <row r="659">
          <cell r="A659" t="str">
            <v>FSDBB17</v>
          </cell>
          <cell r="B659" t="str">
            <v>FERC FLOW OF COSTS TRACE ERRORS-EB01</v>
          </cell>
          <cell r="I659">
            <v>0</v>
          </cell>
          <cell r="L659">
            <v>124.62</v>
          </cell>
          <cell r="M659">
            <v>158.93</v>
          </cell>
          <cell r="N659">
            <v>165.93</v>
          </cell>
          <cell r="O659">
            <v>96.8</v>
          </cell>
          <cell r="Q659">
            <v>546.28</v>
          </cell>
        </row>
        <row r="660">
          <cell r="A660" t="str">
            <v>FSDBB18</v>
          </cell>
          <cell r="B660" t="str">
            <v>FERC FLOW OF COSTS TRACE ERRORS-EB20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FSDBB19</v>
          </cell>
          <cell r="B661" t="str">
            <v>FERC FLOW OF COSTS TRACE ERRORS-EB21</v>
          </cell>
          <cell r="I661">
            <v>0</v>
          </cell>
          <cell r="L661">
            <v>0</v>
          </cell>
          <cell r="M661">
            <v>-0.01</v>
          </cell>
          <cell r="N661">
            <v>0.01</v>
          </cell>
          <cell r="O661">
            <v>0.02</v>
          </cell>
          <cell r="Q661">
            <v>0.02</v>
          </cell>
        </row>
        <row r="662">
          <cell r="A662" t="str">
            <v>FSDBB20</v>
          </cell>
          <cell r="B662" t="str">
            <v>FERC FLOW OF COSTS TRACE ERRORS-EB22</v>
          </cell>
          <cell r="I662">
            <v>0</v>
          </cell>
          <cell r="L662">
            <v>0.01</v>
          </cell>
          <cell r="M662">
            <v>-0.03</v>
          </cell>
          <cell r="N662">
            <v>0.01</v>
          </cell>
          <cell r="O662">
            <v>0.05</v>
          </cell>
          <cell r="Q662">
            <v>4.0000000000000008E-2</v>
          </cell>
        </row>
        <row r="663">
          <cell r="A663" t="str">
            <v>FSDBB21</v>
          </cell>
          <cell r="B663" t="str">
            <v>FERC FLOW OF COSTS TRACE ERRORS-EB23</v>
          </cell>
          <cell r="I663">
            <v>0</v>
          </cell>
          <cell r="L663">
            <v>-0.02</v>
          </cell>
          <cell r="M663">
            <v>0</v>
          </cell>
          <cell r="N663">
            <v>0.01</v>
          </cell>
          <cell r="O663">
            <v>0</v>
          </cell>
          <cell r="Q663">
            <v>-0.01</v>
          </cell>
        </row>
        <row r="664">
          <cell r="A664" t="str">
            <v>FSDBB22</v>
          </cell>
          <cell r="B664" t="str">
            <v>FERC FLOW OF COSTS TRACE ERRORS-EB24</v>
          </cell>
          <cell r="I664">
            <v>0</v>
          </cell>
          <cell r="L664">
            <v>-0.01</v>
          </cell>
          <cell r="M664">
            <v>-0.03</v>
          </cell>
          <cell r="N664">
            <v>0.01</v>
          </cell>
          <cell r="O664">
            <v>0</v>
          </cell>
          <cell r="Q664">
            <v>-0.03</v>
          </cell>
        </row>
        <row r="665">
          <cell r="A665" t="str">
            <v>FSDBB23</v>
          </cell>
          <cell r="B665" t="str">
            <v>FERC FLOW OF COSTS TRACE ERRORS-EB25</v>
          </cell>
          <cell r="I665">
            <v>0</v>
          </cell>
          <cell r="L665">
            <v>0.08</v>
          </cell>
          <cell r="M665">
            <v>0.15</v>
          </cell>
          <cell r="N665">
            <v>-0.06</v>
          </cell>
          <cell r="O665">
            <v>-0.09</v>
          </cell>
          <cell r="Q665">
            <v>7.9999999999999988E-2</v>
          </cell>
        </row>
        <row r="666">
          <cell r="A666" t="str">
            <v>FSDBB24</v>
          </cell>
          <cell r="B666" t="str">
            <v>FERC FLOW OF COSTS TRACE ERRORS-EB26</v>
          </cell>
          <cell r="I666">
            <v>0</v>
          </cell>
          <cell r="L666">
            <v>-0.01</v>
          </cell>
          <cell r="M666">
            <v>-0.01</v>
          </cell>
          <cell r="N666">
            <v>0</v>
          </cell>
          <cell r="O666">
            <v>0</v>
          </cell>
          <cell r="Q666">
            <v>-0.02</v>
          </cell>
        </row>
        <row r="667">
          <cell r="A667" t="str">
            <v>FSDBB25</v>
          </cell>
          <cell r="B667" t="str">
            <v>FERC FLOW OF COSTS TRACE ERRORS-EB27</v>
          </cell>
          <cell r="I667">
            <v>0</v>
          </cell>
          <cell r="L667">
            <v>-0.02</v>
          </cell>
          <cell r="M667">
            <v>-0.02</v>
          </cell>
          <cell r="N667">
            <v>0.01</v>
          </cell>
          <cell r="O667">
            <v>0.02</v>
          </cell>
          <cell r="Q667">
            <v>-9.9999999999999985E-3</v>
          </cell>
        </row>
        <row r="668">
          <cell r="A668" t="str">
            <v>FSDBB26</v>
          </cell>
          <cell r="B668" t="str">
            <v>FERC FLOW OF COSTS TRACE ERRORS-EB28</v>
          </cell>
          <cell r="I668">
            <v>0</v>
          </cell>
          <cell r="L668">
            <v>-0.01</v>
          </cell>
          <cell r="M668">
            <v>-0.02</v>
          </cell>
          <cell r="N668">
            <v>0</v>
          </cell>
          <cell r="O668">
            <v>0</v>
          </cell>
          <cell r="Q668">
            <v>-0.03</v>
          </cell>
        </row>
        <row r="669">
          <cell r="A669" t="str">
            <v>FSDBB27</v>
          </cell>
          <cell r="B669" t="str">
            <v>FERC FLOW OF COSTS TRACE ERRORS-EB29</v>
          </cell>
          <cell r="I669">
            <v>0</v>
          </cell>
          <cell r="L669">
            <v>-0.01</v>
          </cell>
          <cell r="M669">
            <v>-0.03</v>
          </cell>
          <cell r="N669">
            <v>0.01</v>
          </cell>
          <cell r="O669">
            <v>0</v>
          </cell>
          <cell r="Q669">
            <v>-0.03</v>
          </cell>
        </row>
        <row r="670">
          <cell r="A670" t="str">
            <v>FSDBB28</v>
          </cell>
          <cell r="B670" t="str">
            <v>FERC FLOW OF COSTS TRACE ERRORS-EB30</v>
          </cell>
          <cell r="I670">
            <v>0</v>
          </cell>
          <cell r="L670">
            <v>-0.01</v>
          </cell>
          <cell r="M670">
            <v>0</v>
          </cell>
          <cell r="N670">
            <v>0</v>
          </cell>
          <cell r="O670">
            <v>0</v>
          </cell>
          <cell r="Q670">
            <v>-0.01</v>
          </cell>
        </row>
        <row r="671">
          <cell r="A671" t="str">
            <v>FSDBB31</v>
          </cell>
          <cell r="B671" t="str">
            <v>FERC FLOW OF COSTS TRACE ERRORS-EB31</v>
          </cell>
          <cell r="I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</row>
        <row r="672">
          <cell r="A672" t="str">
            <v>FSDBB43</v>
          </cell>
          <cell r="B672" t="str">
            <v>FERC FLOW OF COSTS TRACE ERRORS-EB36</v>
          </cell>
          <cell r="I672">
            <v>0</v>
          </cell>
          <cell r="L672">
            <v>33.770000000000003</v>
          </cell>
          <cell r="M672">
            <v>63.92</v>
          </cell>
          <cell r="N672">
            <v>25.44</v>
          </cell>
          <cell r="O672">
            <v>30.89</v>
          </cell>
          <cell r="Q672">
            <v>154.01999999999998</v>
          </cell>
        </row>
        <row r="673">
          <cell r="A673" t="str">
            <v>FSDBB44</v>
          </cell>
          <cell r="B673" t="str">
            <v>FERC FLOW OF COSTS TRACE ERRORS-EB34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</row>
        <row r="674">
          <cell r="A674" t="str">
            <v>FSDBB45</v>
          </cell>
          <cell r="B674" t="str">
            <v>FERC FLOW OF COSTS TRACE ERRORS-EB03</v>
          </cell>
          <cell r="I674">
            <v>0</v>
          </cell>
          <cell r="L674">
            <v>4.3499999999999996</v>
          </cell>
          <cell r="M674">
            <v>3.5</v>
          </cell>
          <cell r="N674">
            <v>4.99</v>
          </cell>
          <cell r="O674">
            <v>4.4400000000000004</v>
          </cell>
          <cell r="Q674">
            <v>17.28</v>
          </cell>
        </row>
        <row r="675">
          <cell r="A675" t="str">
            <v>FSDBB46</v>
          </cell>
          <cell r="B675" t="str">
            <v>FERC FLOW OF COSTS TRACE ERRORS-EB04</v>
          </cell>
          <cell r="I675">
            <v>0</v>
          </cell>
          <cell r="L675">
            <v>39.58</v>
          </cell>
          <cell r="M675">
            <v>25.07</v>
          </cell>
          <cell r="N675">
            <v>29.4</v>
          </cell>
          <cell r="O675">
            <v>38.28</v>
          </cell>
          <cell r="Q675">
            <v>132.33000000000001</v>
          </cell>
        </row>
        <row r="676">
          <cell r="A676" t="str">
            <v>FSDBB55</v>
          </cell>
          <cell r="B676" t="str">
            <v>FERC FLOW OF COSTS TRACE ERRORS-EB05</v>
          </cell>
          <cell r="I676">
            <v>0</v>
          </cell>
          <cell r="L676">
            <v>0</v>
          </cell>
          <cell r="M676">
            <v>-9.11</v>
          </cell>
          <cell r="N676">
            <v>1355854.41</v>
          </cell>
          <cell r="O676">
            <v>-1.1000000000000001</v>
          </cell>
          <cell r="Q676">
            <v>1355844.1999999997</v>
          </cell>
        </row>
        <row r="677">
          <cell r="A677" t="str">
            <v>FSDBB57</v>
          </cell>
          <cell r="B677" t="str">
            <v>FERC FLOW OF COSTS TRACE ERRORS-EB16</v>
          </cell>
          <cell r="I677">
            <v>0</v>
          </cell>
          <cell r="L677">
            <v>0.02</v>
          </cell>
          <cell r="M677">
            <v>-0.03</v>
          </cell>
          <cell r="N677">
            <v>-0.04</v>
          </cell>
          <cell r="O677">
            <v>0.05</v>
          </cell>
          <cell r="Q677">
            <v>0</v>
          </cell>
        </row>
        <row r="678">
          <cell r="A678" t="str">
            <v>FSDBB58</v>
          </cell>
          <cell r="B678" t="str">
            <v>FERC FLOW OF COSTS TRACE ERRORS-EB37</v>
          </cell>
          <cell r="I678">
            <v>0</v>
          </cell>
          <cell r="L678">
            <v>6.61</v>
          </cell>
          <cell r="M678">
            <v>12.9</v>
          </cell>
          <cell r="N678">
            <v>5.99</v>
          </cell>
          <cell r="O678">
            <v>6.21</v>
          </cell>
          <cell r="Q678">
            <v>31.71</v>
          </cell>
        </row>
        <row r="679">
          <cell r="A679" t="str">
            <v>FSDBB59</v>
          </cell>
          <cell r="B679" t="str">
            <v>FERC FLOW OF COSTS TRACE ERRORS-EB38</v>
          </cell>
          <cell r="I679">
            <v>0</v>
          </cell>
          <cell r="L679">
            <v>0</v>
          </cell>
          <cell r="M679">
            <v>-0.02</v>
          </cell>
          <cell r="N679">
            <v>0.01</v>
          </cell>
          <cell r="O679">
            <v>0</v>
          </cell>
          <cell r="Q679">
            <v>-0.01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>
        <row r="4">
          <cell r="A4" t="str">
            <v>F10000C</v>
          </cell>
          <cell r="B4" t="str">
            <v>PLANT IN SERVICE</v>
          </cell>
          <cell r="C4">
            <v>0</v>
          </cell>
          <cell r="D4">
            <v>11.3</v>
          </cell>
          <cell r="E4">
            <v>1</v>
          </cell>
          <cell r="P4">
            <v>12.3</v>
          </cell>
          <cell r="R4" t="str">
            <v>F10000C</v>
          </cell>
          <cell r="S4">
            <v>12.3</v>
          </cell>
          <cell r="T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4632972044.3100004</v>
          </cell>
          <cell r="D5">
            <v>-599152.24</v>
          </cell>
          <cell r="E5">
            <v>27755599</v>
          </cell>
          <cell r="F5">
            <v>7135896.1200000001</v>
          </cell>
          <cell r="G5">
            <v>13872548.74</v>
          </cell>
          <cell r="H5">
            <v>-155119163.97</v>
          </cell>
          <cell r="I5">
            <v>-260528573.38</v>
          </cell>
          <cell r="J5">
            <v>-5183209.74</v>
          </cell>
          <cell r="K5">
            <v>53577819.75</v>
          </cell>
          <cell r="L5">
            <v>19357304.469999999</v>
          </cell>
          <cell r="M5">
            <v>10447622.939999999</v>
          </cell>
          <cell r="N5">
            <v>9834941.3100000005</v>
          </cell>
          <cell r="O5">
            <v>5539323.2400000002</v>
          </cell>
          <cell r="P5">
            <v>-273909043.75999999</v>
          </cell>
          <cell r="R5" t="str">
            <v>F10100E</v>
          </cell>
          <cell r="S5">
            <v>-273909043.75999999</v>
          </cell>
          <cell r="T5">
            <v>4359063000.5500002</v>
          </cell>
        </row>
        <row r="6">
          <cell r="A6" t="str">
            <v>F10100G</v>
          </cell>
          <cell r="B6" t="str">
            <v>PLANT IN SERVICE</v>
          </cell>
          <cell r="C6">
            <v>868992281.70000005</v>
          </cell>
          <cell r="D6">
            <v>-305633.05</v>
          </cell>
          <cell r="E6">
            <v>6612800.7300000004</v>
          </cell>
          <cell r="F6">
            <v>553323.73</v>
          </cell>
          <cell r="G6">
            <v>-1670233.45</v>
          </cell>
          <cell r="H6">
            <v>6615073.6500000004</v>
          </cell>
          <cell r="I6">
            <v>1723062.11</v>
          </cell>
          <cell r="J6">
            <v>1692432.83</v>
          </cell>
          <cell r="K6">
            <v>2015159.54</v>
          </cell>
          <cell r="L6">
            <v>1514377.36</v>
          </cell>
          <cell r="M6">
            <v>9213709.2400000002</v>
          </cell>
          <cell r="N6">
            <v>2216793.6800000002</v>
          </cell>
          <cell r="O6">
            <v>3500766.77</v>
          </cell>
          <cell r="P6">
            <v>33681633.140000001</v>
          </cell>
          <cell r="R6" t="str">
            <v>F10100G</v>
          </cell>
          <cell r="S6">
            <v>33681633.140000001</v>
          </cell>
          <cell r="T6">
            <v>902673914.84000003</v>
          </cell>
        </row>
        <row r="7">
          <cell r="A7" t="str">
            <v>F10110E</v>
          </cell>
          <cell r="B7" t="str">
            <v>PROPERTY UNDER CAPITAL LEASE</v>
          </cell>
          <cell r="C7">
            <v>124751597</v>
          </cell>
          <cell r="H7">
            <v>0</v>
          </cell>
          <cell r="I7">
            <v>-124751597</v>
          </cell>
          <cell r="P7">
            <v>-124751597</v>
          </cell>
          <cell r="R7" t="str">
            <v>F10110E</v>
          </cell>
          <cell r="S7">
            <v>-124751597</v>
          </cell>
          <cell r="T7">
            <v>0</v>
          </cell>
        </row>
        <row r="8">
          <cell r="A8" t="str">
            <v>F10200E</v>
          </cell>
          <cell r="B8" t="str">
            <v>PLANT PURCHASED OR SOLD</v>
          </cell>
          <cell r="C8">
            <v>211891.36</v>
          </cell>
          <cell r="D8">
            <v>810.81</v>
          </cell>
          <cell r="E8">
            <v>170.26</v>
          </cell>
          <cell r="F8">
            <v>-6990147.71</v>
          </cell>
          <cell r="G8">
            <v>-103534134.09999999</v>
          </cell>
          <cell r="H8">
            <v>-241698912.25999999</v>
          </cell>
          <cell r="I8">
            <v>352223361.75</v>
          </cell>
          <cell r="J8">
            <v>14584.74</v>
          </cell>
          <cell r="K8">
            <v>280.94</v>
          </cell>
          <cell r="L8">
            <v>9588.35</v>
          </cell>
          <cell r="M8">
            <v>22423.69</v>
          </cell>
          <cell r="N8">
            <v>1370.08</v>
          </cell>
          <cell r="O8">
            <v>-13784.05</v>
          </cell>
          <cell r="P8">
            <v>35612.5</v>
          </cell>
          <cell r="R8" t="str">
            <v>F10200E</v>
          </cell>
          <cell r="S8">
            <v>35612.5</v>
          </cell>
          <cell r="T8">
            <v>247503.86</v>
          </cell>
        </row>
        <row r="9">
          <cell r="A9" t="str">
            <v>F10500C</v>
          </cell>
          <cell r="B9" t="str">
            <v>HELD FOR FUTURE USE</v>
          </cell>
          <cell r="C9">
            <v>255159.89</v>
          </cell>
          <cell r="F9">
            <v>0</v>
          </cell>
          <cell r="G9">
            <v>162.21</v>
          </cell>
          <cell r="H9">
            <v>40.549999999999997</v>
          </cell>
          <cell r="I9">
            <v>0</v>
          </cell>
          <cell r="J9">
            <v>0</v>
          </cell>
          <cell r="K9">
            <v>-47139.199999999997</v>
          </cell>
          <cell r="L9">
            <v>-50.65</v>
          </cell>
          <cell r="M9">
            <v>0</v>
          </cell>
          <cell r="N9">
            <v>0</v>
          </cell>
          <cell r="O9">
            <v>-1534.23</v>
          </cell>
          <cell r="P9">
            <v>-48521.32</v>
          </cell>
          <cell r="R9" t="str">
            <v>F10500C</v>
          </cell>
          <cell r="S9">
            <v>-48521.32</v>
          </cell>
          <cell r="T9">
            <v>206638.57</v>
          </cell>
        </row>
        <row r="10">
          <cell r="A10" t="str">
            <v>F10600E</v>
          </cell>
          <cell r="B10" t="str">
            <v>COMPL NOT CLASSIFIED</v>
          </cell>
          <cell r="C10">
            <v>-843934.55</v>
          </cell>
          <cell r="D10">
            <v>26977932.420000002</v>
          </cell>
          <cell r="E10">
            <v>-15122233.140000001</v>
          </cell>
          <cell r="F10">
            <v>-11239569.539999999</v>
          </cell>
          <cell r="G10">
            <v>0</v>
          </cell>
          <cell r="L10">
            <v>0</v>
          </cell>
          <cell r="M10">
            <v>227804.81</v>
          </cell>
          <cell r="P10">
            <v>843934.55000000214</v>
          </cell>
          <cell r="R10" t="str">
            <v>F10600E</v>
          </cell>
          <cell r="S10">
            <v>843934.54999999888</v>
          </cell>
          <cell r="T10">
            <v>2.0954757928848267E-9</v>
          </cell>
        </row>
        <row r="11">
          <cell r="A11" t="str">
            <v>F10600G</v>
          </cell>
          <cell r="B11" t="str">
            <v>COMPL NOT CLASSIFIED</v>
          </cell>
          <cell r="C11">
            <v>-428125.91</v>
          </cell>
          <cell r="D11">
            <v>5141986.93</v>
          </cell>
          <cell r="E11">
            <v>-4003417.36</v>
          </cell>
          <cell r="F11">
            <v>-887070.25</v>
          </cell>
          <cell r="G11">
            <v>0</v>
          </cell>
          <cell r="L11">
            <v>0</v>
          </cell>
          <cell r="M11">
            <v>176626.59</v>
          </cell>
          <cell r="P11">
            <v>428125.9099999998</v>
          </cell>
          <cell r="R11" t="str">
            <v>F10600G</v>
          </cell>
          <cell r="S11">
            <v>428125.91</v>
          </cell>
          <cell r="T11">
            <v>0</v>
          </cell>
        </row>
        <row r="12">
          <cell r="A12" t="str">
            <v>F10700C</v>
          </cell>
          <cell r="B12" t="str">
            <v>CONSTRUCTION WORK IN PROGRESS</v>
          </cell>
          <cell r="C12">
            <v>-7482070.1399999997</v>
          </cell>
          <cell r="D12">
            <v>1104068.33</v>
          </cell>
          <cell r="E12">
            <v>80138356.439999998</v>
          </cell>
          <cell r="F12">
            <v>17986476.879999999</v>
          </cell>
          <cell r="G12">
            <v>5808257.96</v>
          </cell>
          <cell r="H12">
            <v>-19858932.800000001</v>
          </cell>
          <cell r="I12">
            <v>-8133652.0599999996</v>
          </cell>
          <cell r="J12">
            <v>-4533457.55</v>
          </cell>
          <cell r="K12">
            <v>-1899722.46</v>
          </cell>
          <cell r="L12">
            <v>-4966462.74</v>
          </cell>
          <cell r="M12">
            <v>2527740.7000000002</v>
          </cell>
          <cell r="N12">
            <v>7118172.4800000004</v>
          </cell>
          <cell r="O12">
            <v>-1056002.5900000001</v>
          </cell>
          <cell r="P12">
            <v>74234842.589999989</v>
          </cell>
          <cell r="R12" t="str">
            <v>F10700C</v>
          </cell>
          <cell r="S12">
            <v>74234842.590000004</v>
          </cell>
          <cell r="T12">
            <v>66752772.449999988</v>
          </cell>
        </row>
        <row r="13">
          <cell r="A13" t="str">
            <v>F10700E</v>
          </cell>
          <cell r="B13" t="str">
            <v>CONSTRUCTION WORK IN PROGRESS</v>
          </cell>
          <cell r="C13">
            <v>82325044.920000002</v>
          </cell>
          <cell r="D13">
            <v>-17138280.010000002</v>
          </cell>
          <cell r="E13">
            <v>-80438177.840000004</v>
          </cell>
          <cell r="L13">
            <v>0</v>
          </cell>
          <cell r="M13">
            <v>-752996.22</v>
          </cell>
          <cell r="P13">
            <v>-98329454.070000008</v>
          </cell>
          <cell r="R13" t="str">
            <v>F10700E</v>
          </cell>
          <cell r="S13">
            <v>-98329454.069999993</v>
          </cell>
          <cell r="T13">
            <v>-16004409.150000006</v>
          </cell>
        </row>
        <row r="14">
          <cell r="A14" t="str">
            <v>F10700G</v>
          </cell>
          <cell r="B14" t="str">
            <v>CONSTRUCTION WORK IN PROGRESS</v>
          </cell>
          <cell r="C14">
            <v>8466955.3900000006</v>
          </cell>
          <cell r="D14">
            <v>-3552290.55</v>
          </cell>
          <cell r="E14">
            <v>-5364950.05</v>
          </cell>
          <cell r="L14">
            <v>0</v>
          </cell>
          <cell r="M14">
            <v>-173105.49</v>
          </cell>
          <cell r="N14">
            <v>0</v>
          </cell>
          <cell r="O14">
            <v>-23899.34</v>
          </cell>
          <cell r="P14">
            <v>-9114245.4299999997</v>
          </cell>
          <cell r="R14" t="str">
            <v>F10700G</v>
          </cell>
          <cell r="S14">
            <v>-9114245.4299999997</v>
          </cell>
          <cell r="T14">
            <v>-647290.03999999911</v>
          </cell>
        </row>
        <row r="15">
          <cell r="A15" t="str">
            <v>F10800E</v>
          </cell>
          <cell r="B15" t="str">
            <v>ACCUMULATED PROVISION FOR DEPRECIATION</v>
          </cell>
          <cell r="C15">
            <v>-2795482044.3800001</v>
          </cell>
          <cell r="D15">
            <v>-21846532.649999999</v>
          </cell>
          <cell r="E15">
            <v>-22907975.309999999</v>
          </cell>
          <cell r="F15">
            <v>-3030229.45</v>
          </cell>
          <cell r="G15">
            <v>-23042302.600000001</v>
          </cell>
          <cell r="H15">
            <v>85371127.209999993</v>
          </cell>
          <cell r="I15">
            <v>-8914758.6099999994</v>
          </cell>
          <cell r="J15">
            <v>11533012.02</v>
          </cell>
          <cell r="K15">
            <v>-41937014.409999996</v>
          </cell>
          <cell r="L15">
            <v>-7724912.0199999996</v>
          </cell>
          <cell r="M15">
            <v>-9318189.5399999991</v>
          </cell>
          <cell r="N15">
            <v>-10508067.75</v>
          </cell>
          <cell r="O15">
            <v>-19013228.690000001</v>
          </cell>
          <cell r="P15">
            <v>-71339071.799999997</v>
          </cell>
          <cell r="R15" t="str">
            <v>F10800E</v>
          </cell>
          <cell r="S15">
            <v>-71339071.799999997</v>
          </cell>
          <cell r="T15">
            <v>-2866821116.1800003</v>
          </cell>
        </row>
        <row r="16">
          <cell r="A16" t="str">
            <v>F10800G</v>
          </cell>
          <cell r="B16" t="str">
            <v>ACCUMULATED PROVISION FOR DEPRECIATION</v>
          </cell>
          <cell r="C16">
            <v>-426989022.13</v>
          </cell>
          <cell r="D16">
            <v>-2391129.85</v>
          </cell>
          <cell r="E16">
            <v>-2450815.46</v>
          </cell>
          <cell r="F16">
            <v>-2397763.5099999998</v>
          </cell>
          <cell r="G16">
            <v>-804684.41</v>
          </cell>
          <cell r="H16">
            <v>-4534101.1100000003</v>
          </cell>
          <cell r="I16">
            <v>-2337404.46</v>
          </cell>
          <cell r="J16">
            <v>-2489396.79</v>
          </cell>
          <cell r="K16">
            <v>-2445147.69</v>
          </cell>
          <cell r="L16">
            <v>-2569126.2799999998</v>
          </cell>
          <cell r="M16">
            <v>-2598471.44</v>
          </cell>
          <cell r="N16">
            <v>-2747274.42</v>
          </cell>
          <cell r="O16">
            <v>-2071584.86</v>
          </cell>
          <cell r="P16">
            <v>-29836900.280000001</v>
          </cell>
          <cell r="R16" t="str">
            <v>F10800G</v>
          </cell>
          <cell r="S16">
            <v>-29836900.279999997</v>
          </cell>
          <cell r="T16">
            <v>-456825922.40999997</v>
          </cell>
        </row>
        <row r="17">
          <cell r="A17" t="str">
            <v>F11100C</v>
          </cell>
          <cell r="B17" t="str">
            <v>ACCUMULATED PROVISION FOR AMORTIZATION AND DEPLETI</v>
          </cell>
          <cell r="C17">
            <v>-133185209.51000001</v>
          </cell>
          <cell r="D17">
            <v>-823876.58</v>
          </cell>
          <cell r="E17">
            <v>-871854.96</v>
          </cell>
          <cell r="F17">
            <v>-2421292.46</v>
          </cell>
          <cell r="G17">
            <v>-583627.9</v>
          </cell>
          <cell r="H17">
            <v>-1567556.43</v>
          </cell>
          <cell r="I17">
            <v>81334810.950000003</v>
          </cell>
          <cell r="J17">
            <v>-583072.32999999996</v>
          </cell>
          <cell r="K17">
            <v>-583430.53</v>
          </cell>
          <cell r="L17">
            <v>-597589.28</v>
          </cell>
          <cell r="M17">
            <v>-583227.73</v>
          </cell>
          <cell r="N17">
            <v>-595106.47</v>
          </cell>
          <cell r="O17">
            <v>-624713.27</v>
          </cell>
          <cell r="P17">
            <v>71499463.010000005</v>
          </cell>
          <cell r="R17" t="str">
            <v>F11100C</v>
          </cell>
          <cell r="S17">
            <v>71499463.00999999</v>
          </cell>
          <cell r="T17">
            <v>-61685746.5</v>
          </cell>
        </row>
        <row r="18">
          <cell r="A18" t="str">
            <v>F11100E</v>
          </cell>
          <cell r="B18" t="str">
            <v>ACCUMULATED PROVISION FOR AMORTIZATION AND DEPLETI</v>
          </cell>
          <cell r="C18">
            <v>-0.97</v>
          </cell>
          <cell r="D18">
            <v>120729.58</v>
          </cell>
          <cell r="E18">
            <v>-121076.4</v>
          </cell>
          <cell r="F18">
            <v>-271898.38</v>
          </cell>
          <cell r="G18">
            <v>-263748.93</v>
          </cell>
          <cell r="H18">
            <v>651242.75</v>
          </cell>
          <cell r="I18">
            <v>936907.63</v>
          </cell>
          <cell r="J18">
            <v>-135151.09</v>
          </cell>
          <cell r="K18">
            <v>-134950.89000000001</v>
          </cell>
          <cell r="L18">
            <v>-134427.74</v>
          </cell>
          <cell r="M18">
            <v>-136914.07</v>
          </cell>
          <cell r="N18">
            <v>-142886.6</v>
          </cell>
          <cell r="O18">
            <v>-157263.67000000001</v>
          </cell>
          <cell r="P18">
            <v>210562.18999999997</v>
          </cell>
          <cell r="R18" t="str">
            <v>F11100E</v>
          </cell>
          <cell r="S18">
            <v>210562.19</v>
          </cell>
          <cell r="T18">
            <v>210561.21999999997</v>
          </cell>
        </row>
        <row r="19">
          <cell r="A19" t="str">
            <v>F11100G</v>
          </cell>
          <cell r="B19" t="str">
            <v>ACCUMULATED PROVISION FOR AMORTIZATION AND DEPLETI</v>
          </cell>
          <cell r="C19">
            <v>0</v>
          </cell>
          <cell r="D19">
            <v>-16157.68</v>
          </cell>
          <cell r="E19">
            <v>-92.49</v>
          </cell>
          <cell r="F19">
            <v>-24352</v>
          </cell>
          <cell r="G19">
            <v>-24403.41</v>
          </cell>
          <cell r="H19">
            <v>-24403.69</v>
          </cell>
          <cell r="I19">
            <v>-24403.79</v>
          </cell>
          <cell r="J19">
            <v>-24403.4</v>
          </cell>
          <cell r="K19">
            <v>-24403.58</v>
          </cell>
          <cell r="L19">
            <v>-24421.18</v>
          </cell>
          <cell r="M19">
            <v>-24410.94</v>
          </cell>
          <cell r="N19">
            <v>-24411.03</v>
          </cell>
          <cell r="O19">
            <v>-194761.64</v>
          </cell>
          <cell r="P19">
            <v>-430624.82999999996</v>
          </cell>
          <cell r="R19" t="str">
            <v>F11100G</v>
          </cell>
          <cell r="S19">
            <v>-430624.83</v>
          </cell>
          <cell r="T19">
            <v>-430624.82999999996</v>
          </cell>
        </row>
        <row r="20">
          <cell r="A20" t="str">
            <v>F11800C</v>
          </cell>
          <cell r="B20" t="str">
            <v>OTHER UTILITY PLANT</v>
          </cell>
          <cell r="C20">
            <v>247638275.09999999</v>
          </cell>
          <cell r="D20">
            <v>4971103.03</v>
          </cell>
          <cell r="E20">
            <v>2252151.2000000002</v>
          </cell>
          <cell r="F20">
            <v>1863221.77</v>
          </cell>
          <cell r="G20">
            <v>-12217078.970000001</v>
          </cell>
          <cell r="H20">
            <v>1096230.47</v>
          </cell>
          <cell r="I20">
            <v>-905438.19</v>
          </cell>
          <cell r="J20">
            <v>583626.67000000004</v>
          </cell>
          <cell r="K20">
            <v>170084.43</v>
          </cell>
          <cell r="L20">
            <v>757970.93</v>
          </cell>
          <cell r="M20">
            <v>1992326.26</v>
          </cell>
          <cell r="N20">
            <v>334921.27</v>
          </cell>
          <cell r="O20">
            <v>-3774210.92</v>
          </cell>
          <cell r="P20">
            <v>-2875092.05</v>
          </cell>
          <cell r="R20" t="str">
            <v>F11800C</v>
          </cell>
          <cell r="S20">
            <v>-2875092.05</v>
          </cell>
          <cell r="T20">
            <v>244763183.04999998</v>
          </cell>
        </row>
        <row r="21">
          <cell r="A21" t="str">
            <v>F11830C</v>
          </cell>
          <cell r="B21" t="str">
            <v>OTHER UTILITY PLANT CWIP</v>
          </cell>
          <cell r="C21">
            <v>16828791.73</v>
          </cell>
          <cell r="D21">
            <v>-4652983.25</v>
          </cell>
          <cell r="E21">
            <v>-1640707.95</v>
          </cell>
          <cell r="F21">
            <v>-2152060.54</v>
          </cell>
          <cell r="G21">
            <v>440050.19</v>
          </cell>
          <cell r="H21">
            <v>-1681566.48</v>
          </cell>
          <cell r="I21">
            <v>725397.54</v>
          </cell>
          <cell r="J21">
            <v>478783.76</v>
          </cell>
          <cell r="K21">
            <v>821204.27</v>
          </cell>
          <cell r="L21">
            <v>252796.7</v>
          </cell>
          <cell r="M21">
            <v>-369352.19</v>
          </cell>
          <cell r="N21">
            <v>849324.32</v>
          </cell>
          <cell r="O21">
            <v>6004005.8300000001</v>
          </cell>
          <cell r="P21">
            <v>-925107.79999999888</v>
          </cell>
          <cell r="R21" t="str">
            <v>F11830C</v>
          </cell>
          <cell r="S21">
            <v>-925107.8</v>
          </cell>
          <cell r="T21">
            <v>15903683.930000002</v>
          </cell>
        </row>
        <row r="22">
          <cell r="A22" t="str">
            <v>F11900C</v>
          </cell>
          <cell r="B22" t="str">
            <v>ACCUM AMORT-OTHER UTILITY PLANT</v>
          </cell>
          <cell r="C22">
            <v>-48434704.030000001</v>
          </cell>
          <cell r="D22">
            <v>-1181785</v>
          </cell>
          <cell r="E22">
            <v>-1056800.8400000001</v>
          </cell>
          <cell r="F22">
            <v>-1203003.32</v>
          </cell>
          <cell r="G22">
            <v>694972.59</v>
          </cell>
          <cell r="H22">
            <v>1148325.17</v>
          </cell>
          <cell r="I22">
            <v>-398443.97</v>
          </cell>
          <cell r="J22">
            <v>-1063944.3999999999</v>
          </cell>
          <cell r="K22">
            <v>-1183439.25</v>
          </cell>
          <cell r="L22">
            <v>-1126733.83</v>
          </cell>
          <cell r="M22">
            <v>-1106661.8899999999</v>
          </cell>
          <cell r="N22">
            <v>-1236244.82</v>
          </cell>
          <cell r="O22">
            <v>2970784.78</v>
          </cell>
          <cell r="P22">
            <v>-4742974.7800000012</v>
          </cell>
          <cell r="R22" t="str">
            <v>F11900C</v>
          </cell>
          <cell r="S22">
            <v>-4742974.78</v>
          </cell>
          <cell r="T22">
            <v>-53177678.810000002</v>
          </cell>
        </row>
        <row r="23">
          <cell r="A23" t="str">
            <v>F12060E</v>
          </cell>
          <cell r="B23" t="str">
            <v>NUCLEAR FUEL UNDER CAPITAL LEASES-ACC DEPRECIATION</v>
          </cell>
          <cell r="C23">
            <v>-34444519.600000001</v>
          </cell>
          <cell r="D23">
            <v>10545428.6</v>
          </cell>
          <cell r="E23">
            <v>-681024</v>
          </cell>
          <cell r="F23">
            <v>-1004718.77</v>
          </cell>
          <cell r="G23">
            <v>-621471</v>
          </cell>
          <cell r="H23">
            <v>-982740</v>
          </cell>
          <cell r="I23">
            <v>-1242160</v>
          </cell>
          <cell r="J23">
            <v>-1274873</v>
          </cell>
          <cell r="K23">
            <v>-1281980</v>
          </cell>
          <cell r="L23">
            <v>10323098.77</v>
          </cell>
          <cell r="M23">
            <v>-1285343</v>
          </cell>
          <cell r="N23">
            <v>-1240943</v>
          </cell>
          <cell r="O23">
            <v>-1248982</v>
          </cell>
          <cell r="P23">
            <v>10004292.6</v>
          </cell>
          <cell r="R23" t="str">
            <v>F12060E</v>
          </cell>
          <cell r="S23">
            <v>10004292.6</v>
          </cell>
          <cell r="T23">
            <v>-24440227</v>
          </cell>
        </row>
        <row r="24">
          <cell r="A24" t="str">
            <v>F12061E</v>
          </cell>
          <cell r="B24" t="str">
            <v>NUCLEAR FUEL UNDER CAPITAL LEASES-CWIP</v>
          </cell>
          <cell r="C24">
            <v>16408367.449999999</v>
          </cell>
          <cell r="D24">
            <v>12560.36</v>
          </cell>
          <cell r="E24">
            <v>49697.599999999999</v>
          </cell>
          <cell r="F24">
            <v>-15337173.24</v>
          </cell>
          <cell r="G24">
            <v>6856240.9000000004</v>
          </cell>
          <cell r="H24">
            <v>5352.24</v>
          </cell>
          <cell r="I24">
            <v>-6896213.7199999997</v>
          </cell>
          <cell r="J24">
            <v>3844.23</v>
          </cell>
          <cell r="K24">
            <v>1801688.16</v>
          </cell>
          <cell r="L24">
            <v>32712.83</v>
          </cell>
          <cell r="M24">
            <v>-22810.080000000002</v>
          </cell>
          <cell r="N24">
            <v>46.31</v>
          </cell>
          <cell r="O24">
            <v>6020.6</v>
          </cell>
          <cell r="P24">
            <v>-13488033.809999999</v>
          </cell>
          <cell r="R24" t="str">
            <v>F12061E</v>
          </cell>
          <cell r="S24">
            <v>-13488033.809999999</v>
          </cell>
          <cell r="T24">
            <v>2920333.6400000006</v>
          </cell>
        </row>
        <row r="25">
          <cell r="A25" t="str">
            <v>F12063E</v>
          </cell>
          <cell r="B25" t="str">
            <v>NUCLEAR FUEL UNDER CAPITAL LEASES-PLANT IN SERVICE</v>
          </cell>
          <cell r="C25">
            <v>49608380.289999999</v>
          </cell>
          <cell r="D25">
            <v>-11263234.6</v>
          </cell>
          <cell r="E25">
            <v>0</v>
          </cell>
          <cell r="F25">
            <v>10437380.539999999</v>
          </cell>
          <cell r="G25">
            <v>0</v>
          </cell>
          <cell r="H25">
            <v>0</v>
          </cell>
          <cell r="I25">
            <v>8620041.3300000001</v>
          </cell>
          <cell r="L25">
            <v>-11562035.77</v>
          </cell>
          <cell r="M25">
            <v>0</v>
          </cell>
          <cell r="N25">
            <v>0</v>
          </cell>
          <cell r="O25">
            <v>-1720130.77</v>
          </cell>
          <cell r="P25">
            <v>-5487979.2699999996</v>
          </cell>
          <cell r="R25" t="str">
            <v>F12063E</v>
          </cell>
          <cell r="S25">
            <v>-5487979.2699999996</v>
          </cell>
          <cell r="T25">
            <v>44120401.019999996</v>
          </cell>
        </row>
        <row r="26">
          <cell r="A26" t="str">
            <v>F12100C</v>
          </cell>
          <cell r="B26" t="str">
            <v>NONUTILITY PROPERTY</v>
          </cell>
          <cell r="C26">
            <v>4286989.46</v>
          </cell>
          <cell r="D26">
            <v>-77692.539999999994</v>
          </cell>
          <cell r="E26">
            <v>-378983.98</v>
          </cell>
          <cell r="F26">
            <v>400261.24</v>
          </cell>
          <cell r="G26">
            <v>-389667.86</v>
          </cell>
          <cell r="H26">
            <v>-108297.64</v>
          </cell>
          <cell r="I26">
            <v>-1572581.46</v>
          </cell>
          <cell r="J26">
            <v>-3762</v>
          </cell>
          <cell r="K26">
            <v>-137811.28</v>
          </cell>
          <cell r="L26">
            <v>-852296.66</v>
          </cell>
          <cell r="M26">
            <v>7252.95</v>
          </cell>
          <cell r="N26">
            <v>435095.78</v>
          </cell>
          <cell r="O26">
            <v>588915.35</v>
          </cell>
          <cell r="P26">
            <v>-2089568.0999999992</v>
          </cell>
          <cell r="R26" t="str">
            <v>F12100C</v>
          </cell>
          <cell r="S26">
            <v>-2089568.1</v>
          </cell>
          <cell r="T26">
            <v>2197421.3600000008</v>
          </cell>
        </row>
        <row r="27">
          <cell r="A27" t="str">
            <v>F12200C</v>
          </cell>
          <cell r="B27" t="str">
            <v>ACCUM. PROV. FOR DEPR. AND AMORT.</v>
          </cell>
          <cell r="C27">
            <v>-443633.05</v>
          </cell>
          <cell r="D27">
            <v>-21521.27</v>
          </cell>
          <cell r="E27">
            <v>-21521.29</v>
          </cell>
          <cell r="F27">
            <v>-21522.73</v>
          </cell>
          <cell r="G27">
            <v>-21521.74</v>
          </cell>
          <cell r="H27">
            <v>-21521.759999999998</v>
          </cell>
          <cell r="I27">
            <v>319354.65000000002</v>
          </cell>
          <cell r="J27">
            <v>-12720.56</v>
          </cell>
          <cell r="K27">
            <v>-12720.57</v>
          </cell>
          <cell r="L27">
            <v>-12720.58</v>
          </cell>
          <cell r="M27">
            <v>-12720.57</v>
          </cell>
          <cell r="N27">
            <v>-12720.58</v>
          </cell>
          <cell r="O27">
            <v>-12720.57</v>
          </cell>
          <cell r="P27">
            <v>135422.43000000005</v>
          </cell>
          <cell r="R27" t="str">
            <v>F12200C</v>
          </cell>
          <cell r="S27">
            <v>135422.43</v>
          </cell>
          <cell r="T27">
            <v>-308210.61999999994</v>
          </cell>
        </row>
        <row r="28">
          <cell r="A28" t="str">
            <v>F12310C</v>
          </cell>
          <cell r="B28" t="str">
            <v>INVESTMENT IN SUBSIDIARY COMPANIES</v>
          </cell>
          <cell r="C28">
            <v>3290000</v>
          </cell>
          <cell r="P28">
            <v>0</v>
          </cell>
          <cell r="T28">
            <v>3290000</v>
          </cell>
        </row>
        <row r="29">
          <cell r="A29" t="str">
            <v>F12400C</v>
          </cell>
          <cell r="B29" t="str">
            <v>OTHER INVESTMENTS</v>
          </cell>
          <cell r="C29">
            <v>3286694.9</v>
          </cell>
          <cell r="D29">
            <v>-13250</v>
          </cell>
          <cell r="E29">
            <v>0</v>
          </cell>
          <cell r="F29">
            <v>-187500</v>
          </cell>
          <cell r="G29">
            <v>0</v>
          </cell>
          <cell r="H29">
            <v>0</v>
          </cell>
          <cell r="I29">
            <v>-187500</v>
          </cell>
          <cell r="L29">
            <v>-187500</v>
          </cell>
          <cell r="M29">
            <v>0</v>
          </cell>
          <cell r="N29">
            <v>0</v>
          </cell>
          <cell r="O29">
            <v>-194565</v>
          </cell>
          <cell r="P29">
            <v>-770315</v>
          </cell>
          <cell r="R29" t="str">
            <v>F12400C</v>
          </cell>
          <cell r="S29">
            <v>-770315</v>
          </cell>
          <cell r="T29">
            <v>2516379.9</v>
          </cell>
        </row>
        <row r="30">
          <cell r="A30" t="str">
            <v>F12810C</v>
          </cell>
          <cell r="B30" t="str">
            <v>OTHER SPECIAL FUNDS-DEFERRED CHARGES</v>
          </cell>
          <cell r="C30">
            <v>-421626.48</v>
          </cell>
          <cell r="D30">
            <v>84326</v>
          </cell>
          <cell r="E30">
            <v>84326</v>
          </cell>
          <cell r="F30">
            <v>84326</v>
          </cell>
          <cell r="G30">
            <v>84326</v>
          </cell>
          <cell r="H30">
            <v>84325</v>
          </cell>
          <cell r="I30">
            <v>-1080935.79</v>
          </cell>
          <cell r="J30">
            <v>98267</v>
          </cell>
          <cell r="K30">
            <v>98267</v>
          </cell>
          <cell r="L30">
            <v>98267</v>
          </cell>
          <cell r="M30">
            <v>98267</v>
          </cell>
          <cell r="N30">
            <v>98267</v>
          </cell>
          <cell r="O30">
            <v>98267</v>
          </cell>
          <cell r="P30">
            <v>-69704.790000000037</v>
          </cell>
          <cell r="R30" t="str">
            <v>F12810C</v>
          </cell>
          <cell r="S30">
            <v>-69704.789999999994</v>
          </cell>
          <cell r="T30">
            <v>-491331.27</v>
          </cell>
        </row>
        <row r="31">
          <cell r="A31" t="str">
            <v>F12820C</v>
          </cell>
          <cell r="B31" t="str">
            <v>OTHER SPECIAL FUNDS-SONGS DECOMM</v>
          </cell>
          <cell r="C31">
            <v>494200412</v>
          </cell>
          <cell r="D31">
            <v>1831000</v>
          </cell>
          <cell r="E31">
            <v>1837000</v>
          </cell>
          <cell r="F31">
            <v>-3255770</v>
          </cell>
          <cell r="G31">
            <v>1837000</v>
          </cell>
          <cell r="H31">
            <v>1837000</v>
          </cell>
          <cell r="I31">
            <v>8422353</v>
          </cell>
          <cell r="J31">
            <v>410600</v>
          </cell>
          <cell r="K31">
            <v>410600</v>
          </cell>
          <cell r="L31">
            <v>1116247</v>
          </cell>
          <cell r="M31">
            <v>410600</v>
          </cell>
          <cell r="N31">
            <v>410600</v>
          </cell>
          <cell r="O31">
            <v>41849472</v>
          </cell>
          <cell r="P31">
            <v>57116702</v>
          </cell>
          <cell r="R31" t="str">
            <v>F12820C</v>
          </cell>
          <cell r="S31">
            <v>57116702</v>
          </cell>
          <cell r="T31">
            <v>551317114</v>
          </cell>
        </row>
        <row r="32">
          <cell r="A32" t="str">
            <v>F13100C</v>
          </cell>
          <cell r="B32" t="str">
            <v>CASH</v>
          </cell>
          <cell r="C32">
            <v>7253038.3700000001</v>
          </cell>
          <cell r="D32">
            <v>-2302272.34</v>
          </cell>
          <cell r="E32">
            <v>3642444.14</v>
          </cell>
          <cell r="F32">
            <v>2921138.13</v>
          </cell>
          <cell r="G32">
            <v>-5796722.21</v>
          </cell>
          <cell r="H32">
            <v>7748935.1500000004</v>
          </cell>
          <cell r="I32">
            <v>-2336539.61</v>
          </cell>
          <cell r="J32">
            <v>3501287.95</v>
          </cell>
          <cell r="K32">
            <v>-6155485.9400000004</v>
          </cell>
          <cell r="L32">
            <v>-783810.9</v>
          </cell>
          <cell r="M32">
            <v>4632312.07</v>
          </cell>
          <cell r="N32">
            <v>-5947150.9800000004</v>
          </cell>
          <cell r="O32">
            <v>989436.64</v>
          </cell>
          <cell r="P32">
            <v>113572.09999999998</v>
          </cell>
          <cell r="R32" t="str">
            <v>F13100C</v>
          </cell>
          <cell r="S32">
            <v>113572.1</v>
          </cell>
          <cell r="T32">
            <v>7366610.4699999997</v>
          </cell>
        </row>
        <row r="33">
          <cell r="A33" t="str">
            <v>F13400C</v>
          </cell>
          <cell r="B33" t="str">
            <v>OTHER SPECIAL DEPOSITS</v>
          </cell>
          <cell r="C33">
            <v>2653522.52</v>
          </cell>
          <cell r="D33">
            <v>11016851.99</v>
          </cell>
          <cell r="E33">
            <v>11176345.699999999</v>
          </cell>
          <cell r="F33">
            <v>-22208720.210000001</v>
          </cell>
          <cell r="G33">
            <v>8058113.5199999996</v>
          </cell>
          <cell r="H33">
            <v>7636935.3799999999</v>
          </cell>
          <cell r="I33">
            <v>-15666445.300000001</v>
          </cell>
          <cell r="J33">
            <v>4696726.84</v>
          </cell>
          <cell r="K33">
            <v>7692014.2599999998</v>
          </cell>
          <cell r="L33">
            <v>-14537582.880000001</v>
          </cell>
          <cell r="M33">
            <v>8148650</v>
          </cell>
          <cell r="N33">
            <v>7756426.2400000002</v>
          </cell>
          <cell r="O33">
            <v>-16235446.380000001</v>
          </cell>
          <cell r="P33">
            <v>-2466130.8400000073</v>
          </cell>
          <cell r="R33" t="str">
            <v>F13400C</v>
          </cell>
          <cell r="S33">
            <v>-2466130.84</v>
          </cell>
          <cell r="T33">
            <v>187391.67999999272</v>
          </cell>
        </row>
        <row r="34">
          <cell r="A34" t="str">
            <v>F13500C</v>
          </cell>
          <cell r="B34" t="str">
            <v>WORKING FUND</v>
          </cell>
          <cell r="C34">
            <v>128424</v>
          </cell>
          <cell r="D34">
            <v>-6000</v>
          </cell>
          <cell r="E34">
            <v>0</v>
          </cell>
          <cell r="F34">
            <v>-21764</v>
          </cell>
          <cell r="G34">
            <v>-20</v>
          </cell>
          <cell r="H34">
            <v>300</v>
          </cell>
          <cell r="I34">
            <v>1000</v>
          </cell>
          <cell r="L34">
            <v>-7000</v>
          </cell>
          <cell r="M34">
            <v>-50</v>
          </cell>
          <cell r="N34">
            <v>-5000</v>
          </cell>
          <cell r="O34">
            <v>-50</v>
          </cell>
          <cell r="P34">
            <v>-38584</v>
          </cell>
          <cell r="R34" t="str">
            <v>F13500C</v>
          </cell>
          <cell r="S34">
            <v>-38584</v>
          </cell>
          <cell r="T34">
            <v>89840</v>
          </cell>
        </row>
        <row r="35">
          <cell r="A35" t="str">
            <v>F13600C</v>
          </cell>
          <cell r="B35" t="str">
            <v>TEMPORARY CASH INVESTMENTS</v>
          </cell>
          <cell r="C35">
            <v>273293535.74000001</v>
          </cell>
          <cell r="D35">
            <v>-109893253.75</v>
          </cell>
          <cell r="E35">
            <v>2154956.2200000002</v>
          </cell>
          <cell r="F35">
            <v>12596643.25</v>
          </cell>
          <cell r="G35">
            <v>49214338.359999999</v>
          </cell>
          <cell r="H35">
            <v>234568698.16999999</v>
          </cell>
          <cell r="I35">
            <v>-118953286.48</v>
          </cell>
          <cell r="J35">
            <v>-19373966.949999999</v>
          </cell>
          <cell r="K35">
            <v>27948461.41</v>
          </cell>
          <cell r="L35">
            <v>-61405467</v>
          </cell>
          <cell r="M35">
            <v>20452746.75</v>
          </cell>
          <cell r="N35">
            <v>28533350.530000001</v>
          </cell>
          <cell r="O35">
            <v>-9847909.9299999997</v>
          </cell>
          <cell r="P35">
            <v>55995310.579999991</v>
          </cell>
          <cell r="R35" t="str">
            <v>F13600C</v>
          </cell>
          <cell r="S35">
            <v>55995310.580000013</v>
          </cell>
          <cell r="T35">
            <v>329288846.31999999</v>
          </cell>
        </row>
        <row r="36">
          <cell r="A36" t="str">
            <v>F14200C</v>
          </cell>
          <cell r="B36" t="str">
            <v>CUSTOMER ACCOUNTS RECEIVABLE</v>
          </cell>
          <cell r="C36">
            <v>122107803.31</v>
          </cell>
          <cell r="D36">
            <v>10594900.17</v>
          </cell>
          <cell r="E36">
            <v>56522090.869999997</v>
          </cell>
          <cell r="F36">
            <v>-66285609.210000001</v>
          </cell>
          <cell r="G36">
            <v>-342342.32</v>
          </cell>
          <cell r="H36">
            <v>9003.7000000000007</v>
          </cell>
          <cell r="I36">
            <v>3374412.53</v>
          </cell>
          <cell r="J36">
            <v>16425675.710000001</v>
          </cell>
          <cell r="K36">
            <v>-21913787.559999999</v>
          </cell>
          <cell r="L36">
            <v>5551833.0199999996</v>
          </cell>
          <cell r="M36">
            <v>4517188.66</v>
          </cell>
          <cell r="N36">
            <v>-2089780.42</v>
          </cell>
          <cell r="O36">
            <v>-2284549.02</v>
          </cell>
          <cell r="P36">
            <v>4079036.1299999929</v>
          </cell>
          <cell r="R36" t="str">
            <v>F14200C</v>
          </cell>
          <cell r="S36">
            <v>4079036.1300000101</v>
          </cell>
          <cell r="T36">
            <v>126186839.44</v>
          </cell>
        </row>
        <row r="37">
          <cell r="A37" t="str">
            <v>F14300C</v>
          </cell>
          <cell r="B37" t="str">
            <v>OTHER ACCOUNTS RECEIVABLE</v>
          </cell>
          <cell r="C37">
            <v>26527174.949999999</v>
          </cell>
          <cell r="D37">
            <v>-2381703.5099999998</v>
          </cell>
          <cell r="E37">
            <v>-1451375.3</v>
          </cell>
          <cell r="F37">
            <v>-8505067.5099999998</v>
          </cell>
          <cell r="G37">
            <v>3849028.18</v>
          </cell>
          <cell r="H37">
            <v>4647981.1900000004</v>
          </cell>
          <cell r="I37">
            <v>2975070.04</v>
          </cell>
          <cell r="J37">
            <v>-4194106.94</v>
          </cell>
          <cell r="K37">
            <v>-6096157.6500000004</v>
          </cell>
          <cell r="L37">
            <v>418747.99</v>
          </cell>
          <cell r="M37">
            <v>-3483867.73</v>
          </cell>
          <cell r="N37">
            <v>-821906.35</v>
          </cell>
          <cell r="O37">
            <v>1302492.7</v>
          </cell>
          <cell r="P37">
            <v>-13740864.890000001</v>
          </cell>
          <cell r="R37" t="str">
            <v>F14300C</v>
          </cell>
          <cell r="S37">
            <v>-13740864.890000001</v>
          </cell>
          <cell r="T37">
            <v>12786310.059999999</v>
          </cell>
        </row>
        <row r="38">
          <cell r="A38" t="str">
            <v>F14400C</v>
          </cell>
          <cell r="B38" t="str">
            <v>ACCUM. PROV. FOR UNCOLLECTIBLE ACCT.-CREDIT</v>
          </cell>
          <cell r="C38">
            <v>-2541471.9</v>
          </cell>
          <cell r="N38">
            <v>0</v>
          </cell>
          <cell r="O38">
            <v>624891</v>
          </cell>
          <cell r="P38">
            <v>624891</v>
          </cell>
          <cell r="R38" t="str">
            <v>F14400C</v>
          </cell>
          <cell r="S38">
            <v>624891</v>
          </cell>
          <cell r="T38">
            <v>-1916580.9</v>
          </cell>
        </row>
        <row r="39">
          <cell r="A39" t="str">
            <v>F14500C</v>
          </cell>
          <cell r="B39" t="str">
            <v>NOTES REC FROM ASSOC</v>
          </cell>
          <cell r="C39">
            <v>100587330.12</v>
          </cell>
          <cell r="D39">
            <v>13771000</v>
          </cell>
          <cell r="E39">
            <v>14490000</v>
          </cell>
          <cell r="F39">
            <v>23675000</v>
          </cell>
          <cell r="G39">
            <v>0</v>
          </cell>
          <cell r="H39">
            <v>166116829.78999999</v>
          </cell>
          <cell r="I39">
            <v>92403875.769999996</v>
          </cell>
          <cell r="J39">
            <v>140410043.41</v>
          </cell>
          <cell r="K39">
            <v>29182199.260000002</v>
          </cell>
          <cell r="L39">
            <v>8242300.9500000002</v>
          </cell>
          <cell r="M39">
            <v>5309926.54</v>
          </cell>
          <cell r="N39">
            <v>-5148302.0199999996</v>
          </cell>
          <cell r="O39">
            <v>23191737.629999999</v>
          </cell>
          <cell r="P39">
            <v>511644611.33000004</v>
          </cell>
          <cell r="R39" t="str">
            <v>F14500C</v>
          </cell>
          <cell r="S39">
            <v>511644611.32999998</v>
          </cell>
          <cell r="T39">
            <v>612231941.45000005</v>
          </cell>
        </row>
        <row r="40">
          <cell r="A40" t="str">
            <v>F14600C</v>
          </cell>
          <cell r="B40" t="str">
            <v>ACCOUNTS RECEIVABLE FROM ASSOC. COMPANIES</v>
          </cell>
          <cell r="C40">
            <v>135215287.66</v>
          </cell>
          <cell r="D40">
            <v>-43416974.030000001</v>
          </cell>
          <cell r="E40">
            <v>5206839.92</v>
          </cell>
          <cell r="F40">
            <v>-20397386.91</v>
          </cell>
          <cell r="G40">
            <v>30486235.949999999</v>
          </cell>
          <cell r="H40">
            <v>-1875653.16</v>
          </cell>
          <cell r="I40">
            <v>-22326308.699999999</v>
          </cell>
          <cell r="J40">
            <v>-121854116.54000001</v>
          </cell>
          <cell r="K40">
            <v>-16202132.710000001</v>
          </cell>
          <cell r="L40">
            <v>34734974.829999998</v>
          </cell>
          <cell r="M40">
            <v>-7040870.3300000001</v>
          </cell>
          <cell r="N40">
            <v>-1319628.92</v>
          </cell>
          <cell r="O40">
            <v>14808167.42</v>
          </cell>
          <cell r="P40">
            <v>-149196853.18000004</v>
          </cell>
          <cell r="R40" t="str">
            <v>F14600C</v>
          </cell>
          <cell r="S40">
            <v>-149196853.18000001</v>
          </cell>
          <cell r="T40">
            <v>-13981565.520000041</v>
          </cell>
        </row>
        <row r="41">
          <cell r="A41" t="str">
            <v>F15100C</v>
          </cell>
          <cell r="B41" t="str">
            <v>FUEL STOCK</v>
          </cell>
          <cell r="C41">
            <v>7705214.5099999998</v>
          </cell>
          <cell r="D41">
            <v>52965.29</v>
          </cell>
          <cell r="E41">
            <v>0</v>
          </cell>
          <cell r="H41">
            <v>-2889156.82</v>
          </cell>
          <cell r="I41">
            <v>-4869022.9800000004</v>
          </cell>
          <cell r="P41">
            <v>-7705214.5099999998</v>
          </cell>
          <cell r="R41" t="str">
            <v>F15100C</v>
          </cell>
          <cell r="S41">
            <v>-7705214.5099999998</v>
          </cell>
          <cell r="T41">
            <v>0</v>
          </cell>
        </row>
        <row r="42">
          <cell r="A42" t="str">
            <v>F15200C</v>
          </cell>
          <cell r="B42" t="str">
            <v>FUEL STOCK EXPENSES UNDISTRIBUTED</v>
          </cell>
          <cell r="C42">
            <v>79374.100000000006</v>
          </cell>
          <cell r="D42">
            <v>-79381.84</v>
          </cell>
          <cell r="E42">
            <v>31174.93</v>
          </cell>
          <cell r="F42">
            <v>1753.88</v>
          </cell>
          <cell r="G42">
            <v>643</v>
          </cell>
          <cell r="H42">
            <v>1133.02</v>
          </cell>
          <cell r="I42">
            <v>-34704.629999999997</v>
          </cell>
          <cell r="J42">
            <v>1797.09</v>
          </cell>
          <cell r="K42">
            <v>1797.09</v>
          </cell>
          <cell r="L42">
            <v>-111.44</v>
          </cell>
          <cell r="M42">
            <v>2000</v>
          </cell>
          <cell r="N42">
            <v>1797</v>
          </cell>
          <cell r="O42">
            <v>1797.09</v>
          </cell>
          <cell r="P42">
            <v>-70304.810000000012</v>
          </cell>
          <cell r="R42" t="str">
            <v>F15200C</v>
          </cell>
          <cell r="S42">
            <v>-70304.81</v>
          </cell>
          <cell r="T42">
            <v>9069.2899999999936</v>
          </cell>
        </row>
        <row r="43">
          <cell r="A43" t="str">
            <v>F15400C</v>
          </cell>
          <cell r="B43" t="str">
            <v>PLANT MATERIALS AND OPERATING SUPPLIES</v>
          </cell>
          <cell r="C43">
            <v>48816486.640000001</v>
          </cell>
          <cell r="D43">
            <v>-836281.71</v>
          </cell>
          <cell r="E43">
            <v>-497018.7</v>
          </cell>
          <cell r="F43">
            <v>-170844.4</v>
          </cell>
          <cell r="G43">
            <v>-923785.38</v>
          </cell>
          <cell r="H43">
            <v>-3936208.49</v>
          </cell>
          <cell r="I43">
            <v>-5899362.2199999997</v>
          </cell>
          <cell r="J43">
            <v>-715067.33</v>
          </cell>
          <cell r="K43">
            <v>825969.94</v>
          </cell>
          <cell r="L43">
            <v>1931363.65</v>
          </cell>
          <cell r="M43">
            <v>2948023.75</v>
          </cell>
          <cell r="N43">
            <v>4117214.98</v>
          </cell>
          <cell r="O43">
            <v>3719303.27</v>
          </cell>
          <cell r="P43">
            <v>563307.36000000127</v>
          </cell>
          <cell r="R43" t="str">
            <v>F15400C</v>
          </cell>
          <cell r="S43">
            <v>563307.36</v>
          </cell>
          <cell r="T43">
            <v>49379794</v>
          </cell>
        </row>
        <row r="44">
          <cell r="A44" t="str">
            <v>F15600C</v>
          </cell>
          <cell r="B44" t="str">
            <v>OTHER MATERIALS AND SUPPLIES</v>
          </cell>
          <cell r="C44">
            <v>0</v>
          </cell>
          <cell r="F44">
            <v>-1233.3900000000001</v>
          </cell>
          <cell r="G44">
            <v>2636.94</v>
          </cell>
          <cell r="H44">
            <v>215.32</v>
          </cell>
          <cell r="I44">
            <v>-14003.33</v>
          </cell>
          <cell r="J44">
            <v>9487.5499999999993</v>
          </cell>
          <cell r="K44">
            <v>21745.85</v>
          </cell>
          <cell r="L44">
            <v>10715</v>
          </cell>
          <cell r="M44">
            <v>7360.63</v>
          </cell>
          <cell r="N44">
            <v>5721.28</v>
          </cell>
          <cell r="O44">
            <v>1806.85</v>
          </cell>
          <cell r="P44">
            <v>44452.7</v>
          </cell>
          <cell r="R44" t="str">
            <v>F15600C</v>
          </cell>
          <cell r="S44">
            <v>44452.7</v>
          </cell>
          <cell r="T44">
            <v>44452.7</v>
          </cell>
        </row>
        <row r="45">
          <cell r="A45" t="str">
            <v>F15700C</v>
          </cell>
          <cell r="B45" t="str">
            <v>NUCLEAR MATERIALS HELD FOR SALE</v>
          </cell>
          <cell r="C45">
            <v>134.83000000000001</v>
          </cell>
          <cell r="P45">
            <v>0</v>
          </cell>
          <cell r="T45">
            <v>134.83000000000001</v>
          </cell>
        </row>
        <row r="46">
          <cell r="A46" t="str">
            <v>F16300C</v>
          </cell>
          <cell r="B46" t="str">
            <v>STORES EXPENSE UNDISTRIBUTED</v>
          </cell>
          <cell r="C46">
            <v>-1509555.76</v>
          </cell>
          <cell r="D46">
            <v>-151770.68</v>
          </cell>
          <cell r="E46">
            <v>483341.04</v>
          </cell>
          <cell r="F46">
            <v>424791.65</v>
          </cell>
          <cell r="G46">
            <v>-1512318.97</v>
          </cell>
          <cell r="H46">
            <v>598505.09</v>
          </cell>
          <cell r="I46">
            <v>318551.74</v>
          </cell>
          <cell r="J46">
            <v>258254.77</v>
          </cell>
          <cell r="K46">
            <v>966593.11</v>
          </cell>
          <cell r="L46">
            <v>323636.59000000003</v>
          </cell>
          <cell r="M46">
            <v>34804.589999999997</v>
          </cell>
          <cell r="N46">
            <v>694839.65</v>
          </cell>
          <cell r="O46">
            <v>158167.95000000001</v>
          </cell>
          <cell r="P46">
            <v>2597396.5300000003</v>
          </cell>
          <cell r="R46" t="str">
            <v>F16300C</v>
          </cell>
          <cell r="S46">
            <v>2597396.5299999998</v>
          </cell>
          <cell r="T46">
            <v>1087840.7700000003</v>
          </cell>
        </row>
        <row r="47">
          <cell r="A47" t="str">
            <v>F16410C</v>
          </cell>
          <cell r="B47" t="str">
            <v>GAS STORED UNDERGROUND-CURRENT</v>
          </cell>
          <cell r="C47">
            <v>21486265.879999999</v>
          </cell>
          <cell r="D47">
            <v>-4539931</v>
          </cell>
          <cell r="E47">
            <v>-14323562</v>
          </cell>
          <cell r="F47">
            <v>9698809</v>
          </cell>
          <cell r="G47">
            <v>-5071470</v>
          </cell>
          <cell r="H47">
            <v>1722153</v>
          </cell>
          <cell r="I47">
            <v>2761146</v>
          </cell>
          <cell r="J47">
            <v>1994117</v>
          </cell>
          <cell r="K47">
            <v>-73786</v>
          </cell>
          <cell r="L47">
            <v>3992132</v>
          </cell>
          <cell r="M47">
            <v>1871222</v>
          </cell>
          <cell r="N47">
            <v>-3613155</v>
          </cell>
          <cell r="O47">
            <v>-5278740</v>
          </cell>
          <cell r="P47">
            <v>-10861065</v>
          </cell>
          <cell r="R47" t="str">
            <v>F16410C</v>
          </cell>
          <cell r="S47">
            <v>-10861065</v>
          </cell>
          <cell r="T47">
            <v>10625200.879999999</v>
          </cell>
        </row>
        <row r="48">
          <cell r="A48" t="str">
            <v>F16420C</v>
          </cell>
          <cell r="B48" t="str">
            <v>LIQUEFIED NATURAL GAS STORED</v>
          </cell>
          <cell r="C48">
            <v>0</v>
          </cell>
          <cell r="F48">
            <v>1288</v>
          </cell>
          <cell r="G48">
            <v>915</v>
          </cell>
          <cell r="H48">
            <v>-3608</v>
          </cell>
          <cell r="I48">
            <v>1338</v>
          </cell>
          <cell r="J48">
            <v>-1951</v>
          </cell>
          <cell r="K48">
            <v>1130</v>
          </cell>
          <cell r="L48">
            <v>1243</v>
          </cell>
          <cell r="M48">
            <v>-6.17</v>
          </cell>
          <cell r="N48">
            <v>1493.47</v>
          </cell>
          <cell r="O48">
            <v>1105.1099999999999</v>
          </cell>
          <cell r="P48">
            <v>2947.41</v>
          </cell>
          <cell r="R48" t="str">
            <v>F16420C</v>
          </cell>
          <cell r="S48">
            <v>2947.41</v>
          </cell>
          <cell r="T48">
            <v>2947.41</v>
          </cell>
        </row>
        <row r="49">
          <cell r="A49" t="str">
            <v>F16500C</v>
          </cell>
          <cell r="B49" t="str">
            <v>PREPAYMENTS</v>
          </cell>
          <cell r="C49">
            <v>6855148.4299999997</v>
          </cell>
          <cell r="D49">
            <v>-471815.58</v>
          </cell>
          <cell r="E49">
            <v>-188436.48000000001</v>
          </cell>
          <cell r="F49">
            <v>1064860.33</v>
          </cell>
          <cell r="G49">
            <v>6336243.4299999997</v>
          </cell>
          <cell r="H49">
            <v>122314.4</v>
          </cell>
          <cell r="I49">
            <v>-5397097.1500000004</v>
          </cell>
          <cell r="J49">
            <v>769827.27</v>
          </cell>
          <cell r="K49">
            <v>691599.39</v>
          </cell>
          <cell r="L49">
            <v>-6411639.5499999998</v>
          </cell>
          <cell r="M49">
            <v>155374.43</v>
          </cell>
          <cell r="N49">
            <v>-427336.33</v>
          </cell>
          <cell r="O49">
            <v>1878511.54</v>
          </cell>
          <cell r="P49">
            <v>-1877594.3000000003</v>
          </cell>
          <cell r="R49" t="str">
            <v>F16500C</v>
          </cell>
          <cell r="S49">
            <v>-1877594.3</v>
          </cell>
          <cell r="T49">
            <v>4977554.129999999</v>
          </cell>
        </row>
        <row r="50">
          <cell r="A50" t="str">
            <v>F17100C</v>
          </cell>
          <cell r="B50" t="str">
            <v>INTEREST AND DIVIDENDS RECEIVABLE</v>
          </cell>
          <cell r="C50">
            <v>2425663.2599999998</v>
          </cell>
          <cell r="D50">
            <v>128653.16</v>
          </cell>
          <cell r="E50">
            <v>-742567.28</v>
          </cell>
          <cell r="F50">
            <v>-1041992.9</v>
          </cell>
          <cell r="G50">
            <v>-516581.77</v>
          </cell>
          <cell r="H50">
            <v>525550.31999999995</v>
          </cell>
          <cell r="I50">
            <v>187230.34</v>
          </cell>
          <cell r="J50">
            <v>-336017.68</v>
          </cell>
          <cell r="K50">
            <v>232868.99</v>
          </cell>
          <cell r="L50">
            <v>-230013.24</v>
          </cell>
          <cell r="M50">
            <v>154042.28</v>
          </cell>
          <cell r="N50">
            <v>640484.81000000006</v>
          </cell>
          <cell r="O50">
            <v>761484.05</v>
          </cell>
          <cell r="P50">
            <v>-236858.91999999993</v>
          </cell>
          <cell r="R50" t="str">
            <v>F17100C</v>
          </cell>
          <cell r="S50">
            <v>-236858.92</v>
          </cell>
          <cell r="T50">
            <v>2188804.34</v>
          </cell>
        </row>
        <row r="51">
          <cell r="A51" t="str">
            <v>F17300C</v>
          </cell>
          <cell r="B51" t="str">
            <v>ACCRUED UTILITY REVENUES</v>
          </cell>
          <cell r="C51">
            <v>50095000</v>
          </cell>
          <cell r="N51">
            <v>0</v>
          </cell>
          <cell r="O51">
            <v>2264000</v>
          </cell>
          <cell r="P51">
            <v>2264000</v>
          </cell>
          <cell r="R51" t="str">
            <v>F17300C</v>
          </cell>
          <cell r="S51">
            <v>2264000</v>
          </cell>
          <cell r="T51">
            <v>52359000</v>
          </cell>
        </row>
        <row r="52">
          <cell r="A52" t="str">
            <v>F17400C</v>
          </cell>
          <cell r="B52" t="str">
            <v>MISCELLANEOUS CURRENT AND ACCRUED ASSETS</v>
          </cell>
          <cell r="C52">
            <v>279744079.57999998</v>
          </cell>
          <cell r="D52">
            <v>4728214.83</v>
          </cell>
          <cell r="E52">
            <v>-19593142</v>
          </cell>
          <cell r="P52">
            <v>-14864927.17</v>
          </cell>
          <cell r="R52" t="str">
            <v>F17400C</v>
          </cell>
          <cell r="S52">
            <v>-14864927.17</v>
          </cell>
          <cell r="T52">
            <v>264879152.41</v>
          </cell>
        </row>
        <row r="53">
          <cell r="A53" t="str">
            <v>F17401C</v>
          </cell>
          <cell r="B53" t="str">
            <v>MISC. CURRENT AND ACCRUED ASSETS-BALANCING ACCOUNT</v>
          </cell>
          <cell r="C53">
            <v>8884450.8300000001</v>
          </cell>
          <cell r="D53">
            <v>-8884450.8300000001</v>
          </cell>
          <cell r="E53">
            <v>0</v>
          </cell>
          <cell r="F53">
            <v>-121903706.59999999</v>
          </cell>
          <cell r="G53">
            <v>-4487780.9800000004</v>
          </cell>
          <cell r="H53">
            <v>-36610795</v>
          </cell>
          <cell r="I53">
            <v>-46445366.420000002</v>
          </cell>
          <cell r="J53">
            <v>3920775</v>
          </cell>
          <cell r="K53">
            <v>-5567834</v>
          </cell>
          <cell r="L53">
            <v>-24443</v>
          </cell>
          <cell r="M53">
            <v>13386610</v>
          </cell>
          <cell r="N53">
            <v>-12408714</v>
          </cell>
          <cell r="O53">
            <v>-8958518</v>
          </cell>
          <cell r="P53">
            <v>-227984223.82999998</v>
          </cell>
          <cell r="R53" t="str">
            <v>F17401C</v>
          </cell>
          <cell r="S53">
            <v>-227984223.83000001</v>
          </cell>
          <cell r="T53">
            <v>-219099772.99999997</v>
          </cell>
        </row>
        <row r="54">
          <cell r="A54" t="str">
            <v>F18100C</v>
          </cell>
          <cell r="B54" t="str">
            <v>UNAMORTIZED DEBT EXPENSES</v>
          </cell>
          <cell r="C54">
            <v>12158969.529999999</v>
          </cell>
          <cell r="D54">
            <v>-12424.35</v>
          </cell>
          <cell r="E54">
            <v>-49474.69</v>
          </cell>
          <cell r="F54">
            <v>-49387.73</v>
          </cell>
          <cell r="G54">
            <v>-49387.76</v>
          </cell>
          <cell r="H54">
            <v>-49387.76</v>
          </cell>
          <cell r="I54">
            <v>-49387.73</v>
          </cell>
          <cell r="J54">
            <v>-264198.58</v>
          </cell>
          <cell r="K54">
            <v>-48595.93</v>
          </cell>
          <cell r="L54">
            <v>-48716.09</v>
          </cell>
          <cell r="M54">
            <v>-48716.09</v>
          </cell>
          <cell r="N54">
            <v>-48716.09</v>
          </cell>
          <cell r="O54">
            <v>-48715.93</v>
          </cell>
          <cell r="P54">
            <v>-767108.73</v>
          </cell>
          <cell r="R54" t="str">
            <v>F18100C</v>
          </cell>
          <cell r="S54">
            <v>-767108.73</v>
          </cell>
          <cell r="T54">
            <v>11391860.799999999</v>
          </cell>
        </row>
        <row r="55">
          <cell r="A55" t="str">
            <v>F18220C</v>
          </cell>
          <cell r="B55" t="str">
            <v>UNRECOVERED PLANT AND REGULATORY STUDY COSTS</v>
          </cell>
          <cell r="C55">
            <v>5184246.34</v>
          </cell>
          <cell r="D55">
            <v>-144006</v>
          </cell>
          <cell r="E55">
            <v>-144006</v>
          </cell>
          <cell r="F55">
            <v>-144006</v>
          </cell>
          <cell r="G55">
            <v>-144006</v>
          </cell>
          <cell r="H55">
            <v>-144006</v>
          </cell>
          <cell r="I55">
            <v>-3846554.51</v>
          </cell>
          <cell r="J55">
            <v>1153585.75</v>
          </cell>
          <cell r="K55">
            <v>-1771194.31</v>
          </cell>
          <cell r="L55">
            <v>0</v>
          </cell>
          <cell r="M55">
            <v>0</v>
          </cell>
          <cell r="P55">
            <v>-5184193.07</v>
          </cell>
          <cell r="R55" t="str">
            <v>F18220C</v>
          </cell>
          <cell r="S55">
            <v>-5184193.07</v>
          </cell>
          <cell r="T55">
            <v>53.269999999552965</v>
          </cell>
        </row>
        <row r="56">
          <cell r="A56" t="str">
            <v>F18230C</v>
          </cell>
          <cell r="B56" t="str">
            <v>OTHER REGULATORY ASSETS</v>
          </cell>
          <cell r="C56">
            <v>369379535.26999998</v>
          </cell>
          <cell r="D56">
            <v>-4085369.99</v>
          </cell>
          <cell r="E56">
            <v>-4101369.99</v>
          </cell>
          <cell r="F56">
            <v>-5743369.9900000002</v>
          </cell>
          <cell r="G56">
            <v>-3023369.99</v>
          </cell>
          <cell r="H56">
            <v>-24538369.989999998</v>
          </cell>
          <cell r="I56">
            <v>-82470056.989999995</v>
          </cell>
          <cell r="J56">
            <v>-305463.99</v>
          </cell>
          <cell r="K56">
            <v>-305463.99</v>
          </cell>
          <cell r="L56">
            <v>-7393463.9900000002</v>
          </cell>
          <cell r="M56">
            <v>-305463.99</v>
          </cell>
          <cell r="N56">
            <v>459536.01</v>
          </cell>
          <cell r="O56">
            <v>14144278.02</v>
          </cell>
          <cell r="P56">
            <v>-117667948.86999997</v>
          </cell>
          <cell r="R56" t="str">
            <v>F18230C</v>
          </cell>
          <cell r="S56">
            <v>-117667948.87</v>
          </cell>
          <cell r="T56">
            <v>251711586.40000001</v>
          </cell>
        </row>
        <row r="57">
          <cell r="A57" t="str">
            <v>F18300C</v>
          </cell>
          <cell r="B57" t="str">
            <v>PRELIM. SURVEY AND INVESTIGATION CHARGES (ELECTRIC</v>
          </cell>
          <cell r="C57">
            <v>5938482.5999999996</v>
          </cell>
          <cell r="D57">
            <v>18261.54</v>
          </cell>
          <cell r="E57">
            <v>-6792.43</v>
          </cell>
          <cell r="F57">
            <v>1193.92</v>
          </cell>
          <cell r="G57">
            <v>2994.85</v>
          </cell>
          <cell r="H57">
            <v>63039.43</v>
          </cell>
          <cell r="I57">
            <v>222750.41</v>
          </cell>
          <cell r="J57">
            <v>20914.830000000002</v>
          </cell>
          <cell r="K57">
            <v>504999.9</v>
          </cell>
          <cell r="L57">
            <v>215092.68</v>
          </cell>
          <cell r="M57">
            <v>-2658006.11</v>
          </cell>
          <cell r="N57">
            <v>7549.4</v>
          </cell>
          <cell r="O57">
            <v>97724.22</v>
          </cell>
          <cell r="P57">
            <v>-1510277.36</v>
          </cell>
          <cell r="R57" t="str">
            <v>F18300C</v>
          </cell>
          <cell r="S57">
            <v>-1510277.36</v>
          </cell>
          <cell r="T57">
            <v>4428205.2399999993</v>
          </cell>
        </row>
        <row r="58">
          <cell r="A58" t="str">
            <v>F18400C</v>
          </cell>
          <cell r="B58" t="str">
            <v>CLEARING ACCOUNTS</v>
          </cell>
          <cell r="C58">
            <v>2797738.38</v>
          </cell>
          <cell r="D58">
            <v>713282.05</v>
          </cell>
          <cell r="E58">
            <v>2728653.51</v>
          </cell>
          <cell r="F58">
            <v>-1382641.58</v>
          </cell>
          <cell r="G58">
            <v>-185873.46</v>
          </cell>
          <cell r="H58">
            <v>57516.46</v>
          </cell>
          <cell r="I58">
            <v>253673.53</v>
          </cell>
          <cell r="J58">
            <v>-446273.18</v>
          </cell>
          <cell r="K58">
            <v>-1949517.69</v>
          </cell>
          <cell r="L58">
            <v>-1537013.03</v>
          </cell>
          <cell r="M58">
            <v>-667542.81999999995</v>
          </cell>
          <cell r="N58">
            <v>864076.26</v>
          </cell>
          <cell r="O58">
            <v>-1281085.1399999999</v>
          </cell>
          <cell r="P58">
            <v>-2832745.0900000003</v>
          </cell>
          <cell r="R58" t="str">
            <v>F18400C</v>
          </cell>
          <cell r="S58">
            <v>-2832745.09</v>
          </cell>
          <cell r="T58">
            <v>-35006.710000000428</v>
          </cell>
        </row>
        <row r="59">
          <cell r="A59" t="str">
            <v>F18500C</v>
          </cell>
          <cell r="B59" t="str">
            <v>TEMPORARY FACILITIES</v>
          </cell>
          <cell r="C59">
            <v>165481.65</v>
          </cell>
          <cell r="D59">
            <v>-254743.06</v>
          </cell>
          <cell r="E59">
            <v>-36618.089999999997</v>
          </cell>
          <cell r="F59">
            <v>-7832.54</v>
          </cell>
          <cell r="G59">
            <v>-11570.47</v>
          </cell>
          <cell r="H59">
            <v>-33511.9</v>
          </cell>
          <cell r="I59">
            <v>-27185.64</v>
          </cell>
          <cell r="J59">
            <v>-37944.54</v>
          </cell>
          <cell r="K59">
            <v>191.87</v>
          </cell>
          <cell r="L59">
            <v>7216.88</v>
          </cell>
          <cell r="M59">
            <v>-25534.93</v>
          </cell>
          <cell r="N59">
            <v>-25642.17</v>
          </cell>
          <cell r="O59">
            <v>299289.88</v>
          </cell>
          <cell r="P59">
            <v>-153884.70999999996</v>
          </cell>
          <cell r="R59" t="str">
            <v>F18500C</v>
          </cell>
          <cell r="S59">
            <v>-153884.71</v>
          </cell>
          <cell r="T59">
            <v>11596.940000000031</v>
          </cell>
        </row>
        <row r="60">
          <cell r="A60" t="str">
            <v>F18600C</v>
          </cell>
          <cell r="B60" t="str">
            <v>MISCELLANEOUS DEFERRED DEBITS</v>
          </cell>
          <cell r="C60">
            <v>115656068.19</v>
          </cell>
          <cell r="D60">
            <v>9585035.9299999997</v>
          </cell>
          <cell r="E60">
            <v>8423794.9100000001</v>
          </cell>
          <cell r="F60">
            <v>12884516.119999999</v>
          </cell>
          <cell r="G60">
            <v>10201343.82</v>
          </cell>
          <cell r="H60">
            <v>10913124.130000001</v>
          </cell>
          <cell r="I60">
            <v>7779202.5199999996</v>
          </cell>
          <cell r="J60">
            <v>-4584341.32</v>
          </cell>
          <cell r="K60">
            <v>-7126811.7400000002</v>
          </cell>
          <cell r="L60">
            <v>-2869800.66</v>
          </cell>
          <cell r="M60">
            <v>-2578203.91</v>
          </cell>
          <cell r="N60">
            <v>-3115714.41</v>
          </cell>
          <cell r="O60">
            <v>427228297.48000002</v>
          </cell>
          <cell r="P60">
            <v>466740442.87</v>
          </cell>
          <cell r="R60" t="str">
            <v>F18600C</v>
          </cell>
          <cell r="S60">
            <v>466740442.86999995</v>
          </cell>
          <cell r="T60">
            <v>582396511.05999994</v>
          </cell>
        </row>
        <row r="61">
          <cell r="A61" t="str">
            <v>F18800C</v>
          </cell>
          <cell r="B61" t="str">
            <v>RESEARCH  DEVEL. AND DEMONSTRATION EXPEND.</v>
          </cell>
          <cell r="C61">
            <v>0</v>
          </cell>
          <cell r="D61">
            <v>384.14</v>
          </cell>
          <cell r="E61">
            <v>-5103.2299999999996</v>
          </cell>
          <cell r="P61">
            <v>-4719.0899999999992</v>
          </cell>
          <cell r="R61" t="str">
            <v>F18800C</v>
          </cell>
          <cell r="S61">
            <v>-4719.09</v>
          </cell>
          <cell r="T61">
            <v>-4719.0899999999992</v>
          </cell>
        </row>
        <row r="62">
          <cell r="A62" t="str">
            <v>F18900C</v>
          </cell>
          <cell r="B62" t="str">
            <v>UNAMORTIZED LOSS ON REACQUIRED DEBT</v>
          </cell>
          <cell r="C62">
            <v>75672807.569999993</v>
          </cell>
          <cell r="D62">
            <v>-776216.36</v>
          </cell>
          <cell r="E62">
            <v>-676803.03</v>
          </cell>
          <cell r="F62">
            <v>-676802.95</v>
          </cell>
          <cell r="G62">
            <v>-676803.04</v>
          </cell>
          <cell r="H62">
            <v>-676802.94</v>
          </cell>
          <cell r="I62">
            <v>-9554134.8900000006</v>
          </cell>
          <cell r="J62">
            <v>40384.69</v>
          </cell>
          <cell r="K62">
            <v>-382477.7</v>
          </cell>
          <cell r="L62">
            <v>-382477.76</v>
          </cell>
          <cell r="M62">
            <v>-382477.76</v>
          </cell>
          <cell r="N62">
            <v>-382477.76</v>
          </cell>
          <cell r="O62">
            <v>-382477.62</v>
          </cell>
          <cell r="P62">
            <v>-14909567.119999999</v>
          </cell>
          <cell r="R62" t="str">
            <v>F18900C</v>
          </cell>
          <cell r="S62">
            <v>-14909567.120000001</v>
          </cell>
          <cell r="T62">
            <v>60763240.449999996</v>
          </cell>
        </row>
        <row r="63">
          <cell r="A63" t="str">
            <v>F19000C</v>
          </cell>
          <cell r="B63" t="str">
            <v>ACCUMULATED DEFERRED INCOME TAXES</v>
          </cell>
          <cell r="C63">
            <v>0</v>
          </cell>
          <cell r="D63">
            <v>-20913807</v>
          </cell>
          <cell r="E63">
            <v>0</v>
          </cell>
          <cell r="F63">
            <v>68000</v>
          </cell>
          <cell r="G63">
            <v>75000</v>
          </cell>
          <cell r="H63">
            <v>20770807</v>
          </cell>
          <cell r="I63">
            <v>0</v>
          </cell>
          <cell r="J63">
            <v>-30496807</v>
          </cell>
          <cell r="K63">
            <v>-904000</v>
          </cell>
          <cell r="L63">
            <v>-3060000</v>
          </cell>
          <cell r="M63">
            <v>-2044000</v>
          </cell>
          <cell r="N63">
            <v>-67973000</v>
          </cell>
          <cell r="O63">
            <v>13707000</v>
          </cell>
          <cell r="P63">
            <v>-90770807</v>
          </cell>
          <cell r="R63" t="str">
            <v>F19000C</v>
          </cell>
          <cell r="S63">
            <v>-90770807</v>
          </cell>
          <cell r="T63">
            <v>-90770807</v>
          </cell>
        </row>
        <row r="64">
          <cell r="A64" t="str">
            <v>F19001C</v>
          </cell>
          <cell r="B64" t="str">
            <v>ACCUM DEFERRED INCOME TAXES-OTHER</v>
          </cell>
          <cell r="C64">
            <v>-20954807</v>
          </cell>
          <cell r="D64">
            <v>20954807</v>
          </cell>
          <cell r="E64">
            <v>0</v>
          </cell>
          <cell r="H64">
            <v>-20725807</v>
          </cell>
          <cell r="I64">
            <v>-8165000</v>
          </cell>
          <cell r="J64">
            <v>28890807</v>
          </cell>
          <cell r="K64">
            <v>0</v>
          </cell>
          <cell r="P64">
            <v>20954807</v>
          </cell>
          <cell r="R64" t="str">
            <v>F19001C</v>
          </cell>
          <cell r="S64">
            <v>20954807</v>
          </cell>
          <cell r="T64">
            <v>0</v>
          </cell>
        </row>
        <row r="65">
          <cell r="A65" t="str">
            <v>F19002C</v>
          </cell>
          <cell r="B65" t="str">
            <v>ACCUMULATED DEFERRED INCOME TAXES</v>
          </cell>
          <cell r="C65">
            <v>247332517.22999999</v>
          </cell>
          <cell r="D65">
            <v>182000</v>
          </cell>
          <cell r="E65">
            <v>0</v>
          </cell>
          <cell r="F65">
            <v>213000</v>
          </cell>
          <cell r="G65">
            <v>326000</v>
          </cell>
          <cell r="H65">
            <v>200000</v>
          </cell>
          <cell r="I65">
            <v>-1794000</v>
          </cell>
          <cell r="J65">
            <v>192000</v>
          </cell>
          <cell r="K65">
            <v>108000</v>
          </cell>
          <cell r="L65">
            <v>-705000</v>
          </cell>
          <cell r="M65">
            <v>246000</v>
          </cell>
          <cell r="N65">
            <v>2938000</v>
          </cell>
          <cell r="O65">
            <v>-6768207</v>
          </cell>
          <cell r="P65">
            <v>-4862207</v>
          </cell>
          <cell r="R65" t="str">
            <v>F19002C</v>
          </cell>
          <cell r="S65">
            <v>-4862207</v>
          </cell>
          <cell r="T65">
            <v>242470310.22999999</v>
          </cell>
        </row>
        <row r="66">
          <cell r="A66" t="str">
            <v>F20100C</v>
          </cell>
          <cell r="B66" t="str">
            <v>COMMON STOCK ISSUED</v>
          </cell>
          <cell r="C66">
            <v>-291458395</v>
          </cell>
          <cell r="P66">
            <v>0</v>
          </cell>
          <cell r="T66">
            <v>-291458395</v>
          </cell>
        </row>
        <row r="67">
          <cell r="A67" t="str">
            <v>F20400C</v>
          </cell>
          <cell r="B67" t="str">
            <v>PREFERRED STOCK ISSUED - NON REDEEMABLE</v>
          </cell>
          <cell r="C67">
            <v>-78475400</v>
          </cell>
          <cell r="P67">
            <v>0</v>
          </cell>
          <cell r="T67">
            <v>-78475400</v>
          </cell>
        </row>
        <row r="68">
          <cell r="A68" t="str">
            <v>F20401C</v>
          </cell>
          <cell r="B68" t="str">
            <v>REDEEMABLE PREFERRED STOCK</v>
          </cell>
          <cell r="C68">
            <v>-25000000</v>
          </cell>
          <cell r="P68">
            <v>0</v>
          </cell>
          <cell r="T68">
            <v>-25000000</v>
          </cell>
        </row>
        <row r="69">
          <cell r="A69" t="str">
            <v>F20700C</v>
          </cell>
          <cell r="B69" t="str">
            <v>PREMIUM ON CAPITAL STOCK</v>
          </cell>
          <cell r="C69">
            <v>-592222752.73000002</v>
          </cell>
          <cell r="P69">
            <v>0</v>
          </cell>
          <cell r="T69">
            <v>-592222752.73000002</v>
          </cell>
        </row>
        <row r="70">
          <cell r="A70" t="str">
            <v>F21100C</v>
          </cell>
          <cell r="B70" t="str">
            <v>MISCELLANEOUS PAID-IN CAPITAL</v>
          </cell>
          <cell r="C70">
            <v>0</v>
          </cell>
          <cell r="N70">
            <v>0</v>
          </cell>
          <cell r="O70">
            <v>3280877</v>
          </cell>
          <cell r="P70">
            <v>3280877</v>
          </cell>
          <cell r="R70" t="str">
            <v>F21100C</v>
          </cell>
          <cell r="S70">
            <v>3280877</v>
          </cell>
          <cell r="T70">
            <v>3280877</v>
          </cell>
        </row>
        <row r="71">
          <cell r="A71" t="str">
            <v>F21400C</v>
          </cell>
          <cell r="B71" t="str">
            <v>CAPITAL STOCK EXPENSE</v>
          </cell>
          <cell r="C71">
            <v>25990044.91</v>
          </cell>
          <cell r="P71">
            <v>0</v>
          </cell>
          <cell r="T71">
            <v>25990044.91</v>
          </cell>
        </row>
        <row r="72">
          <cell r="A72" t="str">
            <v>F21600C</v>
          </cell>
          <cell r="B72" t="str">
            <v>RETAINED EARNINGS</v>
          </cell>
          <cell r="C72">
            <v>-529671553.44</v>
          </cell>
          <cell r="P72">
            <v>0</v>
          </cell>
          <cell r="T72">
            <v>-529671553.44</v>
          </cell>
        </row>
        <row r="73">
          <cell r="A73" t="str">
            <v>F22101C</v>
          </cell>
          <cell r="B73" t="str">
            <v>BONDS-LT DEBT</v>
          </cell>
          <cell r="C73">
            <v>-711776000</v>
          </cell>
          <cell r="J73">
            <v>27500000</v>
          </cell>
          <cell r="K73">
            <v>0</v>
          </cell>
          <cell r="P73">
            <v>27500000</v>
          </cell>
          <cell r="R73" t="str">
            <v>F22101C</v>
          </cell>
          <cell r="S73">
            <v>27500000</v>
          </cell>
          <cell r="T73">
            <v>-684276000</v>
          </cell>
        </row>
        <row r="74">
          <cell r="A74" t="str">
            <v>F22400C</v>
          </cell>
          <cell r="B74" t="str">
            <v>OTHER LT DEBT - CURRENT PORTION</v>
          </cell>
          <cell r="C74">
            <v>-52000</v>
          </cell>
          <cell r="P74">
            <v>0</v>
          </cell>
          <cell r="T74">
            <v>-52000</v>
          </cell>
        </row>
        <row r="75">
          <cell r="A75" t="str">
            <v>F22401C</v>
          </cell>
          <cell r="B75" t="str">
            <v>OTHER LT DEBT</v>
          </cell>
          <cell r="C75">
            <v>-254071101.81999999</v>
          </cell>
          <cell r="D75">
            <v>3440</v>
          </cell>
          <cell r="E75">
            <v>0</v>
          </cell>
          <cell r="N75">
            <v>0</v>
          </cell>
          <cell r="O75">
            <v>9844.36</v>
          </cell>
          <cell r="P75">
            <v>13284.36</v>
          </cell>
          <cell r="R75" t="str">
            <v>F22401C</v>
          </cell>
          <cell r="S75">
            <v>13284.36</v>
          </cell>
          <cell r="T75">
            <v>-254057817.45999998</v>
          </cell>
        </row>
        <row r="76">
          <cell r="A76" t="str">
            <v>F22500C</v>
          </cell>
          <cell r="B76" t="str">
            <v>UNAMORTIZED PREMIUM ON LONG-TERM DEBT</v>
          </cell>
          <cell r="C76">
            <v>-508338.08</v>
          </cell>
          <cell r="D76">
            <v>2106.0700000000002</v>
          </cell>
          <cell r="E76">
            <v>2106.09</v>
          </cell>
          <cell r="F76">
            <v>2106.0700000000002</v>
          </cell>
          <cell r="G76">
            <v>2106.08</v>
          </cell>
          <cell r="H76">
            <v>2106.08</v>
          </cell>
          <cell r="I76">
            <v>2106.08</v>
          </cell>
          <cell r="J76">
            <v>2106.08</v>
          </cell>
          <cell r="K76">
            <v>2106.0700000000002</v>
          </cell>
          <cell r="L76">
            <v>2106.09</v>
          </cell>
          <cell r="M76">
            <v>2106.09</v>
          </cell>
          <cell r="N76">
            <v>2106.09</v>
          </cell>
          <cell r="O76">
            <v>2106.0500000000002</v>
          </cell>
          <cell r="P76">
            <v>25272.94</v>
          </cell>
          <cell r="R76" t="str">
            <v>F22500C</v>
          </cell>
          <cell r="S76">
            <v>25272.94</v>
          </cell>
          <cell r="T76">
            <v>-483065.14</v>
          </cell>
        </row>
        <row r="77">
          <cell r="A77" t="str">
            <v>F22600C</v>
          </cell>
          <cell r="B77" t="str">
            <v>(LESS) UNAMORTIZED DISCOUNT ON LONG-TERM DEBT-DEBI</v>
          </cell>
          <cell r="C77">
            <v>1779316.52</v>
          </cell>
          <cell r="D77">
            <v>57283.01</v>
          </cell>
          <cell r="E77">
            <v>-10116.620000000001</v>
          </cell>
          <cell r="F77">
            <v>-10116.61</v>
          </cell>
          <cell r="G77">
            <v>-10116.61</v>
          </cell>
          <cell r="H77">
            <v>-10116.620000000001</v>
          </cell>
          <cell r="I77">
            <v>-10116.61</v>
          </cell>
          <cell r="J77">
            <v>-10116.620000000001</v>
          </cell>
          <cell r="K77">
            <v>-10116.61</v>
          </cell>
          <cell r="L77">
            <v>-10116.629999999999</v>
          </cell>
          <cell r="M77">
            <v>-10116.629999999999</v>
          </cell>
          <cell r="N77">
            <v>-10116.629999999999</v>
          </cell>
          <cell r="O77">
            <v>-10116.58</v>
          </cell>
          <cell r="P77">
            <v>-53999.76</v>
          </cell>
          <cell r="R77" t="str">
            <v>F22600C</v>
          </cell>
          <cell r="S77">
            <v>-53999.76</v>
          </cell>
          <cell r="T77">
            <v>1725316.76</v>
          </cell>
        </row>
        <row r="78">
          <cell r="A78" t="str">
            <v>F22700C</v>
          </cell>
          <cell r="B78" t="str">
            <v>OBLIGATIONS UNDER CAPITAL LEASES-NONCURRENT</v>
          </cell>
          <cell r="C78">
            <v>-45179808.619999997</v>
          </cell>
          <cell r="D78">
            <v>-8863825.8399999999</v>
          </cell>
          <cell r="E78">
            <v>631326.4</v>
          </cell>
          <cell r="F78">
            <v>2819812.66</v>
          </cell>
          <cell r="G78">
            <v>616215.43000000005</v>
          </cell>
          <cell r="H78">
            <v>1960263.58</v>
          </cell>
          <cell r="I78">
            <v>31609857.780000001</v>
          </cell>
          <cell r="J78">
            <v>1271028.77</v>
          </cell>
          <cell r="K78">
            <v>1275576.8799999999</v>
          </cell>
          <cell r="L78">
            <v>1259579.3700000001</v>
          </cell>
          <cell r="M78">
            <v>1308153.08</v>
          </cell>
          <cell r="N78">
            <v>1240896.69</v>
          </cell>
          <cell r="O78">
            <v>1265651.3999999999</v>
          </cell>
          <cell r="P78">
            <v>36394536.199999996</v>
          </cell>
          <cell r="R78" t="str">
            <v>F22700C</v>
          </cell>
          <cell r="S78">
            <v>36394536.200000003</v>
          </cell>
          <cell r="T78">
            <v>-8785272.4200000018</v>
          </cell>
        </row>
        <row r="79">
          <cell r="A79" t="str">
            <v>F22820C</v>
          </cell>
          <cell r="B79" t="str">
            <v>ACCUMULATED PROVISION FOR INJURIES AND DAMAGES</v>
          </cell>
          <cell r="C79">
            <v>-15091011.49</v>
          </cell>
          <cell r="D79">
            <v>1693795.83</v>
          </cell>
          <cell r="E79">
            <v>-1495807.09</v>
          </cell>
          <cell r="F79">
            <v>-597343.99</v>
          </cell>
          <cell r="G79">
            <v>-199883.6</v>
          </cell>
          <cell r="H79">
            <v>-337880.03</v>
          </cell>
          <cell r="I79">
            <v>-405249.84</v>
          </cell>
          <cell r="J79">
            <v>-255800.86</v>
          </cell>
          <cell r="K79">
            <v>-337107.35</v>
          </cell>
          <cell r="L79">
            <v>-102764.67</v>
          </cell>
          <cell r="M79">
            <v>-325860.03000000003</v>
          </cell>
          <cell r="N79">
            <v>-357994.64</v>
          </cell>
          <cell r="O79">
            <v>-3495027.45</v>
          </cell>
          <cell r="P79">
            <v>-6216923.7200000007</v>
          </cell>
          <cell r="R79" t="str">
            <v>F22820C</v>
          </cell>
          <cell r="S79">
            <v>-6216923.7199999997</v>
          </cell>
          <cell r="T79">
            <v>-21307935.210000001</v>
          </cell>
        </row>
        <row r="80">
          <cell r="A80" t="str">
            <v>F22830C</v>
          </cell>
          <cell r="B80" t="str">
            <v>ACCUMULATED PROVISION FOR PENSIONS AND BENEFITS</v>
          </cell>
          <cell r="C80">
            <v>-4555462.88</v>
          </cell>
          <cell r="D80">
            <v>-161168.45000000001</v>
          </cell>
          <cell r="E80">
            <v>124083.32</v>
          </cell>
          <cell r="F80">
            <v>-227255.89</v>
          </cell>
          <cell r="G80">
            <v>-13489.25</v>
          </cell>
          <cell r="H80">
            <v>-230297.29</v>
          </cell>
          <cell r="I80">
            <v>-162055.89000000001</v>
          </cell>
          <cell r="J80">
            <v>-183494.53</v>
          </cell>
          <cell r="K80">
            <v>-231539.07</v>
          </cell>
          <cell r="L80">
            <v>-236344.89</v>
          </cell>
          <cell r="M80">
            <v>-229699.24</v>
          </cell>
          <cell r="N80">
            <v>-1200313.6499999999</v>
          </cell>
          <cell r="O80">
            <v>2737936.5</v>
          </cell>
          <cell r="P80">
            <v>-13638.330000000075</v>
          </cell>
          <cell r="R80" t="str">
            <v>F22830C</v>
          </cell>
          <cell r="S80">
            <v>-13638.33</v>
          </cell>
          <cell r="T80">
            <v>-4569101.21</v>
          </cell>
        </row>
        <row r="81">
          <cell r="A81" t="str">
            <v>F22840C</v>
          </cell>
          <cell r="B81" t="str">
            <v>ACCUMULATED MISCELLANEOUS OPERATING PROVISIONS</v>
          </cell>
          <cell r="C81">
            <v>-195923196.97</v>
          </cell>
          <cell r="D81">
            <v>-1453502</v>
          </cell>
          <cell r="E81">
            <v>-1399491.3</v>
          </cell>
          <cell r="F81">
            <v>-283508.8</v>
          </cell>
          <cell r="G81">
            <v>-855378.96</v>
          </cell>
          <cell r="H81">
            <v>-712000.71</v>
          </cell>
          <cell r="I81">
            <v>-4836987.2300000004</v>
          </cell>
          <cell r="J81">
            <v>-521266.28</v>
          </cell>
          <cell r="K81">
            <v>-541717.68999999994</v>
          </cell>
          <cell r="L81">
            <v>-1267325.98</v>
          </cell>
          <cell r="M81">
            <v>133459.04</v>
          </cell>
          <cell r="N81">
            <v>88913.21</v>
          </cell>
          <cell r="O81">
            <v>-15417951.67</v>
          </cell>
          <cell r="P81">
            <v>-27066758.369999997</v>
          </cell>
          <cell r="R81" t="str">
            <v>F22840C</v>
          </cell>
          <cell r="S81">
            <v>-27066758.370000001</v>
          </cell>
          <cell r="T81">
            <v>-222989955.34</v>
          </cell>
        </row>
        <row r="82">
          <cell r="A82" t="str">
            <v>F23200C</v>
          </cell>
          <cell r="B82" t="str">
            <v>ACCOUNTS PAYABLE</v>
          </cell>
          <cell r="C82">
            <v>-164561608.37</v>
          </cell>
          <cell r="D82">
            <v>22996716.940000001</v>
          </cell>
          <cell r="E82">
            <v>-5586361.2400000002</v>
          </cell>
          <cell r="F82">
            <v>32190817.640000001</v>
          </cell>
          <cell r="G82">
            <v>-1316011.71</v>
          </cell>
          <cell r="H82">
            <v>-21136219.829999998</v>
          </cell>
          <cell r="I82">
            <v>-10404478.27</v>
          </cell>
          <cell r="J82">
            <v>-18093749.489999998</v>
          </cell>
          <cell r="K82">
            <v>-388715.44</v>
          </cell>
          <cell r="L82">
            <v>-1751032.93</v>
          </cell>
          <cell r="M82">
            <v>9591961.5999999996</v>
          </cell>
          <cell r="N82">
            <v>1269806.4099999999</v>
          </cell>
          <cell r="O82">
            <v>-8573781.0299999993</v>
          </cell>
          <cell r="P82">
            <v>-1201047.3499999931</v>
          </cell>
          <cell r="R82" t="str">
            <v>F23200C</v>
          </cell>
          <cell r="S82">
            <v>-1201047.3500000001</v>
          </cell>
          <cell r="T82">
            <v>-165762655.72</v>
          </cell>
        </row>
        <row r="83">
          <cell r="A83" t="str">
            <v>F23300C</v>
          </cell>
          <cell r="B83" t="str">
            <v>NOTES PAYABLE TO ASSOCIATED COMPANIES</v>
          </cell>
          <cell r="C83">
            <v>0</v>
          </cell>
          <cell r="F83">
            <v>0</v>
          </cell>
          <cell r="G83">
            <v>-5603170.21</v>
          </cell>
          <cell r="H83">
            <v>5603170.21</v>
          </cell>
          <cell r="I83">
            <v>0</v>
          </cell>
          <cell r="J83">
            <v>0.01</v>
          </cell>
          <cell r="K83">
            <v>0</v>
          </cell>
          <cell r="P83">
            <v>0.01</v>
          </cell>
          <cell r="R83" t="str">
            <v>F23300C</v>
          </cell>
          <cell r="S83">
            <v>0.01</v>
          </cell>
          <cell r="T83">
            <v>0.01</v>
          </cell>
        </row>
        <row r="84">
          <cell r="A84" t="str">
            <v>F23301C</v>
          </cell>
          <cell r="B84" t="str">
            <v>NOTES PAYABLE TO ASSOC. COS-RATE REDUCTION BONDS</v>
          </cell>
          <cell r="C84">
            <v>-519404287.85000002</v>
          </cell>
          <cell r="F84">
            <v>19638520.579999998</v>
          </cell>
          <cell r="G84">
            <v>0</v>
          </cell>
          <cell r="H84">
            <v>0</v>
          </cell>
          <cell r="I84">
            <v>13974959.85</v>
          </cell>
          <cell r="L84">
            <v>14949503.59</v>
          </cell>
          <cell r="M84">
            <v>0</v>
          </cell>
          <cell r="N84">
            <v>0</v>
          </cell>
          <cell r="O84">
            <v>17237015.98</v>
          </cell>
          <cell r="P84">
            <v>65800000</v>
          </cell>
          <cell r="R84" t="str">
            <v>F23301C</v>
          </cell>
          <cell r="S84">
            <v>65800000</v>
          </cell>
          <cell r="T84">
            <v>-453604287.85000002</v>
          </cell>
        </row>
        <row r="85">
          <cell r="A85" t="str">
            <v>F23302C</v>
          </cell>
          <cell r="B85" t="str">
            <v>NOTES PAYABLE TO ASSOC COS. CURRENT POR</v>
          </cell>
          <cell r="C85">
            <v>-65800000</v>
          </cell>
          <cell r="P85">
            <v>0</v>
          </cell>
          <cell r="T85">
            <v>-65800000</v>
          </cell>
        </row>
        <row r="86">
          <cell r="A86" t="str">
            <v>F23400C</v>
          </cell>
          <cell r="B86" t="str">
            <v>ACCOUNTS PAYABLE TO ASSOCIATED COMPANIES</v>
          </cell>
          <cell r="C86">
            <v>-119878671.47</v>
          </cell>
          <cell r="D86">
            <v>86711087.620000005</v>
          </cell>
          <cell r="E86">
            <v>10459860.02</v>
          </cell>
          <cell r="F86">
            <v>8757517.1400000006</v>
          </cell>
          <cell r="G86">
            <v>-40357083.859999999</v>
          </cell>
          <cell r="H86">
            <v>-12543437.33</v>
          </cell>
          <cell r="I86">
            <v>52438632.090000004</v>
          </cell>
          <cell r="J86">
            <v>26309538.420000002</v>
          </cell>
          <cell r="K86">
            <v>13179547.390000001</v>
          </cell>
          <cell r="L86">
            <v>-21680503.710000001</v>
          </cell>
          <cell r="M86">
            <v>-2508520.5499999998</v>
          </cell>
          <cell r="N86">
            <v>-1995641.8</v>
          </cell>
          <cell r="O86">
            <v>-19387525.91</v>
          </cell>
          <cell r="P86">
            <v>99383469.520000011</v>
          </cell>
          <cell r="R86" t="str">
            <v>F23400C</v>
          </cell>
          <cell r="S86">
            <v>99383469.519999996</v>
          </cell>
          <cell r="T86">
            <v>-20495201.949999988</v>
          </cell>
        </row>
        <row r="87">
          <cell r="A87" t="str">
            <v>F23500C</v>
          </cell>
          <cell r="B87" t="str">
            <v>CUSTOMER DEPOSITS</v>
          </cell>
          <cell r="C87">
            <v>-23002353.629999999</v>
          </cell>
          <cell r="D87">
            <v>-123383</v>
          </cell>
          <cell r="E87">
            <v>-100000</v>
          </cell>
          <cell r="F87">
            <v>-367703</v>
          </cell>
          <cell r="G87">
            <v>-156989</v>
          </cell>
          <cell r="H87">
            <v>-268582</v>
          </cell>
          <cell r="I87">
            <v>-43126</v>
          </cell>
          <cell r="J87">
            <v>75962</v>
          </cell>
          <cell r="K87">
            <v>83077</v>
          </cell>
          <cell r="L87">
            <v>-78577</v>
          </cell>
          <cell r="M87">
            <v>83663</v>
          </cell>
          <cell r="N87">
            <v>-19322</v>
          </cell>
          <cell r="O87">
            <v>-74355</v>
          </cell>
          <cell r="P87">
            <v>-989335</v>
          </cell>
          <cell r="R87" t="str">
            <v>F23500C</v>
          </cell>
          <cell r="S87">
            <v>-989335</v>
          </cell>
          <cell r="T87">
            <v>-23991688.629999999</v>
          </cell>
        </row>
        <row r="88">
          <cell r="A88" t="str">
            <v>F23600C</v>
          </cell>
          <cell r="B88" t="str">
            <v>TAXES ACCRUED</v>
          </cell>
          <cell r="C88">
            <v>-501823.35</v>
          </cell>
          <cell r="D88">
            <v>-29519610.670000002</v>
          </cell>
          <cell r="E88">
            <v>-16175275.710000001</v>
          </cell>
          <cell r="F88">
            <v>-13263563.630000001</v>
          </cell>
          <cell r="G88">
            <v>84463175.739999995</v>
          </cell>
          <cell r="H88">
            <v>-29218686.809999999</v>
          </cell>
          <cell r="I88">
            <v>1812795.51</v>
          </cell>
          <cell r="J88">
            <v>-45847517.619999997</v>
          </cell>
          <cell r="K88">
            <v>-12842581.439999999</v>
          </cell>
          <cell r="L88">
            <v>42865961.57</v>
          </cell>
          <cell r="M88">
            <v>-21531603.02</v>
          </cell>
          <cell r="N88">
            <v>61609509.979999997</v>
          </cell>
          <cell r="O88">
            <v>-23848724.52</v>
          </cell>
          <cell r="P88">
            <v>-1496120.620000001</v>
          </cell>
          <cell r="R88" t="str">
            <v>F23600C</v>
          </cell>
          <cell r="S88">
            <v>-1496120.62</v>
          </cell>
          <cell r="T88">
            <v>-1997943.9700000011</v>
          </cell>
        </row>
        <row r="89">
          <cell r="A89" t="str">
            <v>F23601C</v>
          </cell>
          <cell r="B89" t="str">
            <v>INCOME TAXES ACCRUED</v>
          </cell>
          <cell r="C89">
            <v>80454726.540000007</v>
          </cell>
          <cell r="D89">
            <v>-80454726.540000007</v>
          </cell>
          <cell r="E89">
            <v>0</v>
          </cell>
          <cell r="H89">
            <v>55050224.100000001</v>
          </cell>
          <cell r="I89">
            <v>24093000</v>
          </cell>
          <cell r="J89">
            <v>-79143224.099999994</v>
          </cell>
          <cell r="K89">
            <v>0</v>
          </cell>
          <cell r="N89">
            <v>0</v>
          </cell>
          <cell r="O89">
            <v>87062224.099999994</v>
          </cell>
          <cell r="P89">
            <v>6607497.5600000024</v>
          </cell>
          <cell r="R89" t="str">
            <v>F23601C</v>
          </cell>
          <cell r="S89">
            <v>6607497.5599999875</v>
          </cell>
          <cell r="T89">
            <v>87062224.100000009</v>
          </cell>
        </row>
        <row r="90">
          <cell r="A90" t="str">
            <v>F23700C</v>
          </cell>
          <cell r="B90" t="str">
            <v>INTEREST ACCRUED</v>
          </cell>
          <cell r="C90">
            <v>-8725673.5600000005</v>
          </cell>
          <cell r="D90">
            <v>-2807212.05</v>
          </cell>
          <cell r="E90">
            <v>-3139343.75</v>
          </cell>
          <cell r="F90">
            <v>3269352.04</v>
          </cell>
          <cell r="G90">
            <v>-2422125.44</v>
          </cell>
          <cell r="H90">
            <v>-3213441.21</v>
          </cell>
          <cell r="I90">
            <v>8270290.1299999999</v>
          </cell>
          <cell r="J90">
            <v>-2729275.27</v>
          </cell>
          <cell r="K90">
            <v>-2947136.46</v>
          </cell>
          <cell r="L90">
            <v>3254495.22</v>
          </cell>
          <cell r="M90">
            <v>-2369584.9300000002</v>
          </cell>
          <cell r="N90">
            <v>-3308378.09</v>
          </cell>
          <cell r="O90">
            <v>7966055.4800000004</v>
          </cell>
          <cell r="P90">
            <v>-176304.32999999914</v>
          </cell>
          <cell r="R90" t="str">
            <v>F23700C</v>
          </cell>
          <cell r="S90">
            <v>-176304.33</v>
          </cell>
          <cell r="T90">
            <v>-8901977.8900000006</v>
          </cell>
        </row>
        <row r="91">
          <cell r="A91" t="str">
            <v>F23800C</v>
          </cell>
          <cell r="B91" t="str">
            <v>DIVIDENDS DECLARED</v>
          </cell>
          <cell r="C91">
            <v>-101645542.09999999</v>
          </cell>
          <cell r="D91">
            <v>101645542.09999999</v>
          </cell>
          <cell r="E91">
            <v>0</v>
          </cell>
          <cell r="F91">
            <v>-1645542.1</v>
          </cell>
          <cell r="G91">
            <v>1645542.1</v>
          </cell>
          <cell r="H91">
            <v>0</v>
          </cell>
          <cell r="I91">
            <v>-1645542.1</v>
          </cell>
          <cell r="J91">
            <v>1645542.1</v>
          </cell>
          <cell r="K91">
            <v>0</v>
          </cell>
          <cell r="L91">
            <v>-1645542.1</v>
          </cell>
          <cell r="M91">
            <v>1645542.1</v>
          </cell>
          <cell r="N91">
            <v>0</v>
          </cell>
          <cell r="O91">
            <v>-1645542.1</v>
          </cell>
          <cell r="P91">
            <v>100000000</v>
          </cell>
          <cell r="R91" t="str">
            <v>F23800C</v>
          </cell>
          <cell r="S91">
            <v>100000000</v>
          </cell>
          <cell r="T91">
            <v>-1645542.099999994</v>
          </cell>
        </row>
        <row r="92">
          <cell r="A92" t="str">
            <v>F24100C</v>
          </cell>
          <cell r="B92" t="str">
            <v>TAX COLLECTIONS PAYABLE</v>
          </cell>
          <cell r="C92">
            <v>-1432273.36</v>
          </cell>
          <cell r="D92">
            <v>185467.69</v>
          </cell>
          <cell r="E92">
            <v>-1296817.6200000001</v>
          </cell>
          <cell r="F92">
            <v>1081351.42</v>
          </cell>
          <cell r="G92">
            <v>-1377097.03</v>
          </cell>
          <cell r="H92">
            <v>1207284.78</v>
          </cell>
          <cell r="I92">
            <v>943123.95</v>
          </cell>
          <cell r="J92">
            <v>-266052.90000000002</v>
          </cell>
          <cell r="K92">
            <v>463534.32</v>
          </cell>
          <cell r="L92">
            <v>-495588.73</v>
          </cell>
          <cell r="M92">
            <v>411926.53</v>
          </cell>
          <cell r="N92">
            <v>12016.29</v>
          </cell>
          <cell r="O92">
            <v>-924551.27</v>
          </cell>
          <cell r="P92">
            <v>-55402.570000000298</v>
          </cell>
          <cell r="R92" t="str">
            <v>F24100C</v>
          </cell>
          <cell r="S92">
            <v>-55402.569999999832</v>
          </cell>
          <cell r="T92">
            <v>-1487675.9300000004</v>
          </cell>
        </row>
        <row r="93">
          <cell r="A93" t="str">
            <v>F24200C</v>
          </cell>
          <cell r="B93" t="str">
            <v>MISCELLANEOUS CURRENT AND ACCRUED LIABILITIES</v>
          </cell>
          <cell r="C93">
            <v>-114051184.44</v>
          </cell>
          <cell r="D93">
            <v>-6067188.5099999998</v>
          </cell>
          <cell r="E93">
            <v>-1195252.24</v>
          </cell>
          <cell r="F93">
            <v>31349839</v>
          </cell>
          <cell r="G93">
            <v>9719512.4100000001</v>
          </cell>
          <cell r="H93">
            <v>-8449410.4900000002</v>
          </cell>
          <cell r="I93">
            <v>-4607040.5599999996</v>
          </cell>
          <cell r="J93">
            <v>-5932951.4699999997</v>
          </cell>
          <cell r="K93">
            <v>3106147.79</v>
          </cell>
          <cell r="L93">
            <v>7848097.3499999996</v>
          </cell>
          <cell r="M93">
            <v>-5899730.0700000003</v>
          </cell>
          <cell r="N93">
            <v>634724.56000000006</v>
          </cell>
          <cell r="O93">
            <v>-13282329.359999999</v>
          </cell>
          <cell r="P93">
            <v>7224418.4099999927</v>
          </cell>
          <cell r="R93" t="str">
            <v>F24200C</v>
          </cell>
          <cell r="S93">
            <v>7224418.4100000001</v>
          </cell>
          <cell r="T93">
            <v>-106826766.03</v>
          </cell>
        </row>
        <row r="94">
          <cell r="A94" t="str">
            <v>F24201C</v>
          </cell>
          <cell r="B94" t="str">
            <v>MISC. CURRENT AND ACCRUED LIABILITIES-BALANCING AC</v>
          </cell>
          <cell r="C94">
            <v>-279744079.57999998</v>
          </cell>
          <cell r="D94">
            <v>-15611800</v>
          </cell>
          <cell r="E94">
            <v>-15331932</v>
          </cell>
          <cell r="F94">
            <v>99160966</v>
          </cell>
          <cell r="G94">
            <v>-7865024</v>
          </cell>
          <cell r="H94">
            <v>-7029817</v>
          </cell>
          <cell r="I94">
            <v>25220770</v>
          </cell>
          <cell r="J94">
            <v>-12398104.949999999</v>
          </cell>
          <cell r="K94">
            <v>5714516.7999999998</v>
          </cell>
          <cell r="L94">
            <v>5522880.29</v>
          </cell>
          <cell r="M94">
            <v>-17739122.710000001</v>
          </cell>
          <cell r="N94">
            <v>-1941272.71</v>
          </cell>
          <cell r="O94">
            <v>-15921094.949999999</v>
          </cell>
          <cell r="P94">
            <v>41780964.769999996</v>
          </cell>
          <cell r="R94" t="str">
            <v>F24201C</v>
          </cell>
          <cell r="S94">
            <v>41780964.769999996</v>
          </cell>
          <cell r="T94">
            <v>-237963114.81</v>
          </cell>
        </row>
        <row r="95">
          <cell r="A95" t="str">
            <v>F24202C</v>
          </cell>
          <cell r="B95" t="str">
            <v>MISC. CURRENT AND ACCRUED LIABILITIES-APPLICANT IN</v>
          </cell>
          <cell r="C95">
            <v>-2380914</v>
          </cell>
          <cell r="D95">
            <v>98416.72</v>
          </cell>
          <cell r="E95">
            <v>-323507</v>
          </cell>
          <cell r="F95">
            <v>28488375.09</v>
          </cell>
          <cell r="G95">
            <v>-676183</v>
          </cell>
          <cell r="H95">
            <v>-362915</v>
          </cell>
          <cell r="I95">
            <v>-23310</v>
          </cell>
          <cell r="J95">
            <v>-297700</v>
          </cell>
          <cell r="K95">
            <v>-416906</v>
          </cell>
          <cell r="L95">
            <v>7300</v>
          </cell>
          <cell r="M95">
            <v>272436</v>
          </cell>
          <cell r="N95">
            <v>73574</v>
          </cell>
          <cell r="O95">
            <v>-134856</v>
          </cell>
          <cell r="P95">
            <v>26704724.809999999</v>
          </cell>
          <cell r="R95" t="str">
            <v>F24202C</v>
          </cell>
          <cell r="S95">
            <v>26704724.809999999</v>
          </cell>
          <cell r="T95">
            <v>24323810.809999999</v>
          </cell>
        </row>
        <row r="96">
          <cell r="A96" t="str">
            <v>F24300C</v>
          </cell>
          <cell r="B96" t="str">
            <v>OBLIGATIONS UNDER CAPITAL LEASES-CURRENT PORTION</v>
          </cell>
          <cell r="C96">
            <v>-5680530</v>
          </cell>
          <cell r="F96">
            <v>-3334</v>
          </cell>
          <cell r="G96">
            <v>0</v>
          </cell>
          <cell r="H96">
            <v>0</v>
          </cell>
          <cell r="I96">
            <v>5559180</v>
          </cell>
          <cell r="L96">
            <v>-3525</v>
          </cell>
          <cell r="M96">
            <v>0</v>
          </cell>
          <cell r="N96">
            <v>0</v>
          </cell>
          <cell r="O96">
            <v>8034</v>
          </cell>
          <cell r="P96">
            <v>5560355</v>
          </cell>
          <cell r="R96" t="str">
            <v>F24300C</v>
          </cell>
          <cell r="S96">
            <v>5560355</v>
          </cell>
          <cell r="T96">
            <v>-120175</v>
          </cell>
        </row>
        <row r="97">
          <cell r="A97" t="str">
            <v>F24301C</v>
          </cell>
          <cell r="B97" t="str">
            <v>OBLIGATIONS UNDER CAPITAL LEASES - LT D</v>
          </cell>
          <cell r="C97">
            <v>-12000000</v>
          </cell>
          <cell r="P97">
            <v>0</v>
          </cell>
          <cell r="T97">
            <v>-12000000</v>
          </cell>
        </row>
        <row r="98">
          <cell r="A98" t="str">
            <v>F24302C</v>
          </cell>
          <cell r="B98" t="str">
            <v>OBLIGATIONS UNDER CAPITAL LEASES-OTHER</v>
          </cell>
          <cell r="C98">
            <v>-5018034.3899999997</v>
          </cell>
          <cell r="D98">
            <v>1672677.11</v>
          </cell>
          <cell r="E98">
            <v>-836338.54</v>
          </cell>
          <cell r="F98">
            <v>-836338.54</v>
          </cell>
          <cell r="G98">
            <v>-836338.54</v>
          </cell>
          <cell r="H98">
            <v>32352.9</v>
          </cell>
          <cell r="I98">
            <v>5822020</v>
          </cell>
          <cell r="P98">
            <v>5018034.3899999997</v>
          </cell>
          <cell r="R98" t="str">
            <v>F24302C</v>
          </cell>
          <cell r="S98">
            <v>5018034.3899999997</v>
          </cell>
          <cell r="T98">
            <v>0</v>
          </cell>
        </row>
        <row r="99">
          <cell r="A99" t="str">
            <v>F25200C</v>
          </cell>
          <cell r="B99" t="str">
            <v>CUSTOMER ADVANCES FOR CONSTRUCTION</v>
          </cell>
          <cell r="C99">
            <v>-28037399.809999999</v>
          </cell>
          <cell r="D99">
            <v>0</v>
          </cell>
          <cell r="E99">
            <v>221559.82</v>
          </cell>
          <cell r="F99">
            <v>-28280497.899999999</v>
          </cell>
          <cell r="G99">
            <v>-1449289.11</v>
          </cell>
          <cell r="H99">
            <v>-1645765.3</v>
          </cell>
          <cell r="I99">
            <v>129558.83</v>
          </cell>
          <cell r="J99">
            <v>-200775.87</v>
          </cell>
          <cell r="K99">
            <v>8083.74</v>
          </cell>
          <cell r="L99">
            <v>815078.62</v>
          </cell>
          <cell r="M99">
            <v>-416083.78</v>
          </cell>
          <cell r="N99">
            <v>513412.49</v>
          </cell>
          <cell r="O99">
            <v>1460509.2</v>
          </cell>
          <cell r="P99">
            <v>-28844209.260000005</v>
          </cell>
          <cell r="R99" t="str">
            <v>F25200C</v>
          </cell>
          <cell r="S99">
            <v>-28844209.259999998</v>
          </cell>
          <cell r="T99">
            <v>-56881609.070000008</v>
          </cell>
        </row>
        <row r="100">
          <cell r="A100" t="str">
            <v>F25300C</v>
          </cell>
          <cell r="B100" t="str">
            <v>OTHER DEFERRED CREDITS-CAC</v>
          </cell>
          <cell r="C100">
            <v>-10858517.630000001</v>
          </cell>
          <cell r="D100">
            <v>27838.7</v>
          </cell>
          <cell r="E100">
            <v>-217505.26</v>
          </cell>
          <cell r="F100">
            <v>252311.25</v>
          </cell>
          <cell r="G100">
            <v>-847191.85</v>
          </cell>
          <cell r="H100">
            <v>-675052.63</v>
          </cell>
          <cell r="I100">
            <v>56204.19</v>
          </cell>
          <cell r="J100">
            <v>-177576.45</v>
          </cell>
          <cell r="K100">
            <v>-141529.57</v>
          </cell>
          <cell r="L100">
            <v>301020.62</v>
          </cell>
          <cell r="M100">
            <v>-95071.89</v>
          </cell>
          <cell r="N100">
            <v>210567.24</v>
          </cell>
          <cell r="O100">
            <v>480252.54</v>
          </cell>
          <cell r="P100">
            <v>-825733.10999999987</v>
          </cell>
          <cell r="R100" t="str">
            <v>F25300C</v>
          </cell>
          <cell r="S100">
            <v>-825733.11</v>
          </cell>
          <cell r="T100">
            <v>-11684250.74</v>
          </cell>
        </row>
        <row r="101">
          <cell r="A101" t="str">
            <v>F25301C</v>
          </cell>
          <cell r="B101" t="str">
            <v>OTHER DEFERRED CREDITS</v>
          </cell>
          <cell r="C101">
            <v>-205597447.75999999</v>
          </cell>
          <cell r="D101">
            <v>1686273.06</v>
          </cell>
          <cell r="E101">
            <v>954087.41</v>
          </cell>
          <cell r="F101">
            <v>9452051.4100000001</v>
          </cell>
          <cell r="G101">
            <v>1110928.02</v>
          </cell>
          <cell r="H101">
            <v>27845.200000000001</v>
          </cell>
          <cell r="I101">
            <v>1659581.25</v>
          </cell>
          <cell r="J101">
            <v>355551.3</v>
          </cell>
          <cell r="K101">
            <v>946899.35</v>
          </cell>
          <cell r="L101">
            <v>1963271.61</v>
          </cell>
          <cell r="M101">
            <v>1745499.96</v>
          </cell>
          <cell r="N101">
            <v>913582.1</v>
          </cell>
          <cell r="O101">
            <v>-428880705.89999998</v>
          </cell>
          <cell r="P101">
            <v>-408065135.22999996</v>
          </cell>
          <cell r="R101" t="str">
            <v>F25301C</v>
          </cell>
          <cell r="S101">
            <v>-408065135.22999996</v>
          </cell>
          <cell r="T101">
            <v>-613662582.99000001</v>
          </cell>
        </row>
        <row r="102">
          <cell r="A102" t="str">
            <v>F25400C</v>
          </cell>
          <cell r="B102" t="str">
            <v>OTH REG LIABILITIES</v>
          </cell>
          <cell r="C102">
            <v>-133022000</v>
          </cell>
          <cell r="D102">
            <v>134000</v>
          </cell>
          <cell r="E102">
            <v>134000</v>
          </cell>
          <cell r="F102">
            <v>6719000</v>
          </cell>
          <cell r="G102">
            <v>580000</v>
          </cell>
          <cell r="H102">
            <v>580000</v>
          </cell>
          <cell r="I102">
            <v>17211000</v>
          </cell>
          <cell r="L102">
            <v>902000</v>
          </cell>
          <cell r="M102">
            <v>0</v>
          </cell>
          <cell r="N102">
            <v>0</v>
          </cell>
          <cell r="O102">
            <v>9848000</v>
          </cell>
          <cell r="P102">
            <v>36108000</v>
          </cell>
          <cell r="R102" t="str">
            <v>F25400C</v>
          </cell>
          <cell r="S102">
            <v>36108000</v>
          </cell>
          <cell r="T102">
            <v>-96914000</v>
          </cell>
        </row>
        <row r="103">
          <cell r="A103" t="str">
            <v>F25500C</v>
          </cell>
          <cell r="B103" t="str">
            <v>ACCUMULATED DEFERRED INVESTMENT TAX CREDITS</v>
          </cell>
          <cell r="C103">
            <v>-89291509</v>
          </cell>
          <cell r="D103">
            <v>412000</v>
          </cell>
          <cell r="E103">
            <v>172000</v>
          </cell>
          <cell r="F103">
            <v>9119000</v>
          </cell>
          <cell r="G103">
            <v>1169000</v>
          </cell>
          <cell r="H103">
            <v>1004000</v>
          </cell>
          <cell r="I103">
            <v>22594000</v>
          </cell>
          <cell r="J103">
            <v>251000</v>
          </cell>
          <cell r="K103">
            <v>141000</v>
          </cell>
          <cell r="L103">
            <v>479000</v>
          </cell>
          <cell r="M103">
            <v>319000</v>
          </cell>
          <cell r="N103">
            <v>206000</v>
          </cell>
          <cell r="O103">
            <v>2543000</v>
          </cell>
          <cell r="P103">
            <v>38409000</v>
          </cell>
          <cell r="R103" t="str">
            <v>F25500C</v>
          </cell>
          <cell r="S103">
            <v>38409000</v>
          </cell>
          <cell r="T103">
            <v>-50882509</v>
          </cell>
        </row>
        <row r="104">
          <cell r="A104" t="str">
            <v>F28100C</v>
          </cell>
          <cell r="B104" t="str">
            <v>ACCUMULATED DEFERRED INCOME TAXES</v>
          </cell>
          <cell r="C104">
            <v>-3596000</v>
          </cell>
          <cell r="F104">
            <v>2000</v>
          </cell>
          <cell r="G104">
            <v>0</v>
          </cell>
          <cell r="H104">
            <v>0</v>
          </cell>
          <cell r="I104">
            <v>2000</v>
          </cell>
          <cell r="L104">
            <v>2000</v>
          </cell>
          <cell r="M104">
            <v>0</v>
          </cell>
          <cell r="N104">
            <v>0</v>
          </cell>
          <cell r="O104">
            <v>-687000</v>
          </cell>
          <cell r="P104">
            <v>-681000</v>
          </cell>
          <cell r="R104" t="str">
            <v>F28100C</v>
          </cell>
          <cell r="S104">
            <v>-681000</v>
          </cell>
          <cell r="T104">
            <v>-4277000</v>
          </cell>
        </row>
        <row r="105">
          <cell r="A105" t="str">
            <v>F28200C</v>
          </cell>
          <cell r="B105" t="str">
            <v>ACCUMULATED DEFERRED INCOME TAXES-OTHER PROPERTY</v>
          </cell>
          <cell r="C105">
            <v>-355752194.49000001</v>
          </cell>
          <cell r="D105">
            <v>88731000</v>
          </cell>
          <cell r="E105">
            <v>0</v>
          </cell>
          <cell r="F105">
            <v>11553000</v>
          </cell>
          <cell r="G105">
            <v>7716000</v>
          </cell>
          <cell r="H105">
            <v>4717000</v>
          </cell>
          <cell r="I105">
            <v>1214000</v>
          </cell>
          <cell r="J105">
            <v>108111000</v>
          </cell>
          <cell r="K105">
            <v>-7905000</v>
          </cell>
          <cell r="L105">
            <v>9115000</v>
          </cell>
          <cell r="M105">
            <v>3233000</v>
          </cell>
          <cell r="N105">
            <v>348000</v>
          </cell>
          <cell r="O105">
            <v>-63278000</v>
          </cell>
          <cell r="P105">
            <v>163555000</v>
          </cell>
          <cell r="R105" t="str">
            <v>F28200C</v>
          </cell>
          <cell r="S105">
            <v>163555000</v>
          </cell>
          <cell r="T105">
            <v>-192197194.49000001</v>
          </cell>
        </row>
        <row r="106">
          <cell r="A106" t="str">
            <v>F28300C</v>
          </cell>
          <cell r="B106" t="str">
            <v>ACCUMULATED DEFERRED INCOME TAXES-OTHER</v>
          </cell>
          <cell r="C106">
            <v>-16491191</v>
          </cell>
          <cell r="D106">
            <v>16491191</v>
          </cell>
          <cell r="E106">
            <v>0</v>
          </cell>
          <cell r="H106">
            <v>-16218191</v>
          </cell>
          <cell r="I106">
            <v>-101000</v>
          </cell>
          <cell r="J106">
            <v>16319191</v>
          </cell>
          <cell r="K106">
            <v>0</v>
          </cell>
          <cell r="P106">
            <v>16491191</v>
          </cell>
          <cell r="R106" t="str">
            <v>F28300C</v>
          </cell>
          <cell r="S106">
            <v>16491191</v>
          </cell>
          <cell r="T106">
            <v>0</v>
          </cell>
        </row>
        <row r="107">
          <cell r="A107" t="str">
            <v>F28301C</v>
          </cell>
          <cell r="B107" t="str">
            <v>ACCUMULATED DEFERRED INCOME TAXES-TAXES ACCRUED</v>
          </cell>
          <cell r="C107">
            <v>0</v>
          </cell>
          <cell r="D107">
            <v>-16449191</v>
          </cell>
          <cell r="E107">
            <v>0</v>
          </cell>
          <cell r="F107">
            <v>88000</v>
          </cell>
          <cell r="G107">
            <v>89000</v>
          </cell>
          <cell r="H107">
            <v>16272191</v>
          </cell>
          <cell r="I107">
            <v>0</v>
          </cell>
          <cell r="J107">
            <v>-16284191</v>
          </cell>
          <cell r="K107">
            <v>19000</v>
          </cell>
          <cell r="L107">
            <v>67000</v>
          </cell>
          <cell r="M107">
            <v>46000</v>
          </cell>
          <cell r="N107">
            <v>-503000</v>
          </cell>
          <cell r="O107">
            <v>892675</v>
          </cell>
          <cell r="P107">
            <v>-15762516</v>
          </cell>
          <cell r="R107" t="str">
            <v>F28301C</v>
          </cell>
          <cell r="S107">
            <v>-15762516</v>
          </cell>
          <cell r="T107">
            <v>-15762516</v>
          </cell>
        </row>
        <row r="108">
          <cell r="A108" t="str">
            <v>F28302C</v>
          </cell>
          <cell r="B108" t="str">
            <v>ACCUMULATED DEFERRED INC TAXES</v>
          </cell>
          <cell r="C108">
            <v>-369350044</v>
          </cell>
          <cell r="D108">
            <v>-1645000</v>
          </cell>
          <cell r="E108">
            <v>0</v>
          </cell>
          <cell r="F108">
            <v>641000</v>
          </cell>
          <cell r="G108">
            <v>-2795000</v>
          </cell>
          <cell r="H108">
            <v>-1708000</v>
          </cell>
          <cell r="I108">
            <v>5141000</v>
          </cell>
          <cell r="J108">
            <v>-1362000</v>
          </cell>
          <cell r="K108">
            <v>11641670.060000001</v>
          </cell>
          <cell r="L108">
            <v>380000</v>
          </cell>
          <cell r="M108">
            <v>-1735000</v>
          </cell>
          <cell r="N108">
            <v>3824185</v>
          </cell>
          <cell r="O108">
            <v>-15980000</v>
          </cell>
          <cell r="P108">
            <v>-3597144.9399999995</v>
          </cell>
          <cell r="R108" t="str">
            <v>F28302C</v>
          </cell>
          <cell r="S108">
            <v>-3597144.94</v>
          </cell>
          <cell r="T108">
            <v>-372947188.94</v>
          </cell>
        </row>
        <row r="109">
          <cell r="A109" t="str">
            <v>F29900C</v>
          </cell>
          <cell r="B109" t="str">
            <v>CLEARING ACCOUNT-ACCOUNTS PAYABLE</v>
          </cell>
          <cell r="C109">
            <v>0</v>
          </cell>
          <cell r="F109">
            <v>-37261089.719999999</v>
          </cell>
          <cell r="G109">
            <v>-7924765.5899999999</v>
          </cell>
          <cell r="H109">
            <v>-12521242.890000001</v>
          </cell>
          <cell r="I109">
            <v>-15876132.5</v>
          </cell>
          <cell r="J109">
            <v>-11084505.310000001</v>
          </cell>
          <cell r="K109">
            <v>-11184198.710000001</v>
          </cell>
          <cell r="L109">
            <v>-9247737.1500000004</v>
          </cell>
          <cell r="M109">
            <v>-10275577.15</v>
          </cell>
          <cell r="N109">
            <v>-13149643.23</v>
          </cell>
          <cell r="O109">
            <v>-10770436.24</v>
          </cell>
          <cell r="P109">
            <v>-139295328.49000001</v>
          </cell>
          <cell r="R109" t="str">
            <v>F29900C</v>
          </cell>
          <cell r="S109">
            <v>-139295328.49000001</v>
          </cell>
          <cell r="T109">
            <v>-139295328.49000001</v>
          </cell>
        </row>
        <row r="110">
          <cell r="A110" t="str">
            <v>F29910C</v>
          </cell>
          <cell r="B110" t="str">
            <v>CLEARING ACCOUNT-ACCOUNTS RECEIVABLE</v>
          </cell>
          <cell r="C110">
            <v>0</v>
          </cell>
          <cell r="F110">
            <v>-145058.89000000001</v>
          </cell>
          <cell r="G110">
            <v>-90689.86</v>
          </cell>
          <cell r="H110">
            <v>-204588.24</v>
          </cell>
          <cell r="I110">
            <v>-358204.13</v>
          </cell>
          <cell r="J110">
            <v>-78785.53</v>
          </cell>
          <cell r="K110">
            <v>-204617.41</v>
          </cell>
          <cell r="L110">
            <v>-57422.55</v>
          </cell>
          <cell r="M110">
            <v>-294254.25</v>
          </cell>
          <cell r="N110">
            <v>-550875.69999999995</v>
          </cell>
          <cell r="O110">
            <v>-187487.79</v>
          </cell>
          <cell r="P110">
            <v>-2171984.35</v>
          </cell>
          <cell r="R110" t="str">
            <v>F29910C</v>
          </cell>
          <cell r="S110">
            <v>-2171984.35</v>
          </cell>
          <cell r="T110">
            <v>-2171984.35</v>
          </cell>
        </row>
        <row r="111">
          <cell r="A111" t="str">
            <v>F29920C</v>
          </cell>
          <cell r="B111" t="str">
            <v>CLEARING ACCOUNT-FI/CO RECONCILIATION ENTRIES</v>
          </cell>
          <cell r="C111">
            <v>0</v>
          </cell>
          <cell r="F111">
            <v>37405297.719999999</v>
          </cell>
          <cell r="G111">
            <v>8014076.5499999998</v>
          </cell>
          <cell r="H111">
            <v>12724726.6</v>
          </cell>
          <cell r="I111">
            <v>16233837.83</v>
          </cell>
          <cell r="J111">
            <v>11161328.59</v>
          </cell>
          <cell r="K111">
            <v>11387766.82</v>
          </cell>
          <cell r="L111">
            <v>9317941.9299999997</v>
          </cell>
          <cell r="M111">
            <v>10567730.119999999</v>
          </cell>
          <cell r="N111">
            <v>13700191.99</v>
          </cell>
          <cell r="O111">
            <v>10955664.74</v>
          </cell>
          <cell r="P111">
            <v>141468562.89000002</v>
          </cell>
          <cell r="R111" t="str">
            <v>F29920C</v>
          </cell>
          <cell r="S111">
            <v>141468562.88999999</v>
          </cell>
          <cell r="T111">
            <v>141468562.89000002</v>
          </cell>
        </row>
        <row r="112">
          <cell r="A112" t="str">
            <v>F29980C</v>
          </cell>
          <cell r="B112" t="str">
            <v>NEGATIVE ADJUSTMENT - OFFSET ACCOUNT</v>
          </cell>
          <cell r="C112">
            <v>0.28999999999999998</v>
          </cell>
          <cell r="P112">
            <v>0</v>
          </cell>
          <cell r="T112">
            <v>0.28999999999999998</v>
          </cell>
        </row>
        <row r="113">
          <cell r="A113" t="str">
            <v>F29990C</v>
          </cell>
          <cell r="B113" t="str">
            <v>BALANCE SHEET OFFSET ACCOUNT</v>
          </cell>
          <cell r="C113">
            <v>2301782163.6999998</v>
          </cell>
          <cell r="D113">
            <v>157155358.75999999</v>
          </cell>
          <cell r="E113">
            <v>138626620.44999999</v>
          </cell>
          <cell r="F113">
            <v>74626079.819999993</v>
          </cell>
          <cell r="G113">
            <v>153404742.99000001</v>
          </cell>
          <cell r="H113">
            <v>126048660.31999999</v>
          </cell>
          <cell r="I113">
            <v>144184757.47999999</v>
          </cell>
          <cell r="J113">
            <v>69436746.409999996</v>
          </cell>
          <cell r="K113">
            <v>53674350.009999998</v>
          </cell>
          <cell r="L113">
            <v>59345004.729999997</v>
          </cell>
          <cell r="M113">
            <v>52801201.560000002</v>
          </cell>
          <cell r="N113">
            <v>60007801.289999999</v>
          </cell>
          <cell r="O113">
            <v>84630818.980000004</v>
          </cell>
          <cell r="P113">
            <v>1173942142.8</v>
          </cell>
          <cell r="R113" t="str">
            <v>F29990C</v>
          </cell>
          <cell r="S113">
            <v>141468562.88999999</v>
          </cell>
          <cell r="T113">
            <v>3475724306.5</v>
          </cell>
        </row>
        <row r="114">
          <cell r="A114" t="str">
            <v>F29995C</v>
          </cell>
          <cell r="B114" t="str">
            <v>FERC BALANCE CARRY FORWARD</v>
          </cell>
          <cell r="C114">
            <v>0</v>
          </cell>
          <cell r="P114">
            <v>0</v>
          </cell>
          <cell r="T114">
            <v>0</v>
          </cell>
        </row>
        <row r="115">
          <cell r="A115" t="str">
            <v>F40300C</v>
          </cell>
          <cell r="B115" t="str">
            <v>DEPRECIATION EXPENSE</v>
          </cell>
          <cell r="C115">
            <v>0</v>
          </cell>
          <cell r="F115">
            <v>1217005.26</v>
          </cell>
          <cell r="G115">
            <v>1188192.4099999999</v>
          </cell>
          <cell r="H115">
            <v>685376.05</v>
          </cell>
          <cell r="I115">
            <v>1134872.8700000001</v>
          </cell>
          <cell r="J115">
            <v>1141236.6000000001</v>
          </cell>
          <cell r="K115">
            <v>1144412.8</v>
          </cell>
          <cell r="L115">
            <v>1146138.1599999999</v>
          </cell>
          <cell r="M115">
            <v>1148506.28</v>
          </cell>
          <cell r="N115">
            <v>1235273.98</v>
          </cell>
          <cell r="O115">
            <v>1450741.65</v>
          </cell>
          <cell r="P115">
            <v>11491756.060000001</v>
          </cell>
          <cell r="R115" t="str">
            <v>F40300C</v>
          </cell>
          <cell r="S115">
            <v>11491756.060000001</v>
          </cell>
          <cell r="T115">
            <v>11491756.060000001</v>
          </cell>
        </row>
        <row r="116">
          <cell r="A116" t="str">
            <v>F40300E</v>
          </cell>
          <cell r="B116" t="str">
            <v>DEPRECIATION EXPENSE</v>
          </cell>
          <cell r="C116">
            <v>476573930.58999997</v>
          </cell>
          <cell r="D116">
            <v>26446754.300000001</v>
          </cell>
          <cell r="E116">
            <v>26630675.809999999</v>
          </cell>
          <cell r="F116">
            <v>12123960.85</v>
          </cell>
          <cell r="G116">
            <v>25179369.32</v>
          </cell>
          <cell r="H116">
            <v>60214175.280000001</v>
          </cell>
          <cell r="I116">
            <v>247351021.21000001</v>
          </cell>
          <cell r="J116">
            <v>13657720.210000001</v>
          </cell>
          <cell r="K116">
            <v>12053916.99</v>
          </cell>
          <cell r="L116">
            <v>12488131.550000001</v>
          </cell>
          <cell r="M116">
            <v>12371530.560000001</v>
          </cell>
          <cell r="N116">
            <v>12123814.359999999</v>
          </cell>
          <cell r="O116">
            <v>12217625.189999999</v>
          </cell>
          <cell r="P116">
            <v>472858695.63</v>
          </cell>
          <cell r="R116" t="str">
            <v>F40300E</v>
          </cell>
          <cell r="S116">
            <v>472858695.63</v>
          </cell>
          <cell r="T116">
            <v>949432626.22000003</v>
          </cell>
        </row>
        <row r="117">
          <cell r="A117" t="str">
            <v>F40300G</v>
          </cell>
          <cell r="B117" t="str">
            <v>DEPRECIATION EXPENSE</v>
          </cell>
          <cell r="C117">
            <v>36695559</v>
          </cell>
          <cell r="D117">
            <v>3023730.7</v>
          </cell>
          <cell r="E117">
            <v>3008857.19</v>
          </cell>
          <cell r="F117">
            <v>2757953.53</v>
          </cell>
          <cell r="G117">
            <v>2860389.91</v>
          </cell>
          <cell r="H117">
            <v>2757410.28</v>
          </cell>
          <cell r="I117">
            <v>2764501.86</v>
          </cell>
          <cell r="J117">
            <v>2769246.09</v>
          </cell>
          <cell r="K117">
            <v>2774430.54</v>
          </cell>
          <cell r="L117">
            <v>2779473.3</v>
          </cell>
          <cell r="M117">
            <v>2794297.7</v>
          </cell>
          <cell r="N117">
            <v>2800239.06</v>
          </cell>
          <cell r="O117">
            <v>2807357.56</v>
          </cell>
          <cell r="P117">
            <v>33897887.719999999</v>
          </cell>
          <cell r="R117" t="str">
            <v>F40300G</v>
          </cell>
          <cell r="S117">
            <v>33897887.719999999</v>
          </cell>
          <cell r="T117">
            <v>70593446.719999999</v>
          </cell>
        </row>
        <row r="118">
          <cell r="A118" t="str">
            <v>F40400C</v>
          </cell>
          <cell r="B118" t="str">
            <v>AMORTIZATION OF LIMITED-TERM INVESTMENTS</v>
          </cell>
          <cell r="C118">
            <v>0</v>
          </cell>
          <cell r="F118">
            <v>604199.46</v>
          </cell>
          <cell r="G118">
            <v>583627.9</v>
          </cell>
          <cell r="H118">
            <v>584680.61</v>
          </cell>
          <cell r="I118">
            <v>586300.87</v>
          </cell>
          <cell r="J118">
            <v>583072.32999999996</v>
          </cell>
          <cell r="K118">
            <v>583430.53</v>
          </cell>
          <cell r="L118">
            <v>567709.28</v>
          </cell>
          <cell r="M118">
            <v>583227.73</v>
          </cell>
          <cell r="N118">
            <v>595106.47</v>
          </cell>
          <cell r="O118">
            <v>593989.27</v>
          </cell>
          <cell r="P118">
            <v>5865344.4500000011</v>
          </cell>
          <cell r="R118" t="str">
            <v>F40400C</v>
          </cell>
          <cell r="S118">
            <v>5865344.4500000002</v>
          </cell>
          <cell r="T118">
            <v>5865344.4500000011</v>
          </cell>
        </row>
        <row r="119">
          <cell r="A119" t="str">
            <v>F40400E</v>
          </cell>
          <cell r="B119" t="str">
            <v>AMORTIZATION OF LIMITED-TERM INVESTMENTS</v>
          </cell>
          <cell r="C119">
            <v>5789052.4299999997</v>
          </cell>
          <cell r="D119">
            <v>422247.2</v>
          </cell>
          <cell r="E119">
            <v>446764.25</v>
          </cell>
          <cell r="F119">
            <v>15095.33</v>
          </cell>
          <cell r="G119">
            <v>14058.41</v>
          </cell>
          <cell r="H119">
            <v>-78549.47</v>
          </cell>
          <cell r="I119">
            <v>3216.62</v>
          </cell>
          <cell r="J119">
            <v>3216.7</v>
          </cell>
          <cell r="K119">
            <v>3216.77</v>
          </cell>
          <cell r="L119">
            <v>3216.86</v>
          </cell>
          <cell r="M119">
            <v>5574.86</v>
          </cell>
          <cell r="N119">
            <v>7932.84</v>
          </cell>
          <cell r="O119">
            <v>7932.85</v>
          </cell>
          <cell r="P119">
            <v>853923.21999999986</v>
          </cell>
          <cell r="R119" t="str">
            <v>F40400E</v>
          </cell>
          <cell r="S119">
            <v>853923.22</v>
          </cell>
          <cell r="T119">
            <v>6642975.6499999994</v>
          </cell>
        </row>
        <row r="120">
          <cell r="A120" t="str">
            <v>F40400G</v>
          </cell>
          <cell r="B120" t="str">
            <v>AMORTIZATION OF LIMITED-TERM INVESTMENTS</v>
          </cell>
          <cell r="C120">
            <v>1901965.78</v>
          </cell>
          <cell r="D120">
            <v>136667.57</v>
          </cell>
          <cell r="E120">
            <v>144284.51999999999</v>
          </cell>
          <cell r="F120">
            <v>19440.599999999999</v>
          </cell>
          <cell r="G120">
            <v>19444.810000000001</v>
          </cell>
          <cell r="H120">
            <v>19445.03</v>
          </cell>
          <cell r="I120">
            <v>19445.13</v>
          </cell>
          <cell r="J120">
            <v>19444.79</v>
          </cell>
          <cell r="K120">
            <v>19444.95</v>
          </cell>
          <cell r="L120">
            <v>19463.48</v>
          </cell>
          <cell r="M120">
            <v>19452.46</v>
          </cell>
          <cell r="N120">
            <v>19452.490000000002</v>
          </cell>
          <cell r="O120">
            <v>9726.2900000000009</v>
          </cell>
          <cell r="P120">
            <v>465712.11999999988</v>
          </cell>
          <cell r="R120" t="str">
            <v>F40400G</v>
          </cell>
          <cell r="S120">
            <v>465712.12</v>
          </cell>
          <cell r="T120">
            <v>2367677.9</v>
          </cell>
        </row>
        <row r="121">
          <cell r="A121" t="str">
            <v>F40500E</v>
          </cell>
          <cell r="B121" t="str">
            <v>AMORTIZATION OF OTHER PLANT</v>
          </cell>
          <cell r="C121">
            <v>1622779</v>
          </cell>
          <cell r="D121">
            <v>135969.78</v>
          </cell>
          <cell r="E121">
            <v>135969.78</v>
          </cell>
          <cell r="F121">
            <v>256825.13</v>
          </cell>
          <cell r="G121">
            <v>250418.3</v>
          </cell>
          <cell r="H121">
            <v>20380.3</v>
          </cell>
          <cell r="I121">
            <v>438449.29</v>
          </cell>
          <cell r="J121">
            <v>132426.70000000001</v>
          </cell>
          <cell r="K121">
            <v>132430.34</v>
          </cell>
          <cell r="L121">
            <v>132422.56</v>
          </cell>
          <cell r="M121">
            <v>132496.01999999999</v>
          </cell>
          <cell r="N121">
            <v>132481.04</v>
          </cell>
          <cell r="O121">
            <v>146020.09</v>
          </cell>
          <cell r="P121">
            <v>2046289.3300000003</v>
          </cell>
          <cell r="R121" t="str">
            <v>F40500E</v>
          </cell>
          <cell r="S121">
            <v>2046289.33</v>
          </cell>
          <cell r="T121">
            <v>3669068.33</v>
          </cell>
        </row>
        <row r="122">
          <cell r="A122" t="str">
            <v>F40500G</v>
          </cell>
          <cell r="B122" t="str">
            <v>AMORTIZATION OF OTHER PLANT</v>
          </cell>
          <cell r="C122">
            <v>278290</v>
          </cell>
          <cell r="D122">
            <v>24420.13</v>
          </cell>
          <cell r="E122">
            <v>24420.13</v>
          </cell>
          <cell r="F122">
            <v>4911.3999999999996</v>
          </cell>
          <cell r="G122">
            <v>4958.6000000000004</v>
          </cell>
          <cell r="H122">
            <v>4958.66</v>
          </cell>
          <cell r="I122">
            <v>4958.66</v>
          </cell>
          <cell r="J122">
            <v>4958.6099999999997</v>
          </cell>
          <cell r="K122">
            <v>4958.63</v>
          </cell>
          <cell r="L122">
            <v>4957.7</v>
          </cell>
          <cell r="M122">
            <v>4958.4799999999996</v>
          </cell>
          <cell r="N122">
            <v>4958.54</v>
          </cell>
          <cell r="O122">
            <v>20209.53</v>
          </cell>
          <cell r="P122">
            <v>113629.06999999999</v>
          </cell>
          <cell r="R122" t="str">
            <v>F40500G</v>
          </cell>
          <cell r="S122">
            <v>113629.07</v>
          </cell>
          <cell r="T122">
            <v>391919.07</v>
          </cell>
        </row>
        <row r="123">
          <cell r="A123" t="str">
            <v>F40600C</v>
          </cell>
          <cell r="B123" t="str">
            <v>AMORT. OF UTILITY PLANT ACQ. ADJ.</v>
          </cell>
          <cell r="C123">
            <v>382944</v>
          </cell>
          <cell r="D123">
            <v>31912</v>
          </cell>
          <cell r="E123">
            <v>31912</v>
          </cell>
          <cell r="F123">
            <v>31912</v>
          </cell>
          <cell r="G123">
            <v>31912</v>
          </cell>
          <cell r="H123">
            <v>31912</v>
          </cell>
          <cell r="I123">
            <v>1181172.46</v>
          </cell>
          <cell r="J123">
            <v>1312</v>
          </cell>
          <cell r="K123">
            <v>1312</v>
          </cell>
          <cell r="L123">
            <v>1312</v>
          </cell>
          <cell r="M123">
            <v>1312</v>
          </cell>
          <cell r="N123">
            <v>1312</v>
          </cell>
          <cell r="O123">
            <v>1312</v>
          </cell>
          <cell r="P123">
            <v>1348604.46</v>
          </cell>
          <cell r="R123" t="str">
            <v>F40600C</v>
          </cell>
          <cell r="S123">
            <v>1348604.46</v>
          </cell>
          <cell r="T123">
            <v>1731548.46</v>
          </cell>
        </row>
        <row r="124">
          <cell r="A124" t="str">
            <v>F40710C</v>
          </cell>
          <cell r="B124" t="str">
            <v>AMORT. OF PROP LOSSES  UNREC PLANT AND REG STUDY C</v>
          </cell>
          <cell r="C124">
            <v>79751405.420000002</v>
          </cell>
          <cell r="D124">
            <v>3617912</v>
          </cell>
          <cell r="E124">
            <v>3633912</v>
          </cell>
          <cell r="F124">
            <v>144006</v>
          </cell>
          <cell r="G124">
            <v>-17518994</v>
          </cell>
          <cell r="H124">
            <v>1482006</v>
          </cell>
          <cell r="I124">
            <v>15375554.51</v>
          </cell>
          <cell r="J124">
            <v>15163661.83</v>
          </cell>
          <cell r="K124">
            <v>0</v>
          </cell>
          <cell r="P124">
            <v>21898058.34</v>
          </cell>
          <cell r="R124" t="str">
            <v>F40710C</v>
          </cell>
          <cell r="S124">
            <v>21898058.34</v>
          </cell>
          <cell r="T124">
            <v>101649463.76000001</v>
          </cell>
        </row>
        <row r="125">
          <cell r="A125" t="str">
            <v>F40730E</v>
          </cell>
          <cell r="B125" t="str">
            <v>REGULATORY DEBITS</v>
          </cell>
          <cell r="C125">
            <v>0</v>
          </cell>
          <cell r="F125">
            <v>-17607084.77</v>
          </cell>
          <cell r="G125">
            <v>19057895.120000001</v>
          </cell>
          <cell r="H125">
            <v>10245908.189999999</v>
          </cell>
          <cell r="I125">
            <v>13955586.74</v>
          </cell>
          <cell r="J125">
            <v>-15163661.83</v>
          </cell>
          <cell r="K125">
            <v>0</v>
          </cell>
          <cell r="P125">
            <v>10488643.450000001</v>
          </cell>
          <cell r="R125" t="str">
            <v>F40730E</v>
          </cell>
          <cell r="S125">
            <v>10488643.449999999</v>
          </cell>
          <cell r="T125">
            <v>10488643.450000001</v>
          </cell>
        </row>
        <row r="126">
          <cell r="A126" t="str">
            <v>F40810C</v>
          </cell>
          <cell r="B126" t="str">
            <v>TAXES OTHER THAN INCOME TAXES</v>
          </cell>
          <cell r="C126">
            <v>7592.58</v>
          </cell>
          <cell r="D126">
            <v>-265.37</v>
          </cell>
          <cell r="E126">
            <v>-554.11</v>
          </cell>
          <cell r="F126">
            <v>-1037136.11</v>
          </cell>
          <cell r="G126">
            <v>-1053869.1399999999</v>
          </cell>
          <cell r="H126">
            <v>3651383.56</v>
          </cell>
          <cell r="I126">
            <v>4484816.8499999996</v>
          </cell>
          <cell r="J126">
            <v>501984.69</v>
          </cell>
          <cell r="K126">
            <v>669937.77</v>
          </cell>
          <cell r="L126">
            <v>453746.01</v>
          </cell>
          <cell r="M126">
            <v>696825.16</v>
          </cell>
          <cell r="N126">
            <v>457185.14</v>
          </cell>
          <cell r="O126">
            <v>541274.21</v>
          </cell>
          <cell r="P126">
            <v>9365328.6600000001</v>
          </cell>
          <cell r="R126" t="str">
            <v>F40810C</v>
          </cell>
          <cell r="S126">
            <v>9365328.6600000001</v>
          </cell>
          <cell r="T126">
            <v>9372921.2400000002</v>
          </cell>
        </row>
        <row r="127">
          <cell r="A127" t="str">
            <v>F40810E</v>
          </cell>
          <cell r="B127" t="str">
            <v>TAXES OTHER THAN INCOME TAXES</v>
          </cell>
          <cell r="C127">
            <v>4917246.1500000004</v>
          </cell>
          <cell r="D127">
            <v>430623.17</v>
          </cell>
          <cell r="E127">
            <v>371050.11</v>
          </cell>
          <cell r="P127">
            <v>801673.28</v>
          </cell>
          <cell r="R127" t="str">
            <v>F40810E</v>
          </cell>
          <cell r="S127">
            <v>801673.28</v>
          </cell>
          <cell r="T127">
            <v>5718919.4300000006</v>
          </cell>
        </row>
        <row r="128">
          <cell r="A128" t="str">
            <v>F40810G</v>
          </cell>
          <cell r="B128" t="str">
            <v>TAXES OTHER THAN INCOME TAXES</v>
          </cell>
          <cell r="C128">
            <v>1818407.31</v>
          </cell>
          <cell r="D128">
            <v>164265.07</v>
          </cell>
          <cell r="E128">
            <v>126610.22</v>
          </cell>
          <cell r="P128">
            <v>290875.29000000004</v>
          </cell>
          <cell r="R128" t="str">
            <v>F40810G</v>
          </cell>
          <cell r="S128">
            <v>290875.28999999998</v>
          </cell>
          <cell r="T128">
            <v>2109282.6</v>
          </cell>
        </row>
        <row r="129">
          <cell r="A129" t="str">
            <v>F40811E</v>
          </cell>
          <cell r="B129" t="str">
            <v>PROPERTY TAXES ELEC</v>
          </cell>
          <cell r="C129">
            <v>30532995.329999998</v>
          </cell>
          <cell r="D129">
            <v>2607065</v>
          </cell>
          <cell r="E129">
            <v>2607065</v>
          </cell>
          <cell r="N129">
            <v>2373715.91</v>
          </cell>
          <cell r="O129">
            <v>-1200116.1200000001</v>
          </cell>
          <cell r="P129">
            <v>6387729.79</v>
          </cell>
          <cell r="R129" t="str">
            <v>F40811E</v>
          </cell>
          <cell r="S129">
            <v>6387729.79</v>
          </cell>
          <cell r="T129">
            <v>36920725.119999997</v>
          </cell>
        </row>
        <row r="130">
          <cell r="A130" t="str">
            <v>F40811G</v>
          </cell>
          <cell r="B130" t="str">
            <v>PROPERTY TAXES GAS</v>
          </cell>
          <cell r="C130">
            <v>4931837.37</v>
          </cell>
          <cell r="D130">
            <v>445804</v>
          </cell>
          <cell r="E130">
            <v>445804</v>
          </cell>
          <cell r="N130">
            <v>426139.24</v>
          </cell>
          <cell r="O130">
            <v>-1599738.56</v>
          </cell>
          <cell r="P130">
            <v>-281991.32000000007</v>
          </cell>
          <cell r="R130" t="str">
            <v>F40811G</v>
          </cell>
          <cell r="S130">
            <v>-281991.32</v>
          </cell>
          <cell r="T130">
            <v>4649846.05</v>
          </cell>
        </row>
        <row r="131">
          <cell r="A131" t="str">
            <v>F40820C</v>
          </cell>
          <cell r="B131" t="str">
            <v>TAXES OTHER THAN INCOME TAXES</v>
          </cell>
          <cell r="C131">
            <v>296072.96000000002</v>
          </cell>
          <cell r="D131">
            <v>-664.06</v>
          </cell>
          <cell r="E131">
            <v>30564</v>
          </cell>
          <cell r="F131">
            <v>30563.73</v>
          </cell>
          <cell r="G131">
            <v>30564</v>
          </cell>
          <cell r="H131">
            <v>30563.95</v>
          </cell>
          <cell r="I131">
            <v>11242.76</v>
          </cell>
          <cell r="J131">
            <v>30564</v>
          </cell>
          <cell r="K131">
            <v>30563.97</v>
          </cell>
          <cell r="L131">
            <v>30564</v>
          </cell>
          <cell r="M131">
            <v>19921.03</v>
          </cell>
          <cell r="N131">
            <v>30691.37</v>
          </cell>
          <cell r="O131">
            <v>5165.63</v>
          </cell>
          <cell r="P131">
            <v>280304.38</v>
          </cell>
          <cell r="R131" t="str">
            <v>F40820C</v>
          </cell>
          <cell r="S131">
            <v>280304.38</v>
          </cell>
          <cell r="T131">
            <v>576377.34000000008</v>
          </cell>
        </row>
        <row r="132">
          <cell r="A132" t="str">
            <v>F40830E</v>
          </cell>
          <cell r="B132" t="str">
            <v>TAXES OTHER THAN INCOME TAXES-PROPERTY ELECTRIC</v>
          </cell>
          <cell r="F132">
            <v>2607065</v>
          </cell>
          <cell r="G132">
            <v>2607065</v>
          </cell>
          <cell r="H132">
            <v>2607065</v>
          </cell>
          <cell r="I132">
            <v>3398774.5</v>
          </cell>
          <cell r="J132">
            <v>1463918.38</v>
          </cell>
          <cell r="K132">
            <v>2373716</v>
          </cell>
          <cell r="L132">
            <v>2373716</v>
          </cell>
          <cell r="M132">
            <v>2357675.5</v>
          </cell>
          <cell r="N132">
            <v>0</v>
          </cell>
          <cell r="O132">
            <v>2787773.39</v>
          </cell>
          <cell r="P132">
            <v>22576768.77</v>
          </cell>
          <cell r="R132" t="str">
            <v>F40830E</v>
          </cell>
          <cell r="S132">
            <v>22576768.77</v>
          </cell>
          <cell r="T132">
            <v>22576768.77</v>
          </cell>
        </row>
        <row r="133">
          <cell r="A133" t="str">
            <v>F40830G</v>
          </cell>
          <cell r="B133" t="str">
            <v>PROPERTY TAXES GAS</v>
          </cell>
          <cell r="F133">
            <v>445804</v>
          </cell>
          <cell r="G133">
            <v>445804</v>
          </cell>
          <cell r="H133">
            <v>445804</v>
          </cell>
          <cell r="I133">
            <v>-445804</v>
          </cell>
          <cell r="J133">
            <v>1335935.6200000001</v>
          </cell>
          <cell r="K133">
            <v>426138</v>
          </cell>
          <cell r="L133">
            <v>426138</v>
          </cell>
          <cell r="M133">
            <v>424830.83</v>
          </cell>
          <cell r="N133">
            <v>0</v>
          </cell>
          <cell r="O133">
            <v>1803436.55</v>
          </cell>
          <cell r="P133">
            <v>5308087</v>
          </cell>
          <cell r="R133" t="str">
            <v>F40830G</v>
          </cell>
          <cell r="S133">
            <v>5308087</v>
          </cell>
          <cell r="T133">
            <v>5308087</v>
          </cell>
        </row>
        <row r="134">
          <cell r="A134" t="str">
            <v>F40910E</v>
          </cell>
          <cell r="B134" t="str">
            <v>INCOME TAXES-FEDERAL (409.1)</v>
          </cell>
          <cell r="C134">
            <v>52551000</v>
          </cell>
          <cell r="D134">
            <v>82782000</v>
          </cell>
          <cell r="E134">
            <v>9088000</v>
          </cell>
          <cell r="F134">
            <v>15894000</v>
          </cell>
          <cell r="G134">
            <v>7738000</v>
          </cell>
          <cell r="H134">
            <v>-36138000</v>
          </cell>
          <cell r="I134">
            <v>7857000</v>
          </cell>
          <cell r="J134">
            <v>114694000</v>
          </cell>
          <cell r="K134">
            <v>20020670.059999999</v>
          </cell>
          <cell r="L134">
            <v>3687000</v>
          </cell>
          <cell r="M134">
            <v>10858000</v>
          </cell>
          <cell r="N134">
            <v>-54007000</v>
          </cell>
          <cell r="O134">
            <v>-54506000</v>
          </cell>
          <cell r="P134">
            <v>127967670.06</v>
          </cell>
          <cell r="R134" t="str">
            <v>F40910E</v>
          </cell>
          <cell r="S134">
            <v>127967670.06</v>
          </cell>
          <cell r="T134">
            <v>180518670.06</v>
          </cell>
        </row>
        <row r="135">
          <cell r="A135" t="str">
            <v>F40910G</v>
          </cell>
          <cell r="B135" t="str">
            <v>INCOME TAXES-FEDERAL (409.1)</v>
          </cell>
          <cell r="C135">
            <v>13899000</v>
          </cell>
          <cell r="D135">
            <v>1443000</v>
          </cell>
          <cell r="E135">
            <v>3451000</v>
          </cell>
          <cell r="F135">
            <v>-395000</v>
          </cell>
          <cell r="G135">
            <v>3072000</v>
          </cell>
          <cell r="H135">
            <v>1878000</v>
          </cell>
          <cell r="I135">
            <v>-2246000</v>
          </cell>
          <cell r="J135">
            <v>1457000</v>
          </cell>
          <cell r="K135">
            <v>821000</v>
          </cell>
          <cell r="L135">
            <v>2777000</v>
          </cell>
          <cell r="M135">
            <v>1856000</v>
          </cell>
          <cell r="N135">
            <v>-1995000</v>
          </cell>
          <cell r="O135">
            <v>2383000</v>
          </cell>
          <cell r="P135">
            <v>14502000</v>
          </cell>
          <cell r="R135" t="str">
            <v>F40910G</v>
          </cell>
          <cell r="S135">
            <v>14502000</v>
          </cell>
          <cell r="T135">
            <v>28401000</v>
          </cell>
        </row>
        <row r="136">
          <cell r="A136" t="str">
            <v>F40911E</v>
          </cell>
          <cell r="B136" t="str">
            <v>STATE INCOME TAXES ELEC</v>
          </cell>
          <cell r="C136">
            <v>16344000</v>
          </cell>
          <cell r="D136">
            <v>20677000</v>
          </cell>
          <cell r="E136">
            <v>0</v>
          </cell>
          <cell r="F136">
            <v>5755000</v>
          </cell>
          <cell r="G136">
            <v>6441000</v>
          </cell>
          <cell r="H136">
            <v>3938000</v>
          </cell>
          <cell r="I136">
            <v>-2517000</v>
          </cell>
          <cell r="J136">
            <v>3500000</v>
          </cell>
          <cell r="K136">
            <v>-73000</v>
          </cell>
          <cell r="L136">
            <v>6069000</v>
          </cell>
          <cell r="M136">
            <v>4056000</v>
          </cell>
          <cell r="N136">
            <v>-11567815</v>
          </cell>
          <cell r="O136">
            <v>11032000</v>
          </cell>
          <cell r="P136">
            <v>47310185</v>
          </cell>
          <cell r="R136" t="str">
            <v>F40911E</v>
          </cell>
          <cell r="S136">
            <v>47310185</v>
          </cell>
          <cell r="T136">
            <v>63654185</v>
          </cell>
        </row>
        <row r="137">
          <cell r="A137" t="str">
            <v>F40911G</v>
          </cell>
          <cell r="B137" t="str">
            <v>STATE INCOME TAXES GAS</v>
          </cell>
          <cell r="C137">
            <v>3855000</v>
          </cell>
          <cell r="D137">
            <v>342000</v>
          </cell>
          <cell r="E137">
            <v>0</v>
          </cell>
          <cell r="F137">
            <v>745000</v>
          </cell>
          <cell r="G137">
            <v>742000</v>
          </cell>
          <cell r="H137">
            <v>453000</v>
          </cell>
          <cell r="I137">
            <v>-427000</v>
          </cell>
          <cell r="J137">
            <v>375000</v>
          </cell>
          <cell r="K137">
            <v>211000</v>
          </cell>
          <cell r="L137">
            <v>715000</v>
          </cell>
          <cell r="M137">
            <v>478000</v>
          </cell>
          <cell r="N137">
            <v>-930000</v>
          </cell>
          <cell r="O137">
            <v>696000</v>
          </cell>
          <cell r="P137">
            <v>3400000</v>
          </cell>
          <cell r="R137" t="str">
            <v>F40911G</v>
          </cell>
          <cell r="S137">
            <v>3400000</v>
          </cell>
          <cell r="T137">
            <v>7255000</v>
          </cell>
        </row>
        <row r="138">
          <cell r="A138" t="str">
            <v>F40920C</v>
          </cell>
          <cell r="B138" t="str">
            <v>TAXES ON NON OPERATING INCOME</v>
          </cell>
          <cell r="C138">
            <v>19103000</v>
          </cell>
          <cell r="D138">
            <v>1380000</v>
          </cell>
          <cell r="E138">
            <v>11000</v>
          </cell>
          <cell r="F138">
            <v>5529000</v>
          </cell>
          <cell r="G138">
            <v>742000</v>
          </cell>
          <cell r="H138">
            <v>1288000</v>
          </cell>
          <cell r="I138">
            <v>1538000</v>
          </cell>
          <cell r="J138">
            <v>2070000</v>
          </cell>
          <cell r="K138">
            <v>1597000</v>
          </cell>
          <cell r="L138">
            <v>6685000</v>
          </cell>
          <cell r="M138">
            <v>1766000</v>
          </cell>
          <cell r="N138">
            <v>5935000</v>
          </cell>
          <cell r="O138">
            <v>-8540000</v>
          </cell>
          <cell r="P138">
            <v>20001000</v>
          </cell>
          <cell r="R138" t="str">
            <v>F40920C</v>
          </cell>
          <cell r="S138">
            <v>20001000</v>
          </cell>
          <cell r="T138">
            <v>39104000</v>
          </cell>
        </row>
        <row r="139">
          <cell r="A139" t="str">
            <v>F41010E</v>
          </cell>
          <cell r="B139" t="str">
            <v>PROVISION FOR DEFERRED INCOME TAXES FED ELECTRIC</v>
          </cell>
          <cell r="C139">
            <v>428711000</v>
          </cell>
          <cell r="D139">
            <v>1587000</v>
          </cell>
          <cell r="E139">
            <v>0</v>
          </cell>
          <cell r="F139">
            <v>2396000</v>
          </cell>
          <cell r="G139">
            <v>2720000</v>
          </cell>
          <cell r="H139">
            <v>1663000</v>
          </cell>
          <cell r="I139">
            <v>7343000</v>
          </cell>
          <cell r="J139">
            <v>2481000</v>
          </cell>
          <cell r="K139">
            <v>8017000</v>
          </cell>
          <cell r="L139">
            <v>4727000</v>
          </cell>
          <cell r="M139">
            <v>3158000</v>
          </cell>
          <cell r="N139">
            <v>62067000</v>
          </cell>
          <cell r="O139">
            <v>2593000</v>
          </cell>
          <cell r="P139">
            <v>98752000</v>
          </cell>
          <cell r="R139" t="str">
            <v>F41010E</v>
          </cell>
          <cell r="S139">
            <v>98752000</v>
          </cell>
          <cell r="T139">
            <v>527463000</v>
          </cell>
        </row>
        <row r="140">
          <cell r="A140" t="str">
            <v>F41010G</v>
          </cell>
          <cell r="B140" t="str">
            <v>PROVISION FOR DEFERRED INCOME TAXES FED  GAS</v>
          </cell>
          <cell r="C140">
            <v>33323000</v>
          </cell>
          <cell r="D140">
            <v>50000</v>
          </cell>
          <cell r="E140">
            <v>0</v>
          </cell>
          <cell r="F140">
            <v>80000</v>
          </cell>
          <cell r="G140">
            <v>89000</v>
          </cell>
          <cell r="H140">
            <v>55000</v>
          </cell>
          <cell r="I140">
            <v>2027000</v>
          </cell>
          <cell r="J140">
            <v>261000</v>
          </cell>
          <cell r="K140">
            <v>148000</v>
          </cell>
          <cell r="L140">
            <v>499000</v>
          </cell>
          <cell r="M140">
            <v>333000</v>
          </cell>
          <cell r="N140">
            <v>1657000</v>
          </cell>
          <cell r="O140">
            <v>27000</v>
          </cell>
          <cell r="P140">
            <v>5226000</v>
          </cell>
          <cell r="R140" t="str">
            <v>F41010G</v>
          </cell>
          <cell r="S140">
            <v>5226000</v>
          </cell>
          <cell r="T140">
            <v>38549000</v>
          </cell>
        </row>
        <row r="141">
          <cell r="A141" t="str">
            <v>F41011E</v>
          </cell>
          <cell r="B141" t="str">
            <v>PROVISION FOR DEFERRED INCOME TAXES STATE ELECTRIC</v>
          </cell>
          <cell r="C141">
            <v>98447000</v>
          </cell>
          <cell r="D141">
            <v>33000</v>
          </cell>
          <cell r="E141">
            <v>0</v>
          </cell>
          <cell r="F141">
            <v>10000</v>
          </cell>
          <cell r="G141">
            <v>30000</v>
          </cell>
          <cell r="H141">
            <v>18000</v>
          </cell>
          <cell r="I141">
            <v>2037000</v>
          </cell>
          <cell r="J141">
            <v>271000</v>
          </cell>
          <cell r="K141">
            <v>1422000</v>
          </cell>
          <cell r="L141">
            <v>516000</v>
          </cell>
          <cell r="M141">
            <v>344000</v>
          </cell>
          <cell r="N141">
            <v>13898000</v>
          </cell>
          <cell r="O141">
            <v>273000</v>
          </cell>
          <cell r="P141">
            <v>18852000</v>
          </cell>
          <cell r="R141" t="str">
            <v>F41011E</v>
          </cell>
          <cell r="S141">
            <v>18852000</v>
          </cell>
          <cell r="T141">
            <v>117299000</v>
          </cell>
        </row>
        <row r="142">
          <cell r="A142" t="str">
            <v>F41011G</v>
          </cell>
          <cell r="B142" t="str">
            <v>PROVISION FOR DEFERRED INCOME TAXES STATE GAS</v>
          </cell>
          <cell r="C142">
            <v>5310000</v>
          </cell>
          <cell r="D142">
            <v>8000</v>
          </cell>
          <cell r="E142">
            <v>0</v>
          </cell>
          <cell r="F142">
            <v>14000</v>
          </cell>
          <cell r="G142">
            <v>15000</v>
          </cell>
          <cell r="H142">
            <v>9000</v>
          </cell>
          <cell r="I142">
            <v>315000</v>
          </cell>
          <cell r="J142">
            <v>52000</v>
          </cell>
          <cell r="K142">
            <v>30000</v>
          </cell>
          <cell r="L142">
            <v>99000</v>
          </cell>
          <cell r="M142">
            <v>67000</v>
          </cell>
          <cell r="N142">
            <v>638000</v>
          </cell>
          <cell r="O142">
            <v>0</v>
          </cell>
          <cell r="P142">
            <v>1247000</v>
          </cell>
          <cell r="R142" t="str">
            <v>F41011G</v>
          </cell>
          <cell r="S142">
            <v>1247000</v>
          </cell>
          <cell r="T142">
            <v>6557000</v>
          </cell>
        </row>
        <row r="143">
          <cell r="A143" t="str">
            <v>F41020C</v>
          </cell>
          <cell r="B143" t="str">
            <v>PROVISION FOR DEFERRED INC. TAXES NON OPERATING IN</v>
          </cell>
          <cell r="C143">
            <v>1695000</v>
          </cell>
          <cell r="D143">
            <v>75000</v>
          </cell>
          <cell r="E143">
            <v>0</v>
          </cell>
          <cell r="F143">
            <v>99000</v>
          </cell>
          <cell r="G143">
            <v>119000</v>
          </cell>
          <cell r="H143">
            <v>73000</v>
          </cell>
          <cell r="I143">
            <v>40000</v>
          </cell>
          <cell r="J143">
            <v>79000</v>
          </cell>
          <cell r="K143">
            <v>45000</v>
          </cell>
          <cell r="L143">
            <v>148000</v>
          </cell>
          <cell r="M143">
            <v>101000</v>
          </cell>
          <cell r="N143">
            <v>329000</v>
          </cell>
          <cell r="O143">
            <v>9864000</v>
          </cell>
          <cell r="P143">
            <v>10972000</v>
          </cell>
          <cell r="R143" t="str">
            <v>F41020C</v>
          </cell>
          <cell r="S143">
            <v>10972000</v>
          </cell>
          <cell r="T143">
            <v>12667000</v>
          </cell>
        </row>
        <row r="144">
          <cell r="A144" t="str">
            <v>F41110E</v>
          </cell>
          <cell r="B144" t="str">
            <v>(LESS) PROVISION FOR DEFERRED INCOME TAXES-FED ELE</v>
          </cell>
          <cell r="C144">
            <v>-383969000</v>
          </cell>
          <cell r="D144">
            <v>-70427000</v>
          </cell>
          <cell r="E144">
            <v>0</v>
          </cell>
          <cell r="F144">
            <v>-4871000</v>
          </cell>
          <cell r="G144">
            <v>-5395000</v>
          </cell>
          <cell r="H144">
            <v>-3299000</v>
          </cell>
          <cell r="I144">
            <v>-1367000</v>
          </cell>
          <cell r="J144">
            <v>-106938000</v>
          </cell>
          <cell r="K144">
            <v>-12565670.060000001</v>
          </cell>
          <cell r="L144">
            <v>-3219000</v>
          </cell>
          <cell r="M144">
            <v>-2152000</v>
          </cell>
          <cell r="N144">
            <v>-9111185</v>
          </cell>
          <cell r="O144">
            <v>60556000</v>
          </cell>
          <cell r="P144">
            <v>-158788855.06</v>
          </cell>
          <cell r="R144" t="str">
            <v>F41110E</v>
          </cell>
          <cell r="S144">
            <v>-158788855.06</v>
          </cell>
          <cell r="T144">
            <v>-542757855.05999994</v>
          </cell>
        </row>
        <row r="145">
          <cell r="A145" t="str">
            <v>F41110G</v>
          </cell>
          <cell r="B145" t="str">
            <v>(LESS) PROVISION FOR DEFERRED INCOME TAXES-FED GAS</v>
          </cell>
          <cell r="C145">
            <v>-32056000</v>
          </cell>
          <cell r="D145">
            <v>-177000</v>
          </cell>
          <cell r="E145">
            <v>0</v>
          </cell>
          <cell r="F145">
            <v>-289000</v>
          </cell>
          <cell r="G145">
            <v>-318000</v>
          </cell>
          <cell r="H145">
            <v>-194000</v>
          </cell>
          <cell r="I145">
            <v>-177000</v>
          </cell>
          <cell r="J145">
            <v>-30000</v>
          </cell>
          <cell r="K145">
            <v>-17000</v>
          </cell>
          <cell r="L145">
            <v>-56000</v>
          </cell>
          <cell r="M145">
            <v>-39000</v>
          </cell>
          <cell r="N145">
            <v>-2929000</v>
          </cell>
          <cell r="O145">
            <v>-2012000</v>
          </cell>
          <cell r="P145">
            <v>-6238000</v>
          </cell>
          <cell r="R145" t="str">
            <v>F41110G</v>
          </cell>
          <cell r="S145">
            <v>-6238000</v>
          </cell>
          <cell r="T145">
            <v>-38294000</v>
          </cell>
        </row>
        <row r="146">
          <cell r="A146" t="str">
            <v>F41112E</v>
          </cell>
          <cell r="B146" t="str">
            <v>(LESS) PROVISION FOR DEFERRED INCOME TAXES-STATE E</v>
          </cell>
          <cell r="C146">
            <v>-97347000</v>
          </cell>
          <cell r="D146">
            <v>-18458000</v>
          </cell>
          <cell r="E146">
            <v>0</v>
          </cell>
          <cell r="F146">
            <v>-2345000</v>
          </cell>
          <cell r="G146">
            <v>-2597000</v>
          </cell>
          <cell r="H146">
            <v>-1588000</v>
          </cell>
          <cell r="I146">
            <v>-220000</v>
          </cell>
          <cell r="J146">
            <v>-1502000</v>
          </cell>
          <cell r="K146">
            <v>-14000</v>
          </cell>
          <cell r="L146">
            <v>-2245000</v>
          </cell>
          <cell r="M146">
            <v>-1501000</v>
          </cell>
          <cell r="N146">
            <v>-752000</v>
          </cell>
          <cell r="O146">
            <v>-14530000</v>
          </cell>
          <cell r="P146">
            <v>-45752000</v>
          </cell>
          <cell r="R146" t="str">
            <v>F41112E</v>
          </cell>
          <cell r="S146">
            <v>-45752000</v>
          </cell>
          <cell r="T146">
            <v>-143099000</v>
          </cell>
        </row>
        <row r="147">
          <cell r="A147" t="str">
            <v>F41112G</v>
          </cell>
          <cell r="B147" t="str">
            <v>(LESS) PROVISION FOR DEFERRED INCOME TAXES-STATE G</v>
          </cell>
          <cell r="C147">
            <v>-3518000</v>
          </cell>
          <cell r="D147">
            <v>-42000</v>
          </cell>
          <cell r="E147">
            <v>0</v>
          </cell>
          <cell r="F147">
            <v>-67000</v>
          </cell>
          <cell r="G147">
            <v>-74000</v>
          </cell>
          <cell r="H147">
            <v>-45000</v>
          </cell>
          <cell r="I147">
            <v>-89000</v>
          </cell>
          <cell r="J147">
            <v>-44000</v>
          </cell>
          <cell r="K147">
            <v>-25000</v>
          </cell>
          <cell r="L147">
            <v>-82000</v>
          </cell>
          <cell r="M147">
            <v>-57000</v>
          </cell>
          <cell r="N147">
            <v>-431000</v>
          </cell>
          <cell r="O147">
            <v>-491000</v>
          </cell>
          <cell r="P147">
            <v>-1447000</v>
          </cell>
          <cell r="R147" t="str">
            <v>F41112G</v>
          </cell>
          <cell r="S147">
            <v>-1447000</v>
          </cell>
          <cell r="T147">
            <v>-4965000</v>
          </cell>
        </row>
        <row r="148">
          <cell r="A148" t="str">
            <v>F41120C</v>
          </cell>
          <cell r="B148" t="str">
            <v>(LESS) PROVISION FOR DEFERRED INCOME TAXES-NON OP</v>
          </cell>
          <cell r="C148">
            <v>-11995000</v>
          </cell>
          <cell r="H148">
            <v>0</v>
          </cell>
          <cell r="I148">
            <v>-18000</v>
          </cell>
          <cell r="N148">
            <v>-4000000</v>
          </cell>
          <cell r="O148">
            <v>-3384000</v>
          </cell>
          <cell r="P148">
            <v>-7402000</v>
          </cell>
          <cell r="R148" t="str">
            <v>F41120C</v>
          </cell>
          <cell r="S148">
            <v>-7402000</v>
          </cell>
          <cell r="T148">
            <v>-19397000</v>
          </cell>
        </row>
        <row r="149">
          <cell r="A149" t="str">
            <v>F41140E</v>
          </cell>
          <cell r="B149" t="str">
            <v>INVESTMENT TAX CREDIT ADJ.-FED ELECTRIC</v>
          </cell>
          <cell r="C149">
            <v>-2629000</v>
          </cell>
          <cell r="D149">
            <v>-219000</v>
          </cell>
          <cell r="E149">
            <v>0</v>
          </cell>
          <cell r="F149">
            <v>-352000</v>
          </cell>
          <cell r="G149">
            <v>-390000</v>
          </cell>
          <cell r="H149">
            <v>-239000</v>
          </cell>
          <cell r="I149">
            <v>67000</v>
          </cell>
          <cell r="J149">
            <v>-230000</v>
          </cell>
          <cell r="K149">
            <v>-129000</v>
          </cell>
          <cell r="L149">
            <v>-437000</v>
          </cell>
          <cell r="M149">
            <v>-292000</v>
          </cell>
          <cell r="N149">
            <v>-237000</v>
          </cell>
          <cell r="O149">
            <v>181000</v>
          </cell>
          <cell r="P149">
            <v>-2277000</v>
          </cell>
          <cell r="R149" t="str">
            <v>F41140E</v>
          </cell>
          <cell r="S149">
            <v>-2277000</v>
          </cell>
          <cell r="T149">
            <v>-4906000</v>
          </cell>
        </row>
        <row r="150">
          <cell r="A150" t="str">
            <v>F41140G</v>
          </cell>
          <cell r="B150" t="str">
            <v>INVESTMENT TAX CREDIT ADJ.-FED GAS</v>
          </cell>
          <cell r="C150">
            <v>-247000</v>
          </cell>
          <cell r="D150">
            <v>-21000</v>
          </cell>
          <cell r="E150">
            <v>0</v>
          </cell>
          <cell r="F150">
            <v>-33000</v>
          </cell>
          <cell r="G150">
            <v>-36000</v>
          </cell>
          <cell r="H150">
            <v>-23000</v>
          </cell>
          <cell r="I150">
            <v>6000</v>
          </cell>
          <cell r="J150">
            <v>-21000</v>
          </cell>
          <cell r="K150">
            <v>-12000</v>
          </cell>
          <cell r="L150">
            <v>-42000</v>
          </cell>
          <cell r="M150">
            <v>-27000</v>
          </cell>
          <cell r="N150">
            <v>31000</v>
          </cell>
          <cell r="O150">
            <v>-401000</v>
          </cell>
          <cell r="P150">
            <v>-579000</v>
          </cell>
          <cell r="R150" t="str">
            <v>F41140G</v>
          </cell>
          <cell r="S150">
            <v>-579000</v>
          </cell>
          <cell r="T150">
            <v>-826000</v>
          </cell>
        </row>
        <row r="151">
          <cell r="A151" t="str">
            <v>F41160E</v>
          </cell>
          <cell r="B151" t="str">
            <v>GAIN FROM DISP UT PLANT</v>
          </cell>
          <cell r="C151">
            <v>0</v>
          </cell>
          <cell r="H151">
            <v>-43752302.68</v>
          </cell>
          <cell r="I151">
            <v>-275065835.74000001</v>
          </cell>
          <cell r="N151">
            <v>0</v>
          </cell>
          <cell r="O151">
            <v>-8146884.9900000002</v>
          </cell>
          <cell r="P151">
            <v>-326965023.41000003</v>
          </cell>
          <cell r="R151" t="str">
            <v>F41160E</v>
          </cell>
          <cell r="S151">
            <v>-326965023.41000003</v>
          </cell>
          <cell r="T151">
            <v>-326965023.41000003</v>
          </cell>
        </row>
        <row r="152">
          <cell r="A152" t="str">
            <v>F41170E</v>
          </cell>
          <cell r="B152" t="str">
            <v>LOSSES FROM DISP UT PLANT</v>
          </cell>
          <cell r="C152">
            <v>0</v>
          </cell>
          <cell r="F152">
            <v>0</v>
          </cell>
          <cell r="G152">
            <v>3792243.02</v>
          </cell>
          <cell r="H152">
            <v>0</v>
          </cell>
          <cell r="I152">
            <v>4883000</v>
          </cell>
          <cell r="N152">
            <v>0</v>
          </cell>
          <cell r="O152">
            <v>0.02</v>
          </cell>
          <cell r="P152">
            <v>8675243.0399999991</v>
          </cell>
          <cell r="R152" t="str">
            <v>F41170E</v>
          </cell>
          <cell r="S152">
            <v>8675243.0399999991</v>
          </cell>
          <cell r="T152">
            <v>8675243.0399999991</v>
          </cell>
        </row>
        <row r="153">
          <cell r="A153" t="str">
            <v>F41700C</v>
          </cell>
          <cell r="B153" t="str">
            <v>REVENUES FROM NONUTILITY OPERATIONS</v>
          </cell>
          <cell r="C153">
            <v>0</v>
          </cell>
          <cell r="F153">
            <v>379.51</v>
          </cell>
          <cell r="G153">
            <v>142.82</v>
          </cell>
          <cell r="H153">
            <v>1039.42</v>
          </cell>
          <cell r="I153">
            <v>851.94</v>
          </cell>
          <cell r="J153">
            <v>6861.69</v>
          </cell>
          <cell r="K153">
            <v>0</v>
          </cell>
          <cell r="L153">
            <v>-781.6</v>
          </cell>
          <cell r="M153">
            <v>95.46</v>
          </cell>
          <cell r="P153">
            <v>8589.239999999998</v>
          </cell>
          <cell r="R153" t="str">
            <v>F41700C</v>
          </cell>
          <cell r="S153">
            <v>8589.24</v>
          </cell>
          <cell r="T153">
            <v>8589.239999999998</v>
          </cell>
        </row>
        <row r="154">
          <cell r="A154" t="str">
            <v>F41710C</v>
          </cell>
          <cell r="B154" t="str">
            <v>EXPENSES OF NONUTILITY OPERATIONS</v>
          </cell>
          <cell r="C154">
            <v>171697.64</v>
          </cell>
          <cell r="D154">
            <v>0</v>
          </cell>
          <cell r="E154">
            <v>473.85</v>
          </cell>
          <cell r="F154">
            <v>21522.73</v>
          </cell>
          <cell r="G154">
            <v>21521.74</v>
          </cell>
          <cell r="H154">
            <v>21521.759999999998</v>
          </cell>
          <cell r="I154">
            <v>12720.58</v>
          </cell>
          <cell r="J154">
            <v>12720.56</v>
          </cell>
          <cell r="K154">
            <v>12720.57</v>
          </cell>
          <cell r="L154">
            <v>12720.58</v>
          </cell>
          <cell r="M154">
            <v>12720.57</v>
          </cell>
          <cell r="N154">
            <v>12720.58</v>
          </cell>
          <cell r="O154">
            <v>12720.57</v>
          </cell>
          <cell r="P154">
            <v>154084.09</v>
          </cell>
          <cell r="R154" t="str">
            <v>F41710C</v>
          </cell>
          <cell r="S154">
            <v>154084.09</v>
          </cell>
          <cell r="T154">
            <v>325781.73</v>
          </cell>
        </row>
        <row r="155">
          <cell r="A155" t="str">
            <v>F41800C</v>
          </cell>
          <cell r="B155" t="str">
            <v>NONOPERATING RENTAL INCOME</v>
          </cell>
          <cell r="C155">
            <v>-1435469.9</v>
          </cell>
          <cell r="D155">
            <v>-412735.47</v>
          </cell>
          <cell r="E155">
            <v>-30761.39</v>
          </cell>
          <cell r="F155">
            <v>-10466.65</v>
          </cell>
          <cell r="G155">
            <v>-10761.14</v>
          </cell>
          <cell r="H155">
            <v>-32535.65</v>
          </cell>
          <cell r="I155">
            <v>-32699.65</v>
          </cell>
          <cell r="J155">
            <v>-411970.7</v>
          </cell>
          <cell r="K155">
            <v>-32755.82</v>
          </cell>
          <cell r="L155">
            <v>-186830.13</v>
          </cell>
          <cell r="M155">
            <v>-31320.9</v>
          </cell>
          <cell r="N155">
            <v>23943.46</v>
          </cell>
          <cell r="O155">
            <v>-146135.20000000001</v>
          </cell>
          <cell r="P155">
            <v>-1315029.24</v>
          </cell>
          <cell r="R155" t="str">
            <v>F41800C</v>
          </cell>
          <cell r="S155">
            <v>-1315029.24</v>
          </cell>
          <cell r="T155">
            <v>-2750499.1399999997</v>
          </cell>
        </row>
        <row r="156">
          <cell r="A156" t="str">
            <v>F41900C</v>
          </cell>
          <cell r="B156" t="str">
            <v>INTEREST AND DIVIDEND INCOME</v>
          </cell>
          <cell r="C156">
            <v>-38623633.659999996</v>
          </cell>
          <cell r="D156">
            <v>-2668921.27</v>
          </cell>
          <cell r="E156">
            <v>-2506200.79</v>
          </cell>
          <cell r="F156">
            <v>-2584060.37</v>
          </cell>
          <cell r="G156">
            <v>-1991642.67</v>
          </cell>
          <cell r="H156">
            <v>-2815863.11</v>
          </cell>
          <cell r="I156">
            <v>-3607062.2</v>
          </cell>
          <cell r="J156">
            <v>-4890966.72</v>
          </cell>
          <cell r="K156">
            <v>-4188617.89</v>
          </cell>
          <cell r="L156">
            <v>-4262115.3099999996</v>
          </cell>
          <cell r="M156">
            <v>-4402250.75</v>
          </cell>
          <cell r="N156">
            <v>-4361155.87</v>
          </cell>
          <cell r="O156">
            <v>-4984653.22</v>
          </cell>
          <cell r="P156">
            <v>-43263510.169999994</v>
          </cell>
          <cell r="R156" t="str">
            <v>F41900C</v>
          </cell>
          <cell r="S156">
            <v>-43263510.170000002</v>
          </cell>
          <cell r="T156">
            <v>-81887143.829999983</v>
          </cell>
        </row>
        <row r="157">
          <cell r="A157" t="str">
            <v>F41910C</v>
          </cell>
          <cell r="B157" t="str">
            <v>ALLOWANCE FOR OTHER FUNDS USED DURING CONSTRUCTION</v>
          </cell>
          <cell r="C157">
            <v>-4604516.45</v>
          </cell>
          <cell r="D157">
            <v>-370705.35</v>
          </cell>
          <cell r="E157">
            <v>-340131.56</v>
          </cell>
          <cell r="F157">
            <v>-272698.5</v>
          </cell>
          <cell r="G157">
            <v>15.99</v>
          </cell>
          <cell r="H157">
            <v>3324.16</v>
          </cell>
          <cell r="I157">
            <v>20.68</v>
          </cell>
          <cell r="J157">
            <v>-421711.27</v>
          </cell>
          <cell r="K157">
            <v>-436553.56</v>
          </cell>
          <cell r="L157">
            <v>-415866.2</v>
          </cell>
          <cell r="M157">
            <v>-483960.64</v>
          </cell>
          <cell r="N157">
            <v>-440762.28</v>
          </cell>
          <cell r="O157">
            <v>-493621.87</v>
          </cell>
          <cell r="P157">
            <v>-3672650.4000000004</v>
          </cell>
          <cell r="R157" t="str">
            <v>F41910C</v>
          </cell>
          <cell r="S157">
            <v>-3672650.4</v>
          </cell>
          <cell r="T157">
            <v>-8277166.8500000006</v>
          </cell>
        </row>
        <row r="158">
          <cell r="A158" t="str">
            <v>F42100C</v>
          </cell>
          <cell r="B158" t="str">
            <v>MISCELLANEOUS NONOPERATING INCOME</v>
          </cell>
          <cell r="C158">
            <v>-4410209.68</v>
          </cell>
          <cell r="D158">
            <v>-593162.85</v>
          </cell>
          <cell r="E158">
            <v>-28500</v>
          </cell>
          <cell r="F158">
            <v>-1437.5</v>
          </cell>
          <cell r="G158">
            <v>0</v>
          </cell>
          <cell r="J158">
            <v>0</v>
          </cell>
          <cell r="K158">
            <v>340678.85</v>
          </cell>
          <cell r="L158">
            <v>-631459</v>
          </cell>
          <cell r="M158">
            <v>-1900</v>
          </cell>
          <cell r="N158">
            <v>2057.9499999999998</v>
          </cell>
          <cell r="O158">
            <v>-21987793.309999999</v>
          </cell>
          <cell r="P158">
            <v>-22901515.859999999</v>
          </cell>
          <cell r="R158" t="str">
            <v>F42100C</v>
          </cell>
          <cell r="S158">
            <v>-22901515.860000003</v>
          </cell>
          <cell r="T158">
            <v>-27311725.539999999</v>
          </cell>
        </row>
        <row r="159">
          <cell r="A159" t="str">
            <v>F42120C</v>
          </cell>
          <cell r="B159" t="str">
            <v>LOSS ON DISPOSITION OF PROPERTY</v>
          </cell>
          <cell r="C159">
            <v>299474.99</v>
          </cell>
          <cell r="P159">
            <v>0</v>
          </cell>
          <cell r="T159">
            <v>299474.99</v>
          </cell>
        </row>
        <row r="160">
          <cell r="A160" t="str">
            <v>F42610C</v>
          </cell>
          <cell r="B160" t="str">
            <v>DONATIONS</v>
          </cell>
          <cell r="C160">
            <v>1458846.01</v>
          </cell>
          <cell r="D160">
            <v>148380.49</v>
          </cell>
          <cell r="E160">
            <v>334869.49</v>
          </cell>
          <cell r="F160">
            <v>40841.879999999997</v>
          </cell>
          <cell r="G160">
            <v>96185</v>
          </cell>
          <cell r="H160">
            <v>137957.25</v>
          </cell>
          <cell r="I160">
            <v>123122</v>
          </cell>
          <cell r="J160">
            <v>41167</v>
          </cell>
          <cell r="K160">
            <v>60983.25</v>
          </cell>
          <cell r="L160">
            <v>144560</v>
          </cell>
          <cell r="M160">
            <v>93482</v>
          </cell>
          <cell r="N160">
            <v>63346</v>
          </cell>
          <cell r="O160">
            <v>290949.82</v>
          </cell>
          <cell r="P160">
            <v>1575844.18</v>
          </cell>
          <cell r="R160" t="str">
            <v>F42610C</v>
          </cell>
          <cell r="S160">
            <v>1575844.18</v>
          </cell>
          <cell r="T160">
            <v>3034690.19</v>
          </cell>
        </row>
        <row r="161">
          <cell r="A161" t="str">
            <v>F42620C</v>
          </cell>
          <cell r="B161" t="str">
            <v>LIFE INSURANCE</v>
          </cell>
          <cell r="C161">
            <v>-950243</v>
          </cell>
          <cell r="D161">
            <v>-84326</v>
          </cell>
          <cell r="E161">
            <v>-84326</v>
          </cell>
          <cell r="F161">
            <v>-84326</v>
          </cell>
          <cell r="G161">
            <v>-84326</v>
          </cell>
          <cell r="H161">
            <v>-84325</v>
          </cell>
          <cell r="I161">
            <v>-100165</v>
          </cell>
          <cell r="J161">
            <v>-98267</v>
          </cell>
          <cell r="K161">
            <v>-98267</v>
          </cell>
          <cell r="L161">
            <v>-98267</v>
          </cell>
          <cell r="M161">
            <v>-98267</v>
          </cell>
          <cell r="N161">
            <v>-98267</v>
          </cell>
          <cell r="O161">
            <v>-98267</v>
          </cell>
          <cell r="P161">
            <v>-1111396</v>
          </cell>
          <cell r="R161" t="str">
            <v>F42620C</v>
          </cell>
          <cell r="S161">
            <v>-1111396</v>
          </cell>
          <cell r="T161">
            <v>-2061639</v>
          </cell>
        </row>
        <row r="162">
          <cell r="A162" t="str">
            <v>F42630C</v>
          </cell>
          <cell r="B162" t="str">
            <v>PENALTIES</v>
          </cell>
          <cell r="C162">
            <v>1017936.98</v>
          </cell>
          <cell r="F162">
            <v>340</v>
          </cell>
          <cell r="G162">
            <v>0</v>
          </cell>
          <cell r="H162">
            <v>0</v>
          </cell>
          <cell r="I162">
            <v>1305.68</v>
          </cell>
          <cell r="J162">
            <v>640.5</v>
          </cell>
          <cell r="K162">
            <v>6146.2</v>
          </cell>
          <cell r="L162">
            <v>12060.96</v>
          </cell>
          <cell r="M162">
            <v>7072.33</v>
          </cell>
          <cell r="N162">
            <v>0</v>
          </cell>
          <cell r="O162">
            <v>7506.27</v>
          </cell>
          <cell r="P162">
            <v>35071.94</v>
          </cell>
          <cell r="R162" t="str">
            <v>F42630C</v>
          </cell>
          <cell r="S162">
            <v>35071.94</v>
          </cell>
          <cell r="T162">
            <v>1053008.92</v>
          </cell>
        </row>
        <row r="163">
          <cell r="A163" t="str">
            <v>F42640C</v>
          </cell>
          <cell r="B163" t="str">
            <v>EXPENDITURES FOR CIVIC  POLITICAL AND RELATED ACTI</v>
          </cell>
          <cell r="C163">
            <v>1800300.1</v>
          </cell>
          <cell r="D163">
            <v>168038.88</v>
          </cell>
          <cell r="E163">
            <v>121734.73</v>
          </cell>
          <cell r="F163">
            <v>168737.85</v>
          </cell>
          <cell r="G163">
            <v>0</v>
          </cell>
          <cell r="H163">
            <v>-166405.21</v>
          </cell>
          <cell r="I163">
            <v>25</v>
          </cell>
          <cell r="L163">
            <v>0</v>
          </cell>
          <cell r="M163">
            <v>1908.25</v>
          </cell>
          <cell r="N163">
            <v>0</v>
          </cell>
          <cell r="O163">
            <v>24556.25</v>
          </cell>
          <cell r="P163">
            <v>318595.75</v>
          </cell>
          <cell r="R163" t="str">
            <v>F42640C</v>
          </cell>
          <cell r="S163">
            <v>318595.75</v>
          </cell>
          <cell r="T163">
            <v>2118895.85</v>
          </cell>
        </row>
        <row r="164">
          <cell r="A164" t="str">
            <v>F42650C</v>
          </cell>
          <cell r="B164" t="str">
            <v>OTHER DEDUCTIONS</v>
          </cell>
          <cell r="C164">
            <v>16424123.109999999</v>
          </cell>
          <cell r="D164">
            <v>2750</v>
          </cell>
          <cell r="E164">
            <v>6946.54</v>
          </cell>
          <cell r="F164">
            <v>-8976204</v>
          </cell>
          <cell r="G164">
            <v>320</v>
          </cell>
          <cell r="H164">
            <v>-243535.46</v>
          </cell>
          <cell r="I164">
            <v>253284.72</v>
          </cell>
          <cell r="J164">
            <v>-101005.91</v>
          </cell>
          <cell r="K164">
            <v>0</v>
          </cell>
          <cell r="L164">
            <v>-11632500</v>
          </cell>
          <cell r="M164">
            <v>0</v>
          </cell>
          <cell r="N164">
            <v>-755339.34</v>
          </cell>
          <cell r="O164">
            <v>22552288.199999999</v>
          </cell>
          <cell r="P164">
            <v>1107004.75</v>
          </cell>
          <cell r="R164" t="str">
            <v>F42650C</v>
          </cell>
          <cell r="S164">
            <v>1107004.75</v>
          </cell>
          <cell r="T164">
            <v>17531127.859999999</v>
          </cell>
        </row>
        <row r="165">
          <cell r="A165" t="str">
            <v>F42700C</v>
          </cell>
          <cell r="B165" t="str">
            <v>INTEREST ON LONG-TERM DEBT</v>
          </cell>
          <cell r="C165">
            <v>54663807.270000003</v>
          </cell>
          <cell r="D165">
            <v>4138337.43</v>
          </cell>
          <cell r="E165">
            <v>4022695.84</v>
          </cell>
          <cell r="F165">
            <v>4011948.8</v>
          </cell>
          <cell r="G165">
            <v>4103103.79</v>
          </cell>
          <cell r="H165">
            <v>4226017.46</v>
          </cell>
          <cell r="I165">
            <v>4118499.26</v>
          </cell>
          <cell r="J165">
            <v>4032967.86</v>
          </cell>
          <cell r="K165">
            <v>4037718.11</v>
          </cell>
          <cell r="L165">
            <v>4077173.73</v>
          </cell>
          <cell r="M165">
            <v>4107381.5</v>
          </cell>
          <cell r="N165">
            <v>4096893.94</v>
          </cell>
          <cell r="O165">
            <v>4222114.7</v>
          </cell>
          <cell r="P165">
            <v>49194852.419999994</v>
          </cell>
          <cell r="R165" t="str">
            <v>F42700C</v>
          </cell>
          <cell r="S165">
            <v>49194852.420000002</v>
          </cell>
          <cell r="T165">
            <v>103858659.69</v>
          </cell>
        </row>
        <row r="166">
          <cell r="A166" t="str">
            <v>F42800C</v>
          </cell>
          <cell r="B166" t="str">
            <v>AMORTIZATION OF DEBT DISC. AND EXPENSE</v>
          </cell>
          <cell r="C166">
            <v>7774956.21</v>
          </cell>
          <cell r="D166">
            <v>731357.7</v>
          </cell>
          <cell r="E166">
            <v>736394.34</v>
          </cell>
          <cell r="F166">
            <v>44179.09</v>
          </cell>
          <cell r="G166">
            <v>736307.41</v>
          </cell>
          <cell r="H166">
            <v>736307.32</v>
          </cell>
          <cell r="I166">
            <v>736307.32</v>
          </cell>
          <cell r="J166">
            <v>58952.75</v>
          </cell>
          <cell r="K166">
            <v>58712.54</v>
          </cell>
          <cell r="L166">
            <v>58832.72</v>
          </cell>
          <cell r="M166">
            <v>58832.72</v>
          </cell>
          <cell r="N166">
            <v>58832.72</v>
          </cell>
          <cell r="O166">
            <v>58832.51</v>
          </cell>
          <cell r="P166">
            <v>4073849.14</v>
          </cell>
          <cell r="R166" t="str">
            <v>F42800C</v>
          </cell>
          <cell r="S166">
            <v>4073849.14</v>
          </cell>
          <cell r="T166">
            <v>11848805.35</v>
          </cell>
        </row>
        <row r="167">
          <cell r="A167" t="str">
            <v>F42810C</v>
          </cell>
          <cell r="B167" t="str">
            <v>AMORTIZATION OF LOSS ON REACQUIRED DEBT</v>
          </cell>
          <cell r="C167">
            <v>0</v>
          </cell>
          <cell r="F167">
            <v>692128.2</v>
          </cell>
          <cell r="G167">
            <v>0</v>
          </cell>
          <cell r="J167">
            <v>382477.76</v>
          </cell>
          <cell r="K167">
            <v>382477.7</v>
          </cell>
          <cell r="L167">
            <v>382477.76</v>
          </cell>
          <cell r="M167">
            <v>382477.76</v>
          </cell>
          <cell r="N167">
            <v>382477.76</v>
          </cell>
          <cell r="O167">
            <v>382477.62</v>
          </cell>
          <cell r="P167">
            <v>2986994.5599999996</v>
          </cell>
          <cell r="R167" t="str">
            <v>F42810C</v>
          </cell>
          <cell r="S167">
            <v>2986994.56</v>
          </cell>
          <cell r="T167">
            <v>2986994.5599999996</v>
          </cell>
        </row>
        <row r="168">
          <cell r="A168" t="str">
            <v>F42900C</v>
          </cell>
          <cell r="B168" t="str">
            <v>(LESS) AMORT. OF PREMIUM ON DEBT-CREDIT</v>
          </cell>
          <cell r="C168">
            <v>-25272.94</v>
          </cell>
          <cell r="D168">
            <v>-2106.0700000000002</v>
          </cell>
          <cell r="E168">
            <v>-2106.09</v>
          </cell>
          <cell r="F168">
            <v>-2106.0700000000002</v>
          </cell>
          <cell r="G168">
            <v>-2106.08</v>
          </cell>
          <cell r="H168">
            <v>-2106.08</v>
          </cell>
          <cell r="I168">
            <v>-2106.08</v>
          </cell>
          <cell r="J168">
            <v>-2106.08</v>
          </cell>
          <cell r="K168">
            <v>-2106.0700000000002</v>
          </cell>
          <cell r="L168">
            <v>-2106.09</v>
          </cell>
          <cell r="M168">
            <v>-2106.09</v>
          </cell>
          <cell r="N168">
            <v>-2106.09</v>
          </cell>
          <cell r="O168">
            <v>-2106.0500000000002</v>
          </cell>
          <cell r="P168">
            <v>-25272.94</v>
          </cell>
          <cell r="R168" t="str">
            <v>F42900C</v>
          </cell>
          <cell r="S168">
            <v>-25272.94</v>
          </cell>
          <cell r="T168">
            <v>-50545.88</v>
          </cell>
        </row>
        <row r="169">
          <cell r="A169" t="str">
            <v>F43000C</v>
          </cell>
          <cell r="B169" t="str">
            <v>INTEREST ON DEBT TO ASSOC. COMPANIES</v>
          </cell>
          <cell r="C169">
            <v>40912300.780000001</v>
          </cell>
          <cell r="D169">
            <v>3031670.15</v>
          </cell>
          <cell r="E169">
            <v>3031670.15</v>
          </cell>
          <cell r="F169">
            <v>3011461.3</v>
          </cell>
          <cell r="G169">
            <v>2932787.83</v>
          </cell>
          <cell r="H169">
            <v>2932787.83</v>
          </cell>
          <cell r="I169">
            <v>2823805.41</v>
          </cell>
          <cell r="J169">
            <v>2862420.51</v>
          </cell>
          <cell r="K169">
            <v>2862420.51</v>
          </cell>
          <cell r="L169">
            <v>2849600.8</v>
          </cell>
          <cell r="M169">
            <v>2787144.49</v>
          </cell>
          <cell r="N169">
            <v>2787144.49</v>
          </cell>
          <cell r="O169">
            <v>2861444.55</v>
          </cell>
          <cell r="P169">
            <v>34774358.019999996</v>
          </cell>
          <cell r="R169" t="str">
            <v>F43000C</v>
          </cell>
          <cell r="S169">
            <v>34774358.019999996</v>
          </cell>
          <cell r="T169">
            <v>75686658.799999997</v>
          </cell>
        </row>
        <row r="170">
          <cell r="A170" t="str">
            <v>F43100C</v>
          </cell>
          <cell r="B170" t="str">
            <v>OTHER INTEREST EXPENSE</v>
          </cell>
          <cell r="C170">
            <v>12932621.279999999</v>
          </cell>
          <cell r="D170">
            <v>1357345.93</v>
          </cell>
          <cell r="E170">
            <v>1472755.24</v>
          </cell>
          <cell r="F170">
            <v>934242</v>
          </cell>
          <cell r="G170">
            <v>714341.8</v>
          </cell>
          <cell r="H170">
            <v>1030158.76</v>
          </cell>
          <cell r="I170">
            <v>1161120.1399999999</v>
          </cell>
          <cell r="J170">
            <v>644447.93999999994</v>
          </cell>
          <cell r="K170">
            <v>9550430.7100000009</v>
          </cell>
          <cell r="L170">
            <v>5360605.29</v>
          </cell>
          <cell r="M170">
            <v>5435335</v>
          </cell>
          <cell r="N170">
            <v>5541851</v>
          </cell>
          <cell r="O170">
            <v>6366526.3899999997</v>
          </cell>
          <cell r="P170">
            <v>39569160.199999996</v>
          </cell>
          <cell r="R170" t="str">
            <v>F43100C</v>
          </cell>
          <cell r="S170">
            <v>39569160.200000003</v>
          </cell>
          <cell r="T170">
            <v>52501781.479999997</v>
          </cell>
        </row>
        <row r="171">
          <cell r="A171" t="str">
            <v>F43200C</v>
          </cell>
          <cell r="B171" t="str">
            <v>(LESS) ALLOW FOR BORROWED FUNDS USED DURING CON-CR</v>
          </cell>
          <cell r="C171">
            <v>-1600044.84</v>
          </cell>
          <cell r="D171">
            <v>-131061.5</v>
          </cell>
          <cell r="E171">
            <v>-121439.29</v>
          </cell>
          <cell r="F171">
            <v>-99200.65</v>
          </cell>
          <cell r="G171">
            <v>-747600.86</v>
          </cell>
          <cell r="H171">
            <v>-756612.08</v>
          </cell>
          <cell r="I171">
            <v>-640916.81000000006</v>
          </cell>
          <cell r="J171">
            <v>-157562.45000000001</v>
          </cell>
          <cell r="K171">
            <v>-153538.10999999999</v>
          </cell>
          <cell r="L171">
            <v>-149008.82999999999</v>
          </cell>
          <cell r="M171">
            <v>-172179.66</v>
          </cell>
          <cell r="N171">
            <v>-159381.57</v>
          </cell>
          <cell r="O171">
            <v>-169786.4</v>
          </cell>
          <cell r="P171">
            <v>-3458288.21</v>
          </cell>
          <cell r="R171" t="str">
            <v>F43200C</v>
          </cell>
          <cell r="S171">
            <v>-3458288.21</v>
          </cell>
          <cell r="T171">
            <v>-5058333.05</v>
          </cell>
        </row>
        <row r="172">
          <cell r="A172" t="str">
            <v>F43700C</v>
          </cell>
          <cell r="B172" t="str">
            <v>DIVIDENDS DECLARED - PREFERRED STOCK (A</v>
          </cell>
          <cell r="C172">
            <v>6582168.4000000004</v>
          </cell>
          <cell r="P172">
            <v>0</v>
          </cell>
          <cell r="T172">
            <v>6582168.4000000004</v>
          </cell>
        </row>
        <row r="173">
          <cell r="A173" t="str">
            <v>F43701C</v>
          </cell>
          <cell r="B173" t="str">
            <v>DIVIDENDS DECLARED - PREFERRED STOCK (ACCOUNT 437)</v>
          </cell>
          <cell r="C173">
            <v>0</v>
          </cell>
          <cell r="D173">
            <v>548514.03</v>
          </cell>
          <cell r="E173">
            <v>548514.03</v>
          </cell>
          <cell r="F173">
            <v>548514.04</v>
          </cell>
          <cell r="G173">
            <v>548514.03</v>
          </cell>
          <cell r="H173">
            <v>548514.03</v>
          </cell>
          <cell r="I173">
            <v>548514.04</v>
          </cell>
          <cell r="J173">
            <v>548514.03</v>
          </cell>
          <cell r="K173">
            <v>548514.03</v>
          </cell>
          <cell r="L173">
            <v>548514.04</v>
          </cell>
          <cell r="M173">
            <v>548514.03</v>
          </cell>
          <cell r="N173">
            <v>548514.03</v>
          </cell>
          <cell r="O173">
            <v>548514.04</v>
          </cell>
          <cell r="P173">
            <v>6582168.4000000013</v>
          </cell>
          <cell r="R173" t="str">
            <v>F43701C</v>
          </cell>
          <cell r="S173">
            <v>6582168.4000000004</v>
          </cell>
          <cell r="T173">
            <v>6582168.4000000013</v>
          </cell>
        </row>
        <row r="174">
          <cell r="A174" t="str">
            <v>F43800C</v>
          </cell>
          <cell r="B174" t="str">
            <v>DIVIDENDS DECLARED - COMMON STOCK (ACCO</v>
          </cell>
          <cell r="C174">
            <v>447700117.51999998</v>
          </cell>
          <cell r="P174">
            <v>0</v>
          </cell>
          <cell r="T174">
            <v>447700117.51999998</v>
          </cell>
        </row>
        <row r="175">
          <cell r="A175" t="str">
            <v>F44000C</v>
          </cell>
          <cell r="B175" t="str">
            <v>RESIDENTIAL SALES</v>
          </cell>
          <cell r="C175">
            <v>-636898770</v>
          </cell>
          <cell r="D175">
            <v>-62271168</v>
          </cell>
          <cell r="E175">
            <v>-58519793</v>
          </cell>
          <cell r="F175">
            <v>-48806221</v>
          </cell>
          <cell r="G175">
            <v>-51865637</v>
          </cell>
          <cell r="H175">
            <v>-46262412</v>
          </cell>
          <cell r="I175">
            <v>-47115127</v>
          </cell>
          <cell r="J175">
            <v>-56784150</v>
          </cell>
          <cell r="K175">
            <v>-58096075</v>
          </cell>
          <cell r="L175">
            <v>-60799111</v>
          </cell>
          <cell r="M175">
            <v>-55959524</v>
          </cell>
          <cell r="N175">
            <v>-58051454</v>
          </cell>
          <cell r="O175">
            <v>-57906139</v>
          </cell>
          <cell r="P175">
            <v>-662436811</v>
          </cell>
          <cell r="R175" t="str">
            <v>F44000C</v>
          </cell>
          <cell r="S175">
            <v>-662436811</v>
          </cell>
          <cell r="T175">
            <v>-1299335581</v>
          </cell>
        </row>
        <row r="176">
          <cell r="A176" t="str">
            <v>F44200C</v>
          </cell>
          <cell r="B176" t="str">
            <v>COMMERCIAL AND INDUSTRIAL SALES</v>
          </cell>
          <cell r="C176">
            <v>-875844874</v>
          </cell>
          <cell r="D176">
            <v>-53867887</v>
          </cell>
          <cell r="E176">
            <v>-51699448</v>
          </cell>
          <cell r="F176">
            <v>-50866587</v>
          </cell>
          <cell r="G176">
            <v>-51554023</v>
          </cell>
          <cell r="H176">
            <v>-57947205</v>
          </cell>
          <cell r="I176">
            <v>-74227908</v>
          </cell>
          <cell r="J176">
            <v>-78689117</v>
          </cell>
          <cell r="K176">
            <v>-71055984</v>
          </cell>
          <cell r="L176">
            <v>-72987438</v>
          </cell>
          <cell r="M176">
            <v>-63816685</v>
          </cell>
          <cell r="N176">
            <v>-65149879</v>
          </cell>
          <cell r="O176">
            <v>-54266880</v>
          </cell>
          <cell r="P176">
            <v>-746129041</v>
          </cell>
          <cell r="R176" t="str">
            <v>F44200C</v>
          </cell>
          <cell r="S176">
            <v>-746129041</v>
          </cell>
          <cell r="T176">
            <v>-1621973915</v>
          </cell>
        </row>
        <row r="177">
          <cell r="A177" t="str">
            <v>F44400C</v>
          </cell>
          <cell r="B177" t="str">
            <v>PUBLIC STREET AND HIGHWAY LIGHTING</v>
          </cell>
          <cell r="C177">
            <v>-7652527</v>
          </cell>
          <cell r="D177">
            <v>-499005</v>
          </cell>
          <cell r="E177">
            <v>-461502</v>
          </cell>
          <cell r="F177">
            <v>-648601</v>
          </cell>
          <cell r="G177">
            <v>-582035</v>
          </cell>
          <cell r="H177">
            <v>-475364</v>
          </cell>
          <cell r="I177">
            <v>-524764</v>
          </cell>
          <cell r="J177">
            <v>-520187</v>
          </cell>
          <cell r="K177">
            <v>-542051</v>
          </cell>
          <cell r="L177">
            <v>-627235</v>
          </cell>
          <cell r="M177">
            <v>-503317</v>
          </cell>
          <cell r="N177">
            <v>-608569</v>
          </cell>
          <cell r="O177">
            <v>-582091</v>
          </cell>
          <cell r="P177">
            <v>-6574721</v>
          </cell>
          <cell r="R177" t="str">
            <v>F44400C</v>
          </cell>
          <cell r="S177">
            <v>-6574721</v>
          </cell>
          <cell r="T177">
            <v>-14227248</v>
          </cell>
        </row>
        <row r="178">
          <cell r="A178" t="str">
            <v>F44700C</v>
          </cell>
          <cell r="B178" t="str">
            <v>SALES FOR RESALE</v>
          </cell>
          <cell r="C178">
            <v>-15446118.970000001</v>
          </cell>
          <cell r="D178">
            <v>-99837.75</v>
          </cell>
          <cell r="E178">
            <v>-39</v>
          </cell>
          <cell r="F178">
            <v>-249217.14</v>
          </cell>
          <cell r="G178">
            <v>-216221.5</v>
          </cell>
          <cell r="H178">
            <v>-132782.5</v>
          </cell>
          <cell r="I178">
            <v>-46964</v>
          </cell>
          <cell r="J178">
            <v>-109786.5</v>
          </cell>
          <cell r="K178">
            <v>-2313724.56</v>
          </cell>
          <cell r="L178">
            <v>-4250021.67</v>
          </cell>
          <cell r="M178">
            <v>-1731861</v>
          </cell>
          <cell r="N178">
            <v>-910565.4</v>
          </cell>
          <cell r="O178">
            <v>-164353.5</v>
          </cell>
          <cell r="P178">
            <v>-10225374.520000001</v>
          </cell>
          <cell r="R178" t="str">
            <v>F44700C</v>
          </cell>
          <cell r="S178">
            <v>-10225374.52</v>
          </cell>
          <cell r="T178">
            <v>-25671493.490000002</v>
          </cell>
        </row>
        <row r="179">
          <cell r="A179" t="str">
            <v>F44701C</v>
          </cell>
          <cell r="B179" t="str">
            <v>COST RECOVERY FROM ISO/PX</v>
          </cell>
          <cell r="C179">
            <v>-499663397.75</v>
          </cell>
          <cell r="D179">
            <v>-34956775.939999998</v>
          </cell>
          <cell r="E179">
            <v>-27191505.66</v>
          </cell>
          <cell r="F179">
            <v>-22028153.809999999</v>
          </cell>
          <cell r="G179">
            <v>-38685790.189999998</v>
          </cell>
          <cell r="H179">
            <v>-30349575.440000001</v>
          </cell>
          <cell r="I179">
            <v>-22344327.91</v>
          </cell>
          <cell r="J179">
            <v>-26831231.199999999</v>
          </cell>
          <cell r="K179">
            <v>-26569738.739999998</v>
          </cell>
          <cell r="L179">
            <v>-21856636.620000001</v>
          </cell>
          <cell r="M179">
            <v>-34542173.939999998</v>
          </cell>
          <cell r="N179">
            <v>-24284190.010000002</v>
          </cell>
          <cell r="O179">
            <v>-23026817.260000002</v>
          </cell>
          <cell r="P179">
            <v>-332666916.71999997</v>
          </cell>
          <cell r="R179" t="str">
            <v>F44701C</v>
          </cell>
          <cell r="S179">
            <v>-332666916.72000003</v>
          </cell>
          <cell r="T179">
            <v>-832330314.47000003</v>
          </cell>
        </row>
        <row r="180">
          <cell r="A180" t="str">
            <v>F45100C</v>
          </cell>
          <cell r="B180" t="str">
            <v>MISCELLANEOUS SERVICE REVENUES</v>
          </cell>
          <cell r="C180">
            <v>-25041348.719999999</v>
          </cell>
          <cell r="D180">
            <v>-1605786.25</v>
          </cell>
          <cell r="E180">
            <v>-1799300.07</v>
          </cell>
          <cell r="F180">
            <v>-1726468</v>
          </cell>
          <cell r="G180">
            <v>-1791762</v>
          </cell>
          <cell r="H180">
            <v>-1862895</v>
          </cell>
          <cell r="I180">
            <v>-2033948</v>
          </cell>
          <cell r="J180">
            <v>-2178548.13</v>
          </cell>
          <cell r="K180">
            <v>-2024548</v>
          </cell>
          <cell r="L180">
            <v>-2108870.83</v>
          </cell>
          <cell r="M180">
            <v>-1825393.88</v>
          </cell>
          <cell r="N180">
            <v>-1880651</v>
          </cell>
          <cell r="O180">
            <v>-2157547.21</v>
          </cell>
          <cell r="P180">
            <v>-22995718.370000001</v>
          </cell>
          <cell r="R180" t="str">
            <v>F45100C</v>
          </cell>
          <cell r="S180">
            <v>-22995718.370000001</v>
          </cell>
          <cell r="T180">
            <v>-48037067.090000004</v>
          </cell>
        </row>
        <row r="181">
          <cell r="A181" t="str">
            <v>F45400C</v>
          </cell>
          <cell r="B181" t="str">
            <v>RENT FROM ELECTRIC PROPERTY</v>
          </cell>
          <cell r="C181">
            <v>0</v>
          </cell>
          <cell r="F181">
            <v>26.47</v>
          </cell>
          <cell r="G181">
            <v>513.01</v>
          </cell>
          <cell r="H181">
            <v>243.3</v>
          </cell>
          <cell r="I181">
            <v>570</v>
          </cell>
          <cell r="J181">
            <v>114.01</v>
          </cell>
          <cell r="K181">
            <v>171.02</v>
          </cell>
          <cell r="L181">
            <v>-231.49</v>
          </cell>
          <cell r="M181">
            <v>0</v>
          </cell>
          <cell r="N181">
            <v>85.53</v>
          </cell>
          <cell r="O181">
            <v>0</v>
          </cell>
          <cell r="P181">
            <v>1491.85</v>
          </cell>
          <cell r="R181" t="str">
            <v>F45400C</v>
          </cell>
          <cell r="S181">
            <v>1491.85</v>
          </cell>
          <cell r="T181">
            <v>1491.85</v>
          </cell>
        </row>
        <row r="182">
          <cell r="A182" t="str">
            <v>F45400E</v>
          </cell>
          <cell r="B182" t="str">
            <v>RENT FROM ELECTRIC PROPERTY</v>
          </cell>
          <cell r="C182">
            <v>-4515149.5199999996</v>
          </cell>
          <cell r="D182">
            <v>-266393.14</v>
          </cell>
          <cell r="E182">
            <v>-947663.85</v>
          </cell>
          <cell r="F182">
            <v>1869.76</v>
          </cell>
          <cell r="G182">
            <v>-42303.41</v>
          </cell>
          <cell r="H182">
            <v>-15743.76</v>
          </cell>
          <cell r="I182">
            <v>-216844.95</v>
          </cell>
          <cell r="J182">
            <v>-39157.769999999997</v>
          </cell>
          <cell r="K182">
            <v>-48980.08</v>
          </cell>
          <cell r="L182">
            <v>-28163.599999999999</v>
          </cell>
          <cell r="M182">
            <v>-388477.57</v>
          </cell>
          <cell r="N182">
            <v>-71295.399999999994</v>
          </cell>
          <cell r="O182">
            <v>-49390.78</v>
          </cell>
          <cell r="P182">
            <v>-2112544.5499999998</v>
          </cell>
          <cell r="R182" t="str">
            <v>F45400E</v>
          </cell>
          <cell r="S182">
            <v>-2112544.5499999998</v>
          </cell>
          <cell r="T182">
            <v>-6627694.0699999994</v>
          </cell>
        </row>
        <row r="183">
          <cell r="A183" t="str">
            <v>F45600C</v>
          </cell>
          <cell r="B183" t="str">
            <v>OTHER ELECTRIC REVENUES</v>
          </cell>
          <cell r="C183">
            <v>-301401809.69999999</v>
          </cell>
          <cell r="D183">
            <v>-13677629.51</v>
          </cell>
          <cell r="E183">
            <v>-510367.43</v>
          </cell>
          <cell r="F183">
            <v>-11520946.27</v>
          </cell>
          <cell r="G183">
            <v>-22945866.670000002</v>
          </cell>
          <cell r="H183">
            <v>29951967</v>
          </cell>
          <cell r="I183">
            <v>-1632925.61</v>
          </cell>
          <cell r="J183">
            <v>2426055.92</v>
          </cell>
          <cell r="K183">
            <v>-7456163.6200000001</v>
          </cell>
          <cell r="L183">
            <v>-14059137.91</v>
          </cell>
          <cell r="M183">
            <v>-17819645.969999999</v>
          </cell>
          <cell r="N183">
            <v>11707854.41</v>
          </cell>
          <cell r="O183">
            <v>4684259.28</v>
          </cell>
          <cell r="P183">
            <v>-40852546.379999995</v>
          </cell>
          <cell r="R183" t="str">
            <v>F45600C</v>
          </cell>
          <cell r="S183">
            <v>-40852546.380000003</v>
          </cell>
          <cell r="T183">
            <v>-342254356.07999998</v>
          </cell>
        </row>
        <row r="184">
          <cell r="A184" t="str">
            <v>F45600E</v>
          </cell>
          <cell r="B184" t="str">
            <v>OTHER ELECTRIC REVENUES</v>
          </cell>
          <cell r="C184">
            <v>0</v>
          </cell>
          <cell r="N184">
            <v>0</v>
          </cell>
          <cell r="O184">
            <v>5740.8</v>
          </cell>
          <cell r="P184">
            <v>5740.8</v>
          </cell>
          <cell r="R184" t="str">
            <v>F45600E</v>
          </cell>
          <cell r="S184">
            <v>5740.8</v>
          </cell>
          <cell r="T184">
            <v>5740.8</v>
          </cell>
        </row>
        <row r="185">
          <cell r="A185" t="str">
            <v>F45601C</v>
          </cell>
          <cell r="B185" t="str">
            <v>OTHER ELECTRIC REVENUES</v>
          </cell>
          <cell r="F185">
            <v>789795.96</v>
          </cell>
          <cell r="G185">
            <v>568203.32999999996</v>
          </cell>
          <cell r="H185">
            <v>601172.64</v>
          </cell>
          <cell r="I185">
            <v>-4204920.43</v>
          </cell>
          <cell r="J185">
            <v>-3722046.19</v>
          </cell>
          <cell r="K185">
            <v>-2439827.9</v>
          </cell>
          <cell r="L185">
            <v>3567406.44</v>
          </cell>
          <cell r="M185">
            <v>-215415.42</v>
          </cell>
          <cell r="N185">
            <v>-349123.89</v>
          </cell>
          <cell r="O185">
            <v>-3281198.37</v>
          </cell>
          <cell r="P185">
            <v>-8685953.8300000001</v>
          </cell>
          <cell r="R185" t="str">
            <v>F45601C</v>
          </cell>
          <cell r="S185">
            <v>-8685953.8300000001</v>
          </cell>
          <cell r="T185">
            <v>-8685953.8300000001</v>
          </cell>
        </row>
        <row r="186">
          <cell r="A186" t="str">
            <v>F48000C</v>
          </cell>
          <cell r="B186" t="str">
            <v>RESIDENTIAL SALES</v>
          </cell>
          <cell r="C186">
            <v>-258426247</v>
          </cell>
          <cell r="D186">
            <v>-38496763</v>
          </cell>
          <cell r="E186">
            <v>-37862889</v>
          </cell>
          <cell r="F186">
            <v>-28479866</v>
          </cell>
          <cell r="G186">
            <v>-29802354</v>
          </cell>
          <cell r="H186">
            <v>-19882019</v>
          </cell>
          <cell r="I186">
            <v>-17429318</v>
          </cell>
          <cell r="J186">
            <v>-13681931</v>
          </cell>
          <cell r="K186">
            <v>-11341159</v>
          </cell>
          <cell r="L186">
            <v>-13098021</v>
          </cell>
          <cell r="M186">
            <v>-13071980</v>
          </cell>
          <cell r="N186">
            <v>-16189721</v>
          </cell>
          <cell r="O186">
            <v>-30719498</v>
          </cell>
          <cell r="P186">
            <v>-270055519</v>
          </cell>
          <cell r="R186" t="str">
            <v>F48000C</v>
          </cell>
          <cell r="S186">
            <v>-270055519</v>
          </cell>
          <cell r="T186">
            <v>-528481766</v>
          </cell>
        </row>
        <row r="187">
          <cell r="A187" t="str">
            <v>F48100C</v>
          </cell>
          <cell r="B187" t="str">
            <v>COMMERCIAL AND INDUSTRIAL SALES</v>
          </cell>
          <cell r="C187">
            <v>-104535512.09</v>
          </cell>
          <cell r="D187">
            <v>-11684204</v>
          </cell>
          <cell r="E187">
            <v>-11141097</v>
          </cell>
          <cell r="F187">
            <v>-11103433</v>
          </cell>
          <cell r="G187">
            <v>-9340054</v>
          </cell>
          <cell r="H187">
            <v>-8349834</v>
          </cell>
          <cell r="I187">
            <v>-7727457</v>
          </cell>
          <cell r="J187">
            <v>-7310641</v>
          </cell>
          <cell r="K187">
            <v>-6885313</v>
          </cell>
          <cell r="L187">
            <v>-8193850</v>
          </cell>
          <cell r="M187">
            <v>-8556740</v>
          </cell>
          <cell r="N187">
            <v>-8998362</v>
          </cell>
          <cell r="O187">
            <v>-11068968</v>
          </cell>
          <cell r="P187">
            <v>-110359953</v>
          </cell>
          <cell r="R187" t="str">
            <v>F48100C</v>
          </cell>
          <cell r="S187">
            <v>-110359953</v>
          </cell>
          <cell r="T187">
            <v>-214895465.09</v>
          </cell>
        </row>
        <row r="188">
          <cell r="A188" t="str">
            <v>F48300C</v>
          </cell>
          <cell r="B188" t="str">
            <v>SALES FOR RESALE</v>
          </cell>
          <cell r="C188">
            <v>-120070.14</v>
          </cell>
          <cell r="P188">
            <v>0</v>
          </cell>
          <cell r="T188">
            <v>-120070.14</v>
          </cell>
        </row>
        <row r="189">
          <cell r="A189" t="str">
            <v>F48400C</v>
          </cell>
          <cell r="B189" t="str">
            <v>INTERDEPARTMENTAL SALES</v>
          </cell>
          <cell r="C189">
            <v>-9621349</v>
          </cell>
          <cell r="D189">
            <v>-1081820</v>
          </cell>
          <cell r="E189">
            <v>-1085539</v>
          </cell>
          <cell r="F189">
            <v>-8749667.2599999998</v>
          </cell>
          <cell r="G189">
            <v>9556264.8200000003</v>
          </cell>
          <cell r="H189">
            <v>-5720067</v>
          </cell>
          <cell r="I189">
            <v>0</v>
          </cell>
          <cell r="P189">
            <v>-7080828.4399999995</v>
          </cell>
          <cell r="R189" t="str">
            <v>F48400C</v>
          </cell>
          <cell r="S189">
            <v>-7080828.4400000004</v>
          </cell>
          <cell r="T189">
            <v>-16702177.439999999</v>
          </cell>
        </row>
        <row r="190">
          <cell r="A190" t="str">
            <v>F48401C</v>
          </cell>
          <cell r="B190" t="str">
            <v>GAS FUEL</v>
          </cell>
          <cell r="C190">
            <v>-108640560</v>
          </cell>
          <cell r="D190">
            <v>-9601995</v>
          </cell>
          <cell r="E190">
            <v>-7432835</v>
          </cell>
          <cell r="H190">
            <v>-3492801</v>
          </cell>
          <cell r="I190">
            <v>3443864</v>
          </cell>
          <cell r="P190">
            <v>-17083767</v>
          </cell>
          <cell r="R190" t="str">
            <v>F48401C</v>
          </cell>
          <cell r="S190">
            <v>-17083767</v>
          </cell>
          <cell r="T190">
            <v>-125724327</v>
          </cell>
        </row>
        <row r="191">
          <cell r="A191" t="str">
            <v>F48410C</v>
          </cell>
          <cell r="B191" t="str">
            <v>GAS FUEL</v>
          </cell>
          <cell r="F191">
            <v>781232</v>
          </cell>
          <cell r="G191">
            <v>-11537995</v>
          </cell>
          <cell r="H191">
            <v>5768997</v>
          </cell>
          <cell r="I191">
            <v>-3482050</v>
          </cell>
          <cell r="L191">
            <v>-891195</v>
          </cell>
          <cell r="M191">
            <v>0</v>
          </cell>
          <cell r="P191">
            <v>-9361011</v>
          </cell>
          <cell r="R191" t="str">
            <v>F48410C</v>
          </cell>
          <cell r="S191">
            <v>-9361011</v>
          </cell>
          <cell r="T191">
            <v>-9361011</v>
          </cell>
        </row>
        <row r="192">
          <cell r="A192" t="str">
            <v>F48800C</v>
          </cell>
          <cell r="B192" t="str">
            <v>MISCELLANEOUS SERVICE REVENUES</v>
          </cell>
          <cell r="C192">
            <v>-4154331.19</v>
          </cell>
          <cell r="D192">
            <v>-410321</v>
          </cell>
          <cell r="E192">
            <v>-385000</v>
          </cell>
          <cell r="F192">
            <v>-399835</v>
          </cell>
          <cell r="G192">
            <v>-452635</v>
          </cell>
          <cell r="H192">
            <v>-357561</v>
          </cell>
          <cell r="I192">
            <v>-296108.93</v>
          </cell>
          <cell r="J192">
            <v>-323575</v>
          </cell>
          <cell r="K192">
            <v>-290272</v>
          </cell>
          <cell r="L192">
            <v>-310764</v>
          </cell>
          <cell r="M192">
            <v>-270742</v>
          </cell>
          <cell r="N192">
            <v>-286731</v>
          </cell>
          <cell r="O192">
            <v>-371048</v>
          </cell>
          <cell r="P192">
            <v>-4154592.93</v>
          </cell>
          <cell r="R192" t="str">
            <v>F48800C</v>
          </cell>
          <cell r="S192">
            <v>-4154592.93</v>
          </cell>
          <cell r="T192">
            <v>-8308924.1200000001</v>
          </cell>
        </row>
        <row r="193">
          <cell r="A193" t="str">
            <v>F48900C</v>
          </cell>
          <cell r="B193" t="str">
            <v>REV. FROM TRANS. OF GAS OF OTHERS</v>
          </cell>
          <cell r="C193">
            <v>-15825838</v>
          </cell>
          <cell r="D193">
            <v>-1546723</v>
          </cell>
          <cell r="E193">
            <v>-1168765</v>
          </cell>
          <cell r="F193">
            <v>-1806359</v>
          </cell>
          <cell r="G193">
            <v>-1310935</v>
          </cell>
          <cell r="H193">
            <v>-1270916</v>
          </cell>
          <cell r="I193">
            <v>-1654008</v>
          </cell>
          <cell r="J193">
            <v>-1999665</v>
          </cell>
          <cell r="K193">
            <v>-2048587</v>
          </cell>
          <cell r="L193">
            <v>-2101567</v>
          </cell>
          <cell r="M193">
            <v>-1985494</v>
          </cell>
          <cell r="N193">
            <v>-2024016</v>
          </cell>
          <cell r="O193">
            <v>-2121113</v>
          </cell>
          <cell r="P193">
            <v>-21038148</v>
          </cell>
          <cell r="R193" t="str">
            <v>F48900C</v>
          </cell>
          <cell r="S193">
            <v>-21038148</v>
          </cell>
          <cell r="T193">
            <v>-36863986</v>
          </cell>
        </row>
        <row r="194">
          <cell r="A194" t="str">
            <v>F49300C</v>
          </cell>
          <cell r="B194" t="str">
            <v>RENT FROM GAS PROPERTY</v>
          </cell>
          <cell r="C194">
            <v>-25848.28</v>
          </cell>
          <cell r="D194">
            <v>-2179.58</v>
          </cell>
          <cell r="E194">
            <v>-2105.06</v>
          </cell>
          <cell r="F194">
            <v>3000</v>
          </cell>
          <cell r="G194">
            <v>0</v>
          </cell>
          <cell r="H194">
            <v>0</v>
          </cell>
          <cell r="I194">
            <v>-8420.24</v>
          </cell>
          <cell r="J194">
            <v>-2105.06</v>
          </cell>
          <cell r="K194">
            <v>-2105.06</v>
          </cell>
          <cell r="L194">
            <v>-2105.06</v>
          </cell>
          <cell r="M194">
            <v>-2105.06</v>
          </cell>
          <cell r="N194">
            <v>-11271.66</v>
          </cell>
          <cell r="O194">
            <v>-2531.06</v>
          </cell>
          <cell r="P194">
            <v>-31927.84</v>
          </cell>
          <cell r="R194" t="str">
            <v>F49300C</v>
          </cell>
          <cell r="S194">
            <v>-31927.84</v>
          </cell>
          <cell r="T194">
            <v>-57776.119999999995</v>
          </cell>
        </row>
        <row r="195">
          <cell r="A195" t="str">
            <v>F49500C</v>
          </cell>
          <cell r="B195" t="str">
            <v>OTHER GAS REVENUES</v>
          </cell>
          <cell r="C195">
            <v>8426054.9900000002</v>
          </cell>
          <cell r="D195">
            <v>17551936.460000001</v>
          </cell>
          <cell r="E195">
            <v>19452991.84</v>
          </cell>
          <cell r="F195">
            <v>12042908.51</v>
          </cell>
          <cell r="G195">
            <v>14256278.039999999</v>
          </cell>
          <cell r="H195">
            <v>-7178724.9699999997</v>
          </cell>
          <cell r="I195">
            <v>-1916935.46</v>
          </cell>
          <cell r="J195">
            <v>-3760962.35</v>
          </cell>
          <cell r="K195">
            <v>-9789313.3599999994</v>
          </cell>
          <cell r="L195">
            <v>-2247682.9700000002</v>
          </cell>
          <cell r="M195">
            <v>31349.1</v>
          </cell>
          <cell r="N195">
            <v>-12394441.640000001</v>
          </cell>
          <cell r="O195">
            <v>-2737132.72</v>
          </cell>
          <cell r="P195">
            <v>23310270.479999997</v>
          </cell>
          <cell r="R195" t="str">
            <v>F49500C</v>
          </cell>
          <cell r="S195">
            <v>23310270.479999997</v>
          </cell>
          <cell r="T195">
            <v>31736325.469999999</v>
          </cell>
        </row>
        <row r="196">
          <cell r="A196" t="str">
            <v>F50000E</v>
          </cell>
          <cell r="B196" t="str">
            <v>OPERATION SUPERVISION AND ENGINEERING</v>
          </cell>
          <cell r="C196">
            <v>1810879.84</v>
          </cell>
          <cell r="D196">
            <v>96548.39</v>
          </cell>
          <cell r="E196">
            <v>304018.43</v>
          </cell>
          <cell r="F196">
            <v>87945.64</v>
          </cell>
          <cell r="G196">
            <v>42499.08</v>
          </cell>
          <cell r="H196">
            <v>26357.11</v>
          </cell>
          <cell r="I196">
            <v>7262.54</v>
          </cell>
          <cell r="J196">
            <v>12457.66</v>
          </cell>
          <cell r="K196">
            <v>21635.360000000001</v>
          </cell>
          <cell r="L196">
            <v>-11639.9</v>
          </cell>
          <cell r="M196">
            <v>10631.55</v>
          </cell>
          <cell r="N196">
            <v>-2583.63</v>
          </cell>
          <cell r="O196">
            <v>377232.82</v>
          </cell>
          <cell r="P196">
            <v>972365.05</v>
          </cell>
          <cell r="R196" t="str">
            <v>F50000E</v>
          </cell>
          <cell r="S196">
            <v>972365.05</v>
          </cell>
          <cell r="T196">
            <v>2783244.89</v>
          </cell>
        </row>
        <row r="197">
          <cell r="A197" t="str">
            <v>F50010E</v>
          </cell>
          <cell r="B197" t="str">
            <v>OPERATION SUPERVISION AND ENGINEERING</v>
          </cell>
          <cell r="C197">
            <v>0</v>
          </cell>
          <cell r="F197">
            <v>67409.649999999994</v>
          </cell>
          <cell r="G197">
            <v>51124</v>
          </cell>
          <cell r="H197">
            <v>33803.599999999999</v>
          </cell>
          <cell r="I197">
            <v>11312.56</v>
          </cell>
          <cell r="J197">
            <v>-76.680000000000007</v>
          </cell>
          <cell r="K197">
            <v>12221.44</v>
          </cell>
          <cell r="L197">
            <v>6872.92</v>
          </cell>
          <cell r="M197">
            <v>19385.810000000001</v>
          </cell>
          <cell r="N197">
            <v>8913.9500000000007</v>
          </cell>
          <cell r="O197">
            <v>12344.48</v>
          </cell>
          <cell r="P197">
            <v>223311.73000000004</v>
          </cell>
          <cell r="R197" t="str">
            <v>F50010E</v>
          </cell>
          <cell r="S197">
            <v>223311.73</v>
          </cell>
          <cell r="T197">
            <v>223311.73000000004</v>
          </cell>
        </row>
        <row r="198">
          <cell r="A198" t="str">
            <v>F50020E</v>
          </cell>
          <cell r="B198" t="str">
            <v>OPERATION SUPERVISION AND ENGINEERING</v>
          </cell>
          <cell r="C198">
            <v>0</v>
          </cell>
          <cell r="F198">
            <v>6420.93</v>
          </cell>
          <cell r="G198">
            <v>1334.91</v>
          </cell>
          <cell r="P198">
            <v>7755.84</v>
          </cell>
          <cell r="R198" t="str">
            <v>F50020E</v>
          </cell>
          <cell r="S198">
            <v>7755.84</v>
          </cell>
          <cell r="T198">
            <v>7755.84</v>
          </cell>
        </row>
        <row r="199">
          <cell r="A199" t="str">
            <v>F50040E</v>
          </cell>
          <cell r="B199" t="str">
            <v>OPERATION SUPERVISION AND ENGINEERING</v>
          </cell>
          <cell r="C199">
            <v>0</v>
          </cell>
          <cell r="F199">
            <v>10.9</v>
          </cell>
          <cell r="G199">
            <v>608.29</v>
          </cell>
          <cell r="H199">
            <v>0</v>
          </cell>
          <cell r="I199">
            <v>1097.8699999999999</v>
          </cell>
          <cell r="J199">
            <v>438.56</v>
          </cell>
          <cell r="K199">
            <v>0</v>
          </cell>
          <cell r="L199">
            <v>10.66</v>
          </cell>
          <cell r="M199">
            <v>100.88</v>
          </cell>
          <cell r="P199">
            <v>2267.16</v>
          </cell>
          <cell r="R199" t="str">
            <v>F50040E</v>
          </cell>
          <cell r="S199">
            <v>2267.16</v>
          </cell>
          <cell r="T199">
            <v>2267.16</v>
          </cell>
        </row>
        <row r="200">
          <cell r="A200" t="str">
            <v>F50060E</v>
          </cell>
          <cell r="B200" t="str">
            <v>OPERATION SUPERVISION AND ENGINEERING</v>
          </cell>
          <cell r="C200">
            <v>0</v>
          </cell>
          <cell r="F200">
            <v>252973.68</v>
          </cell>
          <cell r="G200">
            <v>22171.94</v>
          </cell>
          <cell r="H200">
            <v>21661.360000000001</v>
          </cell>
          <cell r="I200">
            <v>9396.5400000000009</v>
          </cell>
          <cell r="J200">
            <v>7833.85</v>
          </cell>
          <cell r="K200">
            <v>9624.5499999999993</v>
          </cell>
          <cell r="L200">
            <v>6949.64</v>
          </cell>
          <cell r="M200">
            <v>5133.2</v>
          </cell>
          <cell r="N200">
            <v>3906.74</v>
          </cell>
          <cell r="O200">
            <v>3699.94</v>
          </cell>
          <cell r="P200">
            <v>343351.43999999994</v>
          </cell>
          <cell r="R200" t="str">
            <v>F50060E</v>
          </cell>
          <cell r="S200">
            <v>343351.44</v>
          </cell>
          <cell r="T200">
            <v>343351.43999999994</v>
          </cell>
        </row>
        <row r="201">
          <cell r="A201" t="str">
            <v>F50070E</v>
          </cell>
          <cell r="B201" t="str">
            <v>OPERATION SUPERVISION AND ENGINEERING</v>
          </cell>
          <cell r="C201">
            <v>0</v>
          </cell>
          <cell r="F201">
            <v>9481.85</v>
          </cell>
          <cell r="G201">
            <v>7870.07</v>
          </cell>
          <cell r="H201">
            <v>8950.35</v>
          </cell>
          <cell r="I201">
            <v>11345.17</v>
          </cell>
          <cell r="J201">
            <v>4083.45</v>
          </cell>
          <cell r="K201">
            <v>6078.21</v>
          </cell>
          <cell r="L201">
            <v>5559.02</v>
          </cell>
          <cell r="M201">
            <v>4344.6099999999997</v>
          </cell>
          <cell r="N201">
            <v>2916.15</v>
          </cell>
          <cell r="O201">
            <v>3263.84</v>
          </cell>
          <cell r="P201">
            <v>63892.72</v>
          </cell>
          <cell r="R201" t="str">
            <v>F50070E</v>
          </cell>
          <cell r="S201">
            <v>63892.72</v>
          </cell>
          <cell r="T201">
            <v>63892.72</v>
          </cell>
        </row>
        <row r="202">
          <cell r="A202" t="str">
            <v>F50100E</v>
          </cell>
          <cell r="B202" t="str">
            <v>FUEL</v>
          </cell>
          <cell r="C202">
            <v>153994565.53</v>
          </cell>
          <cell r="D202">
            <v>12214139.189999999</v>
          </cell>
          <cell r="E202">
            <v>9744927.7899999991</v>
          </cell>
          <cell r="F202">
            <v>9112656.5999999996</v>
          </cell>
          <cell r="G202">
            <v>12477288.23</v>
          </cell>
          <cell r="H202">
            <v>4934509.6100000003</v>
          </cell>
          <cell r="I202">
            <v>-586063.44999999995</v>
          </cell>
          <cell r="J202">
            <v>-19546.82</v>
          </cell>
          <cell r="K202">
            <v>93.3</v>
          </cell>
          <cell r="L202">
            <v>2045973.95</v>
          </cell>
          <cell r="M202">
            <v>0</v>
          </cell>
          <cell r="N202">
            <v>140.25</v>
          </cell>
          <cell r="O202">
            <v>34</v>
          </cell>
          <cell r="P202">
            <v>49924152.649999999</v>
          </cell>
          <cell r="R202" t="str">
            <v>F50100E</v>
          </cell>
          <cell r="S202">
            <v>49924152.650000006</v>
          </cell>
          <cell r="T202">
            <v>203918718.18000001</v>
          </cell>
        </row>
        <row r="203">
          <cell r="A203" t="str">
            <v>F50140E</v>
          </cell>
          <cell r="B203" t="str">
            <v>FUEL</v>
          </cell>
          <cell r="C203">
            <v>0</v>
          </cell>
          <cell r="F203">
            <v>598.59</v>
          </cell>
          <cell r="G203">
            <v>0</v>
          </cell>
          <cell r="H203">
            <v>0</v>
          </cell>
          <cell r="I203">
            <v>1005.12</v>
          </cell>
          <cell r="J203">
            <v>1325.72</v>
          </cell>
          <cell r="K203">
            <v>876.3</v>
          </cell>
          <cell r="L203">
            <v>447.8</v>
          </cell>
          <cell r="M203">
            <v>0</v>
          </cell>
          <cell r="N203">
            <v>1830.59</v>
          </cell>
          <cell r="O203">
            <v>200.01</v>
          </cell>
          <cell r="P203">
            <v>6284.130000000001</v>
          </cell>
          <cell r="R203" t="str">
            <v>F50140E</v>
          </cell>
          <cell r="S203">
            <v>6284.13</v>
          </cell>
          <cell r="T203">
            <v>6284.130000000001</v>
          </cell>
        </row>
        <row r="204">
          <cell r="A204" t="str">
            <v>F50200E</v>
          </cell>
          <cell r="B204" t="str">
            <v>STEAM EXPENSES</v>
          </cell>
          <cell r="C204">
            <v>4736389.26</v>
          </cell>
          <cell r="D204">
            <v>361426.7</v>
          </cell>
          <cell r="E204">
            <v>281391.08</v>
          </cell>
          <cell r="F204">
            <v>158963</v>
          </cell>
          <cell r="G204">
            <v>117732.79</v>
          </cell>
          <cell r="H204">
            <v>27778.21</v>
          </cell>
          <cell r="I204">
            <v>-94.38</v>
          </cell>
          <cell r="J204">
            <v>0</v>
          </cell>
          <cell r="K204">
            <v>1347.31</v>
          </cell>
          <cell r="L204">
            <v>-380.85</v>
          </cell>
          <cell r="M204">
            <v>7.7</v>
          </cell>
          <cell r="N204">
            <v>-1056.27</v>
          </cell>
          <cell r="O204">
            <v>113.85</v>
          </cell>
          <cell r="P204">
            <v>947229.14</v>
          </cell>
          <cell r="R204" t="str">
            <v>F50200E</v>
          </cell>
          <cell r="S204">
            <v>947229.14</v>
          </cell>
          <cell r="T204">
            <v>5683618.3999999994</v>
          </cell>
        </row>
        <row r="205">
          <cell r="A205" t="str">
            <v>F50210E</v>
          </cell>
          <cell r="B205" t="str">
            <v>STEAM EXPENSES</v>
          </cell>
          <cell r="C205">
            <v>0</v>
          </cell>
          <cell r="F205">
            <v>192497.69</v>
          </cell>
          <cell r="G205">
            <v>241547.09</v>
          </cell>
          <cell r="H205">
            <v>222193.64</v>
          </cell>
          <cell r="I205">
            <v>78672.38</v>
          </cell>
          <cell r="J205">
            <v>9972.67</v>
          </cell>
          <cell r="K205">
            <v>147.49</v>
          </cell>
          <cell r="L205">
            <v>6596.82</v>
          </cell>
          <cell r="M205">
            <v>629.05999999999995</v>
          </cell>
          <cell r="N205">
            <v>996.4</v>
          </cell>
          <cell r="O205">
            <v>422.6</v>
          </cell>
          <cell r="P205">
            <v>753675.84000000008</v>
          </cell>
          <cell r="R205" t="str">
            <v>F50210E</v>
          </cell>
          <cell r="S205">
            <v>753675.84</v>
          </cell>
          <cell r="T205">
            <v>753675.84000000008</v>
          </cell>
        </row>
        <row r="206">
          <cell r="A206" t="str">
            <v>F50500E</v>
          </cell>
          <cell r="B206" t="str">
            <v>ELECTRIC EXPENSES</v>
          </cell>
          <cell r="C206">
            <v>4511447.3600000003</v>
          </cell>
          <cell r="D206">
            <v>290877.46999999997</v>
          </cell>
          <cell r="E206">
            <v>278650.44</v>
          </cell>
          <cell r="F206">
            <v>299230.09000000003</v>
          </cell>
          <cell r="G206">
            <v>284478.21000000002</v>
          </cell>
          <cell r="H206">
            <v>195678.57</v>
          </cell>
          <cell r="I206">
            <v>105545.12</v>
          </cell>
          <cell r="J206">
            <v>6534.65</v>
          </cell>
          <cell r="K206">
            <v>5452.7</v>
          </cell>
          <cell r="L206">
            <v>-49.19</v>
          </cell>
          <cell r="M206">
            <v>3647.19</v>
          </cell>
          <cell r="N206">
            <v>2009.67</v>
          </cell>
          <cell r="O206">
            <v>5332.55</v>
          </cell>
          <cell r="P206">
            <v>1477387.4699999997</v>
          </cell>
          <cell r="R206" t="str">
            <v>F50500E</v>
          </cell>
          <cell r="S206">
            <v>1477387.47</v>
          </cell>
          <cell r="T206">
            <v>5988834.8300000001</v>
          </cell>
        </row>
        <row r="207">
          <cell r="A207" t="str">
            <v>F50510E</v>
          </cell>
          <cell r="B207" t="str">
            <v>ELECTRIC EXPENSES</v>
          </cell>
          <cell r="C207">
            <v>0</v>
          </cell>
          <cell r="F207">
            <v>4190.09</v>
          </cell>
          <cell r="G207">
            <v>2255.69</v>
          </cell>
          <cell r="H207">
            <v>2116.33</v>
          </cell>
          <cell r="I207">
            <v>1211.57</v>
          </cell>
          <cell r="J207">
            <v>4545.12</v>
          </cell>
          <cell r="K207">
            <v>3358.92</v>
          </cell>
          <cell r="L207">
            <v>2793.8</v>
          </cell>
          <cell r="M207">
            <v>376.71</v>
          </cell>
          <cell r="N207">
            <v>3540.56</v>
          </cell>
          <cell r="O207">
            <v>1129.74</v>
          </cell>
          <cell r="P207">
            <v>25518.530000000002</v>
          </cell>
          <cell r="R207" t="str">
            <v>F50510E</v>
          </cell>
          <cell r="S207">
            <v>25518.53</v>
          </cell>
          <cell r="T207">
            <v>25518.530000000002</v>
          </cell>
        </row>
        <row r="208">
          <cell r="A208" t="str">
            <v>F50530E</v>
          </cell>
          <cell r="B208" t="str">
            <v>ELECTRIC EXPENSES</v>
          </cell>
          <cell r="C208">
            <v>0</v>
          </cell>
          <cell r="F208">
            <v>13837.65</v>
          </cell>
          <cell r="G208">
            <v>11909.33</v>
          </cell>
          <cell r="H208">
            <v>8793.8700000000008</v>
          </cell>
          <cell r="I208">
            <v>0</v>
          </cell>
          <cell r="L208">
            <v>0</v>
          </cell>
          <cell r="M208">
            <v>12034.92</v>
          </cell>
          <cell r="P208">
            <v>46575.77</v>
          </cell>
          <cell r="R208" t="str">
            <v>F50530E</v>
          </cell>
          <cell r="S208">
            <v>46575.77</v>
          </cell>
          <cell r="T208">
            <v>46575.77</v>
          </cell>
        </row>
        <row r="209">
          <cell r="A209" t="str">
            <v>F50540E</v>
          </cell>
          <cell r="B209" t="str">
            <v>ELECTRIC EXPENSES</v>
          </cell>
          <cell r="C209">
            <v>0</v>
          </cell>
          <cell r="F209">
            <v>19748.13</v>
          </cell>
          <cell r="G209">
            <v>17568.25</v>
          </cell>
          <cell r="H209">
            <v>14964.26</v>
          </cell>
          <cell r="I209">
            <v>12069.61</v>
          </cell>
          <cell r="J209">
            <v>14639.74</v>
          </cell>
          <cell r="K209">
            <v>25414.29</v>
          </cell>
          <cell r="L209">
            <v>8221.8799999999992</v>
          </cell>
          <cell r="M209">
            <v>8242.7000000000007</v>
          </cell>
          <cell r="N209">
            <v>10949.78</v>
          </cell>
          <cell r="O209">
            <v>7900.47</v>
          </cell>
          <cell r="P209">
            <v>139719.11000000002</v>
          </cell>
          <cell r="R209" t="str">
            <v>F50540E</v>
          </cell>
          <cell r="S209">
            <v>139719.10999999999</v>
          </cell>
          <cell r="T209">
            <v>139719.11000000002</v>
          </cell>
        </row>
        <row r="210">
          <cell r="A210" t="str">
            <v>F50560E</v>
          </cell>
          <cell r="B210" t="str">
            <v>ELECTRIC EXPENSES</v>
          </cell>
          <cell r="C210">
            <v>0</v>
          </cell>
          <cell r="F210">
            <v>102328.32000000001</v>
          </cell>
          <cell r="G210">
            <v>64125.09</v>
          </cell>
          <cell r="H210">
            <v>41975.78</v>
          </cell>
          <cell r="I210">
            <v>13677.37</v>
          </cell>
          <cell r="J210">
            <v>175</v>
          </cell>
          <cell r="K210">
            <v>517.61</v>
          </cell>
          <cell r="P210">
            <v>222799.16999999998</v>
          </cell>
          <cell r="R210" t="str">
            <v>F50560E</v>
          </cell>
          <cell r="S210">
            <v>222799.17</v>
          </cell>
          <cell r="T210">
            <v>222799.16999999998</v>
          </cell>
        </row>
        <row r="211">
          <cell r="A211" t="str">
            <v>F50570E</v>
          </cell>
          <cell r="B211" t="str">
            <v>ELECTRIC EXPENSES</v>
          </cell>
          <cell r="C211">
            <v>0</v>
          </cell>
          <cell r="F211">
            <v>14325.22</v>
          </cell>
          <cell r="G211">
            <v>1300.94</v>
          </cell>
          <cell r="P211">
            <v>15626.16</v>
          </cell>
          <cell r="R211" t="str">
            <v>F50570E</v>
          </cell>
          <cell r="S211">
            <v>15626.16</v>
          </cell>
          <cell r="T211">
            <v>15626.16</v>
          </cell>
        </row>
        <row r="212">
          <cell r="A212" t="str">
            <v>F50600E</v>
          </cell>
          <cell r="B212" t="str">
            <v>MISCELLANEOUS STEAM POWER EXPENSES</v>
          </cell>
          <cell r="C212">
            <v>2000601.75</v>
          </cell>
          <cell r="D212">
            <v>97045.7</v>
          </cell>
          <cell r="E212">
            <v>115599.1</v>
          </cell>
          <cell r="F212">
            <v>130467.19</v>
          </cell>
          <cell r="G212">
            <v>300063.57</v>
          </cell>
          <cell r="H212">
            <v>93286.21</v>
          </cell>
          <cell r="I212">
            <v>181011.88</v>
          </cell>
          <cell r="J212">
            <v>6852.82</v>
          </cell>
          <cell r="K212">
            <v>28608.15</v>
          </cell>
          <cell r="L212">
            <v>859287.05</v>
          </cell>
          <cell r="M212">
            <v>19474.689999999999</v>
          </cell>
          <cell r="N212">
            <v>53839.22</v>
          </cell>
          <cell r="O212">
            <v>16377.98</v>
          </cell>
          <cell r="P212">
            <v>1901913.5599999998</v>
          </cell>
          <cell r="R212" t="str">
            <v>F50600E</v>
          </cell>
          <cell r="S212">
            <v>1901913.56</v>
          </cell>
          <cell r="T212">
            <v>3902515.3099999996</v>
          </cell>
        </row>
        <row r="213">
          <cell r="A213" t="str">
            <v>F50700E</v>
          </cell>
          <cell r="B213" t="str">
            <v>RENTS</v>
          </cell>
          <cell r="C213">
            <v>9392326.0500000007</v>
          </cell>
          <cell r="D213">
            <v>776999.67</v>
          </cell>
          <cell r="E213">
            <v>758333.54</v>
          </cell>
          <cell r="F213">
            <v>756833.54</v>
          </cell>
          <cell r="G213">
            <v>771386.54</v>
          </cell>
          <cell r="H213">
            <v>-85195</v>
          </cell>
          <cell r="I213">
            <v>18004.599999999999</v>
          </cell>
          <cell r="J213">
            <v>13053</v>
          </cell>
          <cell r="K213">
            <v>21611.88</v>
          </cell>
          <cell r="L213">
            <v>0</v>
          </cell>
          <cell r="M213">
            <v>13624</v>
          </cell>
          <cell r="N213">
            <v>13053</v>
          </cell>
          <cell r="O213">
            <v>13053</v>
          </cell>
          <cell r="P213">
            <v>3070757.77</v>
          </cell>
          <cell r="R213" t="str">
            <v>F50700E</v>
          </cell>
          <cell r="S213">
            <v>3070757.77</v>
          </cell>
          <cell r="T213">
            <v>12463083.82</v>
          </cell>
        </row>
        <row r="214">
          <cell r="A214" t="str">
            <v>F51000E</v>
          </cell>
          <cell r="B214" t="str">
            <v>MAINTENANCE SUPERVISION AND ENGINEERING</v>
          </cell>
          <cell r="C214">
            <v>2707809.81</v>
          </cell>
          <cell r="D214">
            <v>193153.5</v>
          </cell>
          <cell r="E214">
            <v>124489.49</v>
          </cell>
          <cell r="F214">
            <v>43174.97</v>
          </cell>
          <cell r="G214">
            <v>32356.799999999999</v>
          </cell>
          <cell r="H214">
            <v>60970.96</v>
          </cell>
          <cell r="I214">
            <v>26632.66</v>
          </cell>
          <cell r="J214">
            <v>2419.77</v>
          </cell>
          <cell r="K214">
            <v>18970.93</v>
          </cell>
          <cell r="L214">
            <v>2029.6</v>
          </cell>
          <cell r="M214">
            <v>8194.6200000000008</v>
          </cell>
          <cell r="N214">
            <v>-12758.11</v>
          </cell>
          <cell r="O214">
            <v>-7535.31</v>
          </cell>
          <cell r="P214">
            <v>492099.87999999995</v>
          </cell>
          <cell r="R214" t="str">
            <v>F51000E</v>
          </cell>
          <cell r="S214">
            <v>492099.88</v>
          </cell>
          <cell r="T214">
            <v>3199909.69</v>
          </cell>
        </row>
        <row r="215">
          <cell r="A215" t="str">
            <v>F51010E</v>
          </cell>
          <cell r="B215" t="str">
            <v>MAINTENANCE SUPERVISION AND ENGINEERING</v>
          </cell>
          <cell r="C215">
            <v>0</v>
          </cell>
          <cell r="F215">
            <v>74542.350000000006</v>
          </cell>
          <cell r="G215">
            <v>61342.22</v>
          </cell>
          <cell r="H215">
            <v>74898.36</v>
          </cell>
          <cell r="I215">
            <v>16849.66</v>
          </cell>
          <cell r="J215">
            <v>2213.1799999999998</v>
          </cell>
          <cell r="K215">
            <v>7662.35</v>
          </cell>
          <cell r="L215">
            <v>8845.7199999999993</v>
          </cell>
          <cell r="M215">
            <v>8492.1200000000008</v>
          </cell>
          <cell r="N215">
            <v>18059.25</v>
          </cell>
          <cell r="O215">
            <v>9032.7800000000007</v>
          </cell>
          <cell r="P215">
            <v>281937.99</v>
          </cell>
          <cell r="R215" t="str">
            <v>F51010E</v>
          </cell>
          <cell r="S215">
            <v>281937.99</v>
          </cell>
          <cell r="T215">
            <v>281937.99</v>
          </cell>
        </row>
        <row r="216">
          <cell r="A216" t="str">
            <v>F51020E</v>
          </cell>
          <cell r="B216" t="str">
            <v>MAINTENANCE SUPERVISION AND ENGINEERING</v>
          </cell>
          <cell r="C216">
            <v>0</v>
          </cell>
          <cell r="F216">
            <v>67683.39</v>
          </cell>
          <cell r="G216">
            <v>50737.58</v>
          </cell>
          <cell r="H216">
            <v>11681.57</v>
          </cell>
          <cell r="I216">
            <v>1045.69</v>
          </cell>
          <cell r="J216">
            <v>266.60000000000002</v>
          </cell>
          <cell r="K216">
            <v>3508.6</v>
          </cell>
          <cell r="L216">
            <v>1154.69</v>
          </cell>
          <cell r="M216">
            <v>2150.6</v>
          </cell>
          <cell r="N216">
            <v>0</v>
          </cell>
          <cell r="O216">
            <v>347.02</v>
          </cell>
          <cell r="P216">
            <v>138575.74000000002</v>
          </cell>
          <cell r="R216" t="str">
            <v>F51020E</v>
          </cell>
          <cell r="S216">
            <v>138575.74</v>
          </cell>
          <cell r="T216">
            <v>138575.74000000002</v>
          </cell>
        </row>
        <row r="217">
          <cell r="A217" t="str">
            <v>F51030E</v>
          </cell>
          <cell r="B217" t="str">
            <v>MAINTENANCE SUPERVISION AND ENGINEERING</v>
          </cell>
          <cell r="C217">
            <v>0</v>
          </cell>
          <cell r="F217">
            <v>887.91</v>
          </cell>
          <cell r="G217">
            <v>308.12</v>
          </cell>
          <cell r="H217">
            <v>132.47999999999999</v>
          </cell>
          <cell r="I217">
            <v>0</v>
          </cell>
          <cell r="L217">
            <v>19795.3</v>
          </cell>
          <cell r="M217">
            <v>0</v>
          </cell>
          <cell r="N217">
            <v>0</v>
          </cell>
          <cell r="O217">
            <v>645.01</v>
          </cell>
          <cell r="P217">
            <v>21768.819999999996</v>
          </cell>
          <cell r="R217" t="str">
            <v>F51030E</v>
          </cell>
          <cell r="S217">
            <v>21768.82</v>
          </cell>
          <cell r="T217">
            <v>21768.819999999996</v>
          </cell>
        </row>
        <row r="218">
          <cell r="A218" t="str">
            <v>F51100E</v>
          </cell>
          <cell r="B218" t="str">
            <v>MAINTENANCE OF STRUCTURES</v>
          </cell>
          <cell r="C218">
            <v>4929031.97</v>
          </cell>
          <cell r="D218">
            <v>358471.67999999999</v>
          </cell>
          <cell r="E218">
            <v>171446.31</v>
          </cell>
          <cell r="F218">
            <v>250427.42</v>
          </cell>
          <cell r="G218">
            <v>188006.53</v>
          </cell>
          <cell r="H218">
            <v>206763.97</v>
          </cell>
          <cell r="I218">
            <v>326678.89</v>
          </cell>
          <cell r="J218">
            <v>222785.4</v>
          </cell>
          <cell r="K218">
            <v>107554.15</v>
          </cell>
          <cell r="L218">
            <v>84971.86</v>
          </cell>
          <cell r="M218">
            <v>48287.46</v>
          </cell>
          <cell r="N218">
            <v>182968.47</v>
          </cell>
          <cell r="O218">
            <v>-3260825.04</v>
          </cell>
          <cell r="P218">
            <v>-1112462.8999999999</v>
          </cell>
          <cell r="R218" t="str">
            <v>F51100E</v>
          </cell>
          <cell r="S218">
            <v>-1112462.8999999999</v>
          </cell>
          <cell r="T218">
            <v>3816569.07</v>
          </cell>
        </row>
        <row r="219">
          <cell r="A219" t="str">
            <v>F51200E</v>
          </cell>
          <cell r="B219" t="str">
            <v>MAINTENANCE OF BOILER PLANT</v>
          </cell>
          <cell r="C219">
            <v>4901535.7</v>
          </cell>
          <cell r="D219">
            <v>355912</v>
          </cell>
          <cell r="E219">
            <v>201114.43</v>
          </cell>
          <cell r="F219">
            <v>391470.51</v>
          </cell>
          <cell r="G219">
            <v>287888.03000000003</v>
          </cell>
          <cell r="H219">
            <v>174650.51</v>
          </cell>
          <cell r="I219">
            <v>29347.58</v>
          </cell>
          <cell r="J219">
            <v>6157.51</v>
          </cell>
          <cell r="K219">
            <v>20188.88</v>
          </cell>
          <cell r="L219">
            <v>-1426.53</v>
          </cell>
          <cell r="M219">
            <v>18.16</v>
          </cell>
          <cell r="N219">
            <v>9027.35</v>
          </cell>
          <cell r="O219">
            <v>82807.520000000004</v>
          </cell>
          <cell r="P219">
            <v>1557155.95</v>
          </cell>
          <cell r="R219" t="str">
            <v>F51200E</v>
          </cell>
          <cell r="S219">
            <v>1557155.95</v>
          </cell>
          <cell r="T219">
            <v>6458691.6500000004</v>
          </cell>
        </row>
        <row r="220">
          <cell r="A220" t="str">
            <v>F51220E</v>
          </cell>
          <cell r="B220" t="str">
            <v>MAINTENANCE OF BOILER PLANT</v>
          </cell>
          <cell r="C220">
            <v>0</v>
          </cell>
          <cell r="F220">
            <v>6077.06</v>
          </cell>
          <cell r="G220">
            <v>6448.36</v>
          </cell>
          <cell r="H220">
            <v>1466.08</v>
          </cell>
          <cell r="I220">
            <v>2079.16</v>
          </cell>
          <cell r="J220">
            <v>812.69</v>
          </cell>
          <cell r="K220">
            <v>0</v>
          </cell>
          <cell r="L220">
            <v>4263.3500000000004</v>
          </cell>
          <cell r="M220">
            <v>0</v>
          </cell>
          <cell r="P220">
            <v>21146.699999999997</v>
          </cell>
          <cell r="R220" t="str">
            <v>F51220E</v>
          </cell>
          <cell r="S220">
            <v>21146.7</v>
          </cell>
          <cell r="T220">
            <v>21146.699999999997</v>
          </cell>
        </row>
        <row r="221">
          <cell r="A221" t="str">
            <v>F51300E</v>
          </cell>
          <cell r="B221" t="str">
            <v>MAINTENANCE OF ELECTRIC PLANT</v>
          </cell>
          <cell r="C221">
            <v>3036140.66</v>
          </cell>
          <cell r="D221">
            <v>262316.05</v>
          </cell>
          <cell r="E221">
            <v>152942.04999999999</v>
          </cell>
          <cell r="F221">
            <v>450622.95</v>
          </cell>
          <cell r="G221">
            <v>183490.22</v>
          </cell>
          <cell r="H221">
            <v>72353.38</v>
          </cell>
          <cell r="I221">
            <v>41674.06</v>
          </cell>
          <cell r="J221">
            <v>8961.6299999999992</v>
          </cell>
          <cell r="K221">
            <v>582.09</v>
          </cell>
          <cell r="L221">
            <v>7167.55</v>
          </cell>
          <cell r="M221">
            <v>3537.39</v>
          </cell>
          <cell r="N221">
            <v>4909.05</v>
          </cell>
          <cell r="O221">
            <v>5584.87</v>
          </cell>
          <cell r="P221">
            <v>1194141.29</v>
          </cell>
          <cell r="R221" t="str">
            <v>F51300E</v>
          </cell>
          <cell r="S221">
            <v>1194141.29</v>
          </cell>
          <cell r="T221">
            <v>4230281.95</v>
          </cell>
        </row>
        <row r="222">
          <cell r="A222" t="str">
            <v>F51320E</v>
          </cell>
          <cell r="B222" t="str">
            <v>MAINTENANCE OF ELECTRIC PLANT</v>
          </cell>
          <cell r="C222">
            <v>0</v>
          </cell>
          <cell r="F222">
            <v>12129.57</v>
          </cell>
          <cell r="G222">
            <v>6450.11</v>
          </cell>
          <cell r="H222">
            <v>2232.46</v>
          </cell>
          <cell r="I222">
            <v>12460.84</v>
          </cell>
          <cell r="N222">
            <v>0</v>
          </cell>
          <cell r="O222">
            <v>1633.13</v>
          </cell>
          <cell r="P222">
            <v>34906.109999999993</v>
          </cell>
          <cell r="R222" t="str">
            <v>F51320E</v>
          </cell>
          <cell r="S222">
            <v>34906.11</v>
          </cell>
          <cell r="T222">
            <v>34906.109999999993</v>
          </cell>
        </row>
        <row r="223">
          <cell r="A223" t="str">
            <v>F51400E</v>
          </cell>
          <cell r="B223" t="str">
            <v>MAINTENANCE OF MISCELLANEOUS STEAM PLANT</v>
          </cell>
          <cell r="C223">
            <v>943606.75</v>
          </cell>
          <cell r="D223">
            <v>26845.49</v>
          </cell>
          <cell r="E223">
            <v>69138.83</v>
          </cell>
          <cell r="F223">
            <v>22126.46</v>
          </cell>
          <cell r="G223">
            <v>31366.15</v>
          </cell>
          <cell r="H223">
            <v>20841.439999999999</v>
          </cell>
          <cell r="I223">
            <v>18472.07</v>
          </cell>
          <cell r="J223">
            <v>0</v>
          </cell>
          <cell r="K223">
            <v>4459.33</v>
          </cell>
          <cell r="L223">
            <v>-614.9</v>
          </cell>
          <cell r="M223">
            <v>0</v>
          </cell>
          <cell r="N223">
            <v>0</v>
          </cell>
          <cell r="O223">
            <v>416.66</v>
          </cell>
          <cell r="P223">
            <v>193051.53</v>
          </cell>
          <cell r="R223" t="str">
            <v>F51400E</v>
          </cell>
          <cell r="S223">
            <v>193051.53</v>
          </cell>
          <cell r="T223">
            <v>1136658.28</v>
          </cell>
        </row>
        <row r="224">
          <cell r="A224" t="str">
            <v>F51420E</v>
          </cell>
          <cell r="B224" t="str">
            <v>MAINTENANCE OF MISCELLANEOUS STEAM PLANT</v>
          </cell>
          <cell r="C224">
            <v>0</v>
          </cell>
          <cell r="H224">
            <v>78.2</v>
          </cell>
          <cell r="I224">
            <v>0</v>
          </cell>
          <cell r="P224">
            <v>78.2</v>
          </cell>
          <cell r="R224" t="str">
            <v>F51420E</v>
          </cell>
          <cell r="S224">
            <v>78.2</v>
          </cell>
          <cell r="T224">
            <v>78.2</v>
          </cell>
        </row>
        <row r="225">
          <cell r="A225" t="str">
            <v>F51700E</v>
          </cell>
          <cell r="B225" t="str">
            <v>OPERATION SUPERVISION AND ENGINEERING</v>
          </cell>
          <cell r="C225">
            <v>21808919.77</v>
          </cell>
          <cell r="D225">
            <v>1927293.44</v>
          </cell>
          <cell r="E225">
            <v>1174519.58</v>
          </cell>
          <cell r="F225">
            <v>1158559.6200000001</v>
          </cell>
          <cell r="G225">
            <v>1550128.05</v>
          </cell>
          <cell r="H225">
            <v>1301394.23</v>
          </cell>
          <cell r="I225">
            <v>1533470.73</v>
          </cell>
          <cell r="J225">
            <v>1294027.8999999999</v>
          </cell>
          <cell r="K225">
            <v>1478485.49</v>
          </cell>
          <cell r="L225">
            <v>790605.21</v>
          </cell>
          <cell r="M225">
            <v>988795.5</v>
          </cell>
          <cell r="N225">
            <v>2334789.44</v>
          </cell>
          <cell r="O225">
            <v>1795646.92</v>
          </cell>
          <cell r="P225">
            <v>17327716.109999999</v>
          </cell>
          <cell r="R225" t="str">
            <v>F51700E</v>
          </cell>
          <cell r="S225">
            <v>17327716.109999999</v>
          </cell>
          <cell r="T225">
            <v>39136635.879999995</v>
          </cell>
        </row>
        <row r="226">
          <cell r="A226" t="str">
            <v>F51800E</v>
          </cell>
          <cell r="B226" t="str">
            <v>FUEL</v>
          </cell>
          <cell r="C226">
            <v>19421127.789999999</v>
          </cell>
          <cell r="D226">
            <v>972450.44</v>
          </cell>
          <cell r="E226">
            <v>887683.92</v>
          </cell>
          <cell r="F226">
            <v>1398210.85</v>
          </cell>
          <cell r="G226">
            <v>878387.18</v>
          </cell>
          <cell r="H226">
            <v>1326365.73</v>
          </cell>
          <cell r="I226">
            <v>1635673.86</v>
          </cell>
          <cell r="J226">
            <v>1421640.97</v>
          </cell>
          <cell r="K226">
            <v>1746999.54</v>
          </cell>
          <cell r="L226">
            <v>1647043.65</v>
          </cell>
          <cell r="M226">
            <v>1745326.87</v>
          </cell>
          <cell r="N226">
            <v>1654700.11</v>
          </cell>
          <cell r="O226">
            <v>1676773.8</v>
          </cell>
          <cell r="P226">
            <v>16991256.920000002</v>
          </cell>
          <cell r="R226" t="str">
            <v>F51800E</v>
          </cell>
          <cell r="S226">
            <v>16991256.920000002</v>
          </cell>
          <cell r="T226">
            <v>36412384.710000001</v>
          </cell>
        </row>
        <row r="227">
          <cell r="A227" t="str">
            <v>F51900E</v>
          </cell>
          <cell r="B227" t="str">
            <v>COOLANTS AND WATER</v>
          </cell>
          <cell r="C227">
            <v>188131.1</v>
          </cell>
          <cell r="D227">
            <v>12322.4</v>
          </cell>
          <cell r="E227">
            <v>18861.71</v>
          </cell>
          <cell r="F227">
            <v>18158.349999999999</v>
          </cell>
          <cell r="G227">
            <v>7606.21</v>
          </cell>
          <cell r="H227">
            <v>14180.43</v>
          </cell>
          <cell r="I227">
            <v>15247.76</v>
          </cell>
          <cell r="J227">
            <v>8902.1299999999992</v>
          </cell>
          <cell r="K227">
            <v>15427.79</v>
          </cell>
          <cell r="L227">
            <v>10228.08</v>
          </cell>
          <cell r="M227">
            <v>25582.3</v>
          </cell>
          <cell r="N227">
            <v>9063.7099999999991</v>
          </cell>
          <cell r="O227">
            <v>3820.82</v>
          </cell>
          <cell r="P227">
            <v>159401.69</v>
          </cell>
          <cell r="R227" t="str">
            <v>F51900E</v>
          </cell>
          <cell r="S227">
            <v>159401.69</v>
          </cell>
          <cell r="T227">
            <v>347532.79000000004</v>
          </cell>
        </row>
        <row r="228">
          <cell r="A228" t="str">
            <v>F52000E</v>
          </cell>
          <cell r="B228" t="str">
            <v>STEAM EXPENSES</v>
          </cell>
          <cell r="C228">
            <v>10392384.76</v>
          </cell>
          <cell r="D228">
            <v>915781.67</v>
          </cell>
          <cell r="E228">
            <v>179257.26</v>
          </cell>
          <cell r="F228">
            <v>927031.51</v>
          </cell>
          <cell r="G228">
            <v>2328757.4500000002</v>
          </cell>
          <cell r="H228">
            <v>1503047.57</v>
          </cell>
          <cell r="I228">
            <v>564026.1</v>
          </cell>
          <cell r="J228">
            <v>850513.72</v>
          </cell>
          <cell r="K228">
            <v>40396.379999999997</v>
          </cell>
          <cell r="L228">
            <v>696659.27</v>
          </cell>
          <cell r="M228">
            <v>603864.6</v>
          </cell>
          <cell r="N228">
            <v>668341.71</v>
          </cell>
          <cell r="O228">
            <v>766587.31</v>
          </cell>
          <cell r="P228">
            <v>10044264.549999999</v>
          </cell>
          <cell r="R228" t="str">
            <v>F52000E</v>
          </cell>
          <cell r="S228">
            <v>10044264.549999999</v>
          </cell>
          <cell r="T228">
            <v>20436649.309999999</v>
          </cell>
        </row>
        <row r="229">
          <cell r="A229" t="str">
            <v>F52300E</v>
          </cell>
          <cell r="B229" t="str">
            <v>ELECTRIC EXPENSES</v>
          </cell>
          <cell r="C229">
            <v>2549590.0299999998</v>
          </cell>
          <cell r="D229">
            <v>222209.72</v>
          </cell>
          <cell r="E229">
            <v>-61487.93</v>
          </cell>
          <cell r="F229">
            <v>302567.28000000003</v>
          </cell>
          <cell r="G229">
            <v>387983.12</v>
          </cell>
          <cell r="H229">
            <v>271397.67</v>
          </cell>
          <cell r="I229">
            <v>87425.66</v>
          </cell>
          <cell r="J229">
            <v>105925.15</v>
          </cell>
          <cell r="K229">
            <v>219892.43</v>
          </cell>
          <cell r="L229">
            <v>216662.11</v>
          </cell>
          <cell r="M229">
            <v>186818.49</v>
          </cell>
          <cell r="N229">
            <v>200364.44</v>
          </cell>
          <cell r="O229">
            <v>243300.26</v>
          </cell>
          <cell r="P229">
            <v>2383058.4000000004</v>
          </cell>
          <cell r="R229" t="str">
            <v>F52300E</v>
          </cell>
          <cell r="S229">
            <v>2383058.4</v>
          </cell>
          <cell r="T229">
            <v>4932648.43</v>
          </cell>
        </row>
        <row r="230">
          <cell r="A230" t="str">
            <v>F52400E</v>
          </cell>
          <cell r="B230" t="str">
            <v>MISCELLANEOUS NUCLEAR POWER EXPENSES</v>
          </cell>
          <cell r="C230">
            <v>21070197.010000002</v>
          </cell>
          <cell r="D230">
            <v>1449034.2</v>
          </cell>
          <cell r="E230">
            <v>814608.35</v>
          </cell>
          <cell r="F230">
            <v>1700636.83</v>
          </cell>
          <cell r="G230">
            <v>1485411.91</v>
          </cell>
          <cell r="H230">
            <v>1353313.47</v>
          </cell>
          <cell r="I230">
            <v>1966131.7</v>
          </cell>
          <cell r="J230">
            <v>1368241.16</v>
          </cell>
          <cell r="K230">
            <v>1292446.77</v>
          </cell>
          <cell r="L230">
            <v>1482754.89</v>
          </cell>
          <cell r="M230">
            <v>1401284.97</v>
          </cell>
          <cell r="N230">
            <v>1943085.09</v>
          </cell>
          <cell r="O230">
            <v>3212569.56</v>
          </cell>
          <cell r="P230">
            <v>19469518.899999999</v>
          </cell>
          <cell r="R230" t="str">
            <v>F52400E</v>
          </cell>
          <cell r="S230">
            <v>19469518.900000002</v>
          </cell>
          <cell r="T230">
            <v>40539715.909999996</v>
          </cell>
        </row>
        <row r="231">
          <cell r="A231" t="str">
            <v>F52500E</v>
          </cell>
          <cell r="B231" t="str">
            <v>RENTS</v>
          </cell>
          <cell r="C231">
            <v>263640.76</v>
          </cell>
          <cell r="D231">
            <v>-6803.26</v>
          </cell>
          <cell r="E231">
            <v>-14145.44</v>
          </cell>
          <cell r="F231">
            <v>28651.7</v>
          </cell>
          <cell r="G231">
            <v>25936.49</v>
          </cell>
          <cell r="H231">
            <v>17860.45</v>
          </cell>
          <cell r="I231">
            <v>34308.800000000003</v>
          </cell>
          <cell r="J231">
            <v>18.43</v>
          </cell>
          <cell r="K231">
            <v>20.16</v>
          </cell>
          <cell r="L231">
            <v>28560.84</v>
          </cell>
          <cell r="M231">
            <v>-617.99</v>
          </cell>
          <cell r="N231">
            <v>3563.17</v>
          </cell>
          <cell r="O231">
            <v>85978.47</v>
          </cell>
          <cell r="P231">
            <v>203331.82</v>
          </cell>
          <cell r="R231" t="str">
            <v>F52500E</v>
          </cell>
          <cell r="S231">
            <v>203331.82</v>
          </cell>
          <cell r="T231">
            <v>466972.58</v>
          </cell>
        </row>
        <row r="232">
          <cell r="A232" t="str">
            <v>F52800E</v>
          </cell>
          <cell r="B232" t="str">
            <v>MAINTENANCE SUPERVISION AND ENGINEERING</v>
          </cell>
          <cell r="C232">
            <v>6876841.0199999996</v>
          </cell>
          <cell r="D232">
            <v>514335.27</v>
          </cell>
          <cell r="E232">
            <v>1722812.44</v>
          </cell>
          <cell r="F232">
            <v>925774.1</v>
          </cell>
          <cell r="G232">
            <v>776137.77</v>
          </cell>
          <cell r="H232">
            <v>425718.62</v>
          </cell>
          <cell r="I232">
            <v>-411369.68</v>
          </cell>
          <cell r="J232">
            <v>585749.28</v>
          </cell>
          <cell r="K232">
            <v>496032.94</v>
          </cell>
          <cell r="L232">
            <v>2951384.36</v>
          </cell>
          <cell r="M232">
            <v>461958.09</v>
          </cell>
          <cell r="N232">
            <v>584172.93999999994</v>
          </cell>
          <cell r="O232">
            <v>670885.91</v>
          </cell>
          <cell r="P232">
            <v>9703592.0399999991</v>
          </cell>
          <cell r="R232" t="str">
            <v>F52800E</v>
          </cell>
          <cell r="S232">
            <v>9703592.0399999991</v>
          </cell>
          <cell r="T232">
            <v>16580433.059999999</v>
          </cell>
        </row>
        <row r="233">
          <cell r="A233" t="str">
            <v>F52900E</v>
          </cell>
          <cell r="B233" t="str">
            <v>MAINTENANCE OF STRUCTURES</v>
          </cell>
          <cell r="C233">
            <v>4313867.8899999997</v>
          </cell>
          <cell r="D233">
            <v>284779.23</v>
          </cell>
          <cell r="E233">
            <v>-92165.08</v>
          </cell>
          <cell r="F233">
            <v>147612.32999999999</v>
          </cell>
          <cell r="G233">
            <v>538181.94999999995</v>
          </cell>
          <cell r="H233">
            <v>331160.21000000002</v>
          </cell>
          <cell r="I233">
            <v>485045.79</v>
          </cell>
          <cell r="J233">
            <v>420259.13</v>
          </cell>
          <cell r="K233">
            <v>301846.82</v>
          </cell>
          <cell r="L233">
            <v>214515.78</v>
          </cell>
          <cell r="M233">
            <v>227474.34</v>
          </cell>
          <cell r="N233">
            <v>283395.18</v>
          </cell>
          <cell r="O233">
            <v>397541.19</v>
          </cell>
          <cell r="P233">
            <v>3539646.8699999996</v>
          </cell>
          <cell r="R233" t="str">
            <v>F52900E</v>
          </cell>
          <cell r="S233">
            <v>3539646.87</v>
          </cell>
          <cell r="T233">
            <v>7853514.7599999998</v>
          </cell>
        </row>
        <row r="234">
          <cell r="A234" t="str">
            <v>F53000E</v>
          </cell>
          <cell r="B234" t="str">
            <v>MAINTENANCE OF REACTOR PLANT EQUIPMENT</v>
          </cell>
          <cell r="C234">
            <v>6086066.96</v>
          </cell>
          <cell r="D234">
            <v>902578.44</v>
          </cell>
          <cell r="E234">
            <v>1008993.59</v>
          </cell>
          <cell r="F234">
            <v>1027611.09</v>
          </cell>
          <cell r="G234">
            <v>1527354.37</v>
          </cell>
          <cell r="H234">
            <v>810434.52</v>
          </cell>
          <cell r="I234">
            <v>1645790.49</v>
          </cell>
          <cell r="J234">
            <v>656931.99</v>
          </cell>
          <cell r="K234">
            <v>94662.1</v>
          </cell>
          <cell r="L234">
            <v>387853.65</v>
          </cell>
          <cell r="M234">
            <v>338422.89</v>
          </cell>
          <cell r="N234">
            <v>360797.07</v>
          </cell>
          <cell r="O234">
            <v>367202.02</v>
          </cell>
          <cell r="P234">
            <v>9128632.2200000007</v>
          </cell>
          <cell r="R234" t="str">
            <v>F53000E</v>
          </cell>
          <cell r="S234">
            <v>9128632.2200000007</v>
          </cell>
          <cell r="T234">
            <v>15214699.18</v>
          </cell>
        </row>
        <row r="235">
          <cell r="A235" t="str">
            <v>F53100E</v>
          </cell>
          <cell r="B235" t="str">
            <v>MAINTENANCE OF ELECTRIC PLANT</v>
          </cell>
          <cell r="C235">
            <v>3744030.47</v>
          </cell>
          <cell r="D235">
            <v>484827.19</v>
          </cell>
          <cell r="E235">
            <v>271826.28999999998</v>
          </cell>
          <cell r="F235">
            <v>623249.35</v>
          </cell>
          <cell r="G235">
            <v>729809.05</v>
          </cell>
          <cell r="H235">
            <v>286484.78000000003</v>
          </cell>
          <cell r="I235">
            <v>964302.51</v>
          </cell>
          <cell r="J235">
            <v>842764.49</v>
          </cell>
          <cell r="K235">
            <v>324549.7</v>
          </cell>
          <cell r="L235">
            <v>312179.5</v>
          </cell>
          <cell r="M235">
            <v>280435.20000000001</v>
          </cell>
          <cell r="N235">
            <v>336295.97</v>
          </cell>
          <cell r="O235">
            <v>193840.49</v>
          </cell>
          <cell r="P235">
            <v>5650564.5200000005</v>
          </cell>
          <cell r="R235" t="str">
            <v>F53100E</v>
          </cell>
          <cell r="S235">
            <v>5650564.5199999996</v>
          </cell>
          <cell r="T235">
            <v>9394594.9900000002</v>
          </cell>
        </row>
        <row r="236">
          <cell r="A236" t="str">
            <v>F53200E</v>
          </cell>
          <cell r="B236" t="str">
            <v>MAINTENANCE OF MISCELLANEOUS NUCLEAR PLANT</v>
          </cell>
          <cell r="C236">
            <v>5244396.0199999996</v>
          </cell>
          <cell r="D236">
            <v>2242367.89</v>
          </cell>
          <cell r="E236">
            <v>2103922.84</v>
          </cell>
          <cell r="F236">
            <v>990079.82</v>
          </cell>
          <cell r="G236">
            <v>478069.41</v>
          </cell>
          <cell r="H236">
            <v>-19417.95</v>
          </cell>
          <cell r="I236">
            <v>-362516.4</v>
          </cell>
          <cell r="J236">
            <v>-711002.64</v>
          </cell>
          <cell r="K236">
            <v>336287.63</v>
          </cell>
          <cell r="L236">
            <v>340361.57</v>
          </cell>
          <cell r="M236">
            <v>318225.08</v>
          </cell>
          <cell r="N236">
            <v>397486.45</v>
          </cell>
          <cell r="O236">
            <v>664456.06000000006</v>
          </cell>
          <cell r="P236">
            <v>6778319.7600000016</v>
          </cell>
          <cell r="R236" t="str">
            <v>F53200E</v>
          </cell>
          <cell r="S236">
            <v>6778319.7599999998</v>
          </cell>
          <cell r="T236">
            <v>12022715.780000001</v>
          </cell>
        </row>
        <row r="237">
          <cell r="A237" t="str">
            <v>F54600E</v>
          </cell>
          <cell r="B237" t="str">
            <v>OPERATION SUPERVISION AND ENGINEERING</v>
          </cell>
          <cell r="C237">
            <v>39405.160000000003</v>
          </cell>
          <cell r="D237">
            <v>9041.2199999999993</v>
          </cell>
          <cell r="E237">
            <v>3823.31</v>
          </cell>
          <cell r="F237">
            <v>3417</v>
          </cell>
          <cell r="G237">
            <v>3731.07</v>
          </cell>
          <cell r="H237">
            <v>20464.310000000001</v>
          </cell>
          <cell r="I237">
            <v>980.76</v>
          </cell>
          <cell r="J237">
            <v>1555.87</v>
          </cell>
          <cell r="K237">
            <v>385.17</v>
          </cell>
          <cell r="L237">
            <v>66.67</v>
          </cell>
          <cell r="M237">
            <v>348.88</v>
          </cell>
          <cell r="N237">
            <v>21.81</v>
          </cell>
          <cell r="O237">
            <v>0</v>
          </cell>
          <cell r="P237">
            <v>43836.07</v>
          </cell>
          <cell r="R237" t="str">
            <v>F54600E</v>
          </cell>
          <cell r="S237">
            <v>43836.07</v>
          </cell>
          <cell r="T237">
            <v>83241.23000000001</v>
          </cell>
        </row>
        <row r="238">
          <cell r="A238" t="str">
            <v>F54610E</v>
          </cell>
          <cell r="B238" t="str">
            <v>OPERATION SUPERVISION AND ENGINEERING</v>
          </cell>
          <cell r="C238">
            <v>0</v>
          </cell>
          <cell r="F238">
            <v>0</v>
          </cell>
          <cell r="G238">
            <v>351.62</v>
          </cell>
          <cell r="J238">
            <v>0</v>
          </cell>
          <cell r="K238">
            <v>10.66</v>
          </cell>
          <cell r="N238">
            <v>10.78</v>
          </cell>
          <cell r="O238">
            <v>0</v>
          </cell>
          <cell r="P238">
            <v>373.06</v>
          </cell>
          <cell r="R238" t="str">
            <v>F54610E</v>
          </cell>
          <cell r="S238">
            <v>373.06</v>
          </cell>
          <cell r="T238">
            <v>373.06</v>
          </cell>
        </row>
        <row r="239">
          <cell r="A239" t="str">
            <v>F54700E</v>
          </cell>
          <cell r="B239" t="str">
            <v>FUEL</v>
          </cell>
          <cell r="C239">
            <v>3247237.35</v>
          </cell>
          <cell r="D239">
            <v>136125.72</v>
          </cell>
          <cell r="E239">
            <v>183425.96</v>
          </cell>
          <cell r="F239">
            <v>146013.71</v>
          </cell>
          <cell r="G239">
            <v>210336.93</v>
          </cell>
          <cell r="H239">
            <v>524120</v>
          </cell>
          <cell r="I239">
            <v>608640.87</v>
          </cell>
          <cell r="J239">
            <v>20163.43</v>
          </cell>
          <cell r="K239">
            <v>0</v>
          </cell>
          <cell r="L239">
            <v>0</v>
          </cell>
          <cell r="M239">
            <v>6627.6</v>
          </cell>
          <cell r="N239">
            <v>57671.56</v>
          </cell>
          <cell r="O239">
            <v>0</v>
          </cell>
          <cell r="P239">
            <v>1893125.78</v>
          </cell>
          <cell r="R239" t="str">
            <v>F54700E</v>
          </cell>
          <cell r="S239">
            <v>1893125.78</v>
          </cell>
          <cell r="T239">
            <v>5140363.13</v>
          </cell>
        </row>
        <row r="240">
          <cell r="A240" t="str">
            <v>F54800E</v>
          </cell>
          <cell r="B240" t="str">
            <v>GENERATION EXPENSES</v>
          </cell>
          <cell r="C240">
            <v>70367.33</v>
          </cell>
          <cell r="D240">
            <v>15135.31</v>
          </cell>
          <cell r="E240">
            <v>6290.39</v>
          </cell>
          <cell r="F240">
            <v>6265.46</v>
          </cell>
          <cell r="G240">
            <v>5511.87</v>
          </cell>
          <cell r="H240">
            <v>1792.25</v>
          </cell>
          <cell r="I240">
            <v>1842.49</v>
          </cell>
          <cell r="J240">
            <v>2506.33</v>
          </cell>
          <cell r="K240">
            <v>0</v>
          </cell>
          <cell r="N240">
            <v>-152.66</v>
          </cell>
          <cell r="O240">
            <v>0</v>
          </cell>
          <cell r="P240">
            <v>39191.439999999995</v>
          </cell>
          <cell r="R240" t="str">
            <v>F54800E</v>
          </cell>
          <cell r="S240">
            <v>39191.440000000002</v>
          </cell>
          <cell r="T240">
            <v>109558.76999999999</v>
          </cell>
        </row>
        <row r="241">
          <cell r="A241" t="str">
            <v>F54900E</v>
          </cell>
          <cell r="B241" t="str">
            <v>MISCELLANEOUS OTHER POWER GENERATION EXPENSES</v>
          </cell>
          <cell r="C241">
            <v>50059.74</v>
          </cell>
          <cell r="D241">
            <v>-4322.09</v>
          </cell>
          <cell r="E241">
            <v>1638.21</v>
          </cell>
          <cell r="F241">
            <v>20139.689999999999</v>
          </cell>
          <cell r="G241">
            <v>1773.7</v>
          </cell>
          <cell r="H241">
            <v>5967.89</v>
          </cell>
          <cell r="I241">
            <v>5375.25</v>
          </cell>
          <cell r="J241">
            <v>3859.25</v>
          </cell>
          <cell r="K241">
            <v>2200.0100000000002</v>
          </cell>
          <cell r="L241">
            <v>10687.63</v>
          </cell>
          <cell r="M241">
            <v>2732.69</v>
          </cell>
          <cell r="N241">
            <v>7187.55</v>
          </cell>
          <cell r="O241">
            <v>4544.84</v>
          </cell>
          <cell r="P241">
            <v>61784.619999999995</v>
          </cell>
          <cell r="R241" t="str">
            <v>F54900E</v>
          </cell>
          <cell r="S241">
            <v>61784.62</v>
          </cell>
          <cell r="T241">
            <v>111844.35999999999</v>
          </cell>
        </row>
        <row r="242">
          <cell r="A242" t="str">
            <v>F55000E</v>
          </cell>
          <cell r="B242" t="str">
            <v>RENTS</v>
          </cell>
          <cell r="C242">
            <v>9422.84</v>
          </cell>
          <cell r="D242">
            <v>95.89</v>
          </cell>
          <cell r="E242">
            <v>0</v>
          </cell>
          <cell r="J242">
            <v>568.27</v>
          </cell>
          <cell r="K242">
            <v>0</v>
          </cell>
          <cell r="P242">
            <v>664.16</v>
          </cell>
          <cell r="R242" t="str">
            <v>F55000E</v>
          </cell>
          <cell r="S242">
            <v>664.16</v>
          </cell>
          <cell r="T242">
            <v>10087</v>
          </cell>
        </row>
        <row r="243">
          <cell r="A243" t="str">
            <v>F55100E</v>
          </cell>
          <cell r="B243" t="str">
            <v>MAINTENANCE SUPERVISION AND ENGINEERING</v>
          </cell>
          <cell r="C243">
            <v>66635.33</v>
          </cell>
          <cell r="D243">
            <v>6074</v>
          </cell>
          <cell r="E243">
            <v>4430.37</v>
          </cell>
          <cell r="F243">
            <v>-409.12</v>
          </cell>
          <cell r="G243">
            <v>339.45</v>
          </cell>
          <cell r="H243">
            <v>93.99</v>
          </cell>
          <cell r="I243">
            <v>346.82</v>
          </cell>
          <cell r="L243">
            <v>0</v>
          </cell>
          <cell r="M243">
            <v>75</v>
          </cell>
          <cell r="P243">
            <v>10950.509999999998</v>
          </cell>
          <cell r="R243" t="str">
            <v>F55100E</v>
          </cell>
          <cell r="S243">
            <v>10950.51</v>
          </cell>
          <cell r="T243">
            <v>77585.84</v>
          </cell>
        </row>
        <row r="244">
          <cell r="A244" t="str">
            <v>F55200E</v>
          </cell>
          <cell r="B244" t="str">
            <v>MAINTENANCE OF STRUCTURES</v>
          </cell>
          <cell r="C244">
            <v>130690.72</v>
          </cell>
          <cell r="D244">
            <v>3596.74</v>
          </cell>
          <cell r="E244">
            <v>4613.54</v>
          </cell>
          <cell r="F244">
            <v>940</v>
          </cell>
          <cell r="G244">
            <v>-148.72999999999999</v>
          </cell>
          <cell r="H244">
            <v>256.48</v>
          </cell>
          <cell r="I244">
            <v>-37.76</v>
          </cell>
          <cell r="J244">
            <v>89.48</v>
          </cell>
          <cell r="K244">
            <v>68.91</v>
          </cell>
          <cell r="N244">
            <v>60.97</v>
          </cell>
          <cell r="O244">
            <v>0</v>
          </cell>
          <cell r="P244">
            <v>9439.6299999999974</v>
          </cell>
          <cell r="R244" t="str">
            <v>F55200E</v>
          </cell>
          <cell r="S244">
            <v>9439.6299999999992</v>
          </cell>
          <cell r="T244">
            <v>140130.35</v>
          </cell>
        </row>
        <row r="245">
          <cell r="A245" t="str">
            <v>F55300E</v>
          </cell>
          <cell r="B245" t="str">
            <v>MAINTENANCE OF GENERATING AND ELECTRIC PLANT</v>
          </cell>
          <cell r="C245">
            <v>877318.2</v>
          </cell>
          <cell r="D245">
            <v>65582.210000000006</v>
          </cell>
          <cell r="E245">
            <v>406112.34</v>
          </cell>
          <cell r="F245">
            <v>11095.92</v>
          </cell>
          <cell r="G245">
            <v>17270.490000000002</v>
          </cell>
          <cell r="H245">
            <v>2654.18</v>
          </cell>
          <cell r="I245">
            <v>-9856.85</v>
          </cell>
          <cell r="J245">
            <v>-430.72</v>
          </cell>
          <cell r="K245">
            <v>26240.37</v>
          </cell>
          <cell r="L245">
            <v>346.16</v>
          </cell>
          <cell r="M245">
            <v>-345.76</v>
          </cell>
          <cell r="N245">
            <v>37903.440000000002</v>
          </cell>
          <cell r="O245">
            <v>-74988.58</v>
          </cell>
          <cell r="P245">
            <v>481583.2</v>
          </cell>
          <cell r="R245" t="str">
            <v>F55300E</v>
          </cell>
          <cell r="S245">
            <v>481583.2</v>
          </cell>
          <cell r="T245">
            <v>1358901.4</v>
          </cell>
        </row>
        <row r="246">
          <cell r="A246" t="str">
            <v>F55400E</v>
          </cell>
          <cell r="B246" t="str">
            <v>MAINT OF MISCELLANEOUS OTHER POWER GENERATION PLAN</v>
          </cell>
          <cell r="C246">
            <v>28192.17</v>
          </cell>
          <cell r="D246">
            <v>3879.95</v>
          </cell>
          <cell r="E246">
            <v>154.61000000000001</v>
          </cell>
          <cell r="F246">
            <v>117.94</v>
          </cell>
          <cell r="G246">
            <v>14.79</v>
          </cell>
          <cell r="H246">
            <v>-31.88</v>
          </cell>
          <cell r="I246">
            <v>0</v>
          </cell>
          <cell r="P246">
            <v>4135.41</v>
          </cell>
          <cell r="R246" t="str">
            <v>F55400E</v>
          </cell>
          <cell r="S246">
            <v>4135.41</v>
          </cell>
          <cell r="T246">
            <v>32327.579999999998</v>
          </cell>
        </row>
        <row r="247">
          <cell r="A247" t="str">
            <v>F55500E</v>
          </cell>
          <cell r="B247" t="str">
            <v>PURCHASED POWER</v>
          </cell>
          <cell r="C247">
            <v>291878187.51999998</v>
          </cell>
          <cell r="D247">
            <v>19391847.629999999</v>
          </cell>
          <cell r="E247">
            <v>18222982.25</v>
          </cell>
          <cell r="F247">
            <v>16672441.029999999</v>
          </cell>
          <cell r="G247">
            <v>18451668.07</v>
          </cell>
          <cell r="H247">
            <v>20548192.120000001</v>
          </cell>
          <cell r="I247">
            <v>25045568.039999999</v>
          </cell>
          <cell r="J247">
            <v>22448808.489999998</v>
          </cell>
          <cell r="K247">
            <v>15728074.84</v>
          </cell>
          <cell r="L247">
            <v>34938723.670000002</v>
          </cell>
          <cell r="M247">
            <v>21957781.66</v>
          </cell>
          <cell r="N247">
            <v>18732688.879999999</v>
          </cell>
          <cell r="O247">
            <v>18905248.510000002</v>
          </cell>
          <cell r="P247">
            <v>251044025.18999997</v>
          </cell>
          <cell r="R247" t="str">
            <v>F55500E</v>
          </cell>
          <cell r="S247">
            <v>251044025.19</v>
          </cell>
          <cell r="T247">
            <v>542922212.70999992</v>
          </cell>
        </row>
        <row r="248">
          <cell r="A248" t="str">
            <v>F55501E</v>
          </cell>
          <cell r="B248" t="str">
            <v>PX POWER</v>
          </cell>
          <cell r="C248">
            <v>418356591.27999997</v>
          </cell>
          <cell r="D248">
            <v>33909541.880000003</v>
          </cell>
          <cell r="E248">
            <v>25470360</v>
          </cell>
          <cell r="F248">
            <v>27981575.719999999</v>
          </cell>
          <cell r="G248">
            <v>3850718.29</v>
          </cell>
          <cell r="H248">
            <v>-1823024.64</v>
          </cell>
          <cell r="I248">
            <v>155098866.87</v>
          </cell>
          <cell r="J248">
            <v>53514973.289999999</v>
          </cell>
          <cell r="K248">
            <v>56170209.090000004</v>
          </cell>
          <cell r="L248">
            <v>45819743.119999997</v>
          </cell>
          <cell r="M248">
            <v>60513932.640000001</v>
          </cell>
          <cell r="N248">
            <v>40774607.57</v>
          </cell>
          <cell r="O248">
            <v>40893392.390000001</v>
          </cell>
          <cell r="P248">
            <v>542174896.22000003</v>
          </cell>
          <cell r="R248" t="str">
            <v>F55501E</v>
          </cell>
          <cell r="S248">
            <v>542174896.22000003</v>
          </cell>
          <cell r="T248">
            <v>960531487.5</v>
          </cell>
        </row>
        <row r="249">
          <cell r="A249" t="str">
            <v>F55510E</v>
          </cell>
          <cell r="B249" t="str">
            <v>PX POWER</v>
          </cell>
          <cell r="F249">
            <v>3321213.46</v>
          </cell>
          <cell r="G249">
            <v>27052206.460000001</v>
          </cell>
          <cell r="H249">
            <v>31951244.460000001</v>
          </cell>
          <cell r="I249">
            <v>-121704566.26000001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cell>
          <cell r="T249">
            <v>-59379901.880000003</v>
          </cell>
        </row>
        <row r="250">
          <cell r="A250" t="str">
            <v>F55600E</v>
          </cell>
          <cell r="B250" t="str">
            <v>SYSTEM CONTROL AND LOAD DISPATCHING</v>
          </cell>
          <cell r="C250">
            <v>1543276.58</v>
          </cell>
          <cell r="D250">
            <v>126109.33</v>
          </cell>
          <cell r="E250">
            <v>73638.36</v>
          </cell>
          <cell r="F250">
            <v>138006.32</v>
          </cell>
          <cell r="G250">
            <v>85517.39</v>
          </cell>
          <cell r="H250">
            <v>103939.68</v>
          </cell>
          <cell r="I250">
            <v>75870.289999999994</v>
          </cell>
          <cell r="J250">
            <v>109076.35</v>
          </cell>
          <cell r="K250">
            <v>120030.82</v>
          </cell>
          <cell r="L250">
            <v>103583.58</v>
          </cell>
          <cell r="M250">
            <v>102306.62</v>
          </cell>
          <cell r="N250">
            <v>112278.41</v>
          </cell>
          <cell r="O250">
            <v>165156.13</v>
          </cell>
          <cell r="P250">
            <v>1315513.2799999998</v>
          </cell>
          <cell r="R250" t="str">
            <v>F55600E</v>
          </cell>
          <cell r="S250">
            <v>1315513.28</v>
          </cell>
          <cell r="T250">
            <v>2858789.86</v>
          </cell>
        </row>
        <row r="251">
          <cell r="A251" t="str">
            <v>F55700E</v>
          </cell>
          <cell r="B251" t="str">
            <v>OTHER EXPENSES</v>
          </cell>
          <cell r="C251">
            <v>8619195.0299999993</v>
          </cell>
          <cell r="D251">
            <v>3322761.44</v>
          </cell>
          <cell r="E251">
            <v>455294.31</v>
          </cell>
          <cell r="F251">
            <v>5867738.2599999998</v>
          </cell>
          <cell r="G251">
            <v>595395.03</v>
          </cell>
          <cell r="H251">
            <v>364180.65</v>
          </cell>
          <cell r="I251">
            <v>501037.53</v>
          </cell>
          <cell r="J251">
            <v>493829.61</v>
          </cell>
          <cell r="K251">
            <v>819972.57</v>
          </cell>
          <cell r="L251">
            <v>675451.28</v>
          </cell>
          <cell r="M251">
            <v>1049476.22</v>
          </cell>
          <cell r="N251">
            <v>404222.28</v>
          </cell>
          <cell r="O251">
            <v>523779.94</v>
          </cell>
          <cell r="P251">
            <v>15073139.119999997</v>
          </cell>
          <cell r="R251" t="str">
            <v>F55700E</v>
          </cell>
          <cell r="S251">
            <v>15073139.119999999</v>
          </cell>
          <cell r="T251">
            <v>23692334.149999999</v>
          </cell>
        </row>
        <row r="252">
          <cell r="A252" t="str">
            <v>F55720E</v>
          </cell>
          <cell r="B252" t="str">
            <v>OTHER EXPENSES</v>
          </cell>
          <cell r="C252">
            <v>0</v>
          </cell>
          <cell r="F252">
            <v>94039</v>
          </cell>
          <cell r="G252">
            <v>176759.94</v>
          </cell>
          <cell r="H252">
            <v>45638.83</v>
          </cell>
          <cell r="I252">
            <v>57750.68</v>
          </cell>
          <cell r="J252">
            <v>45318.720000000001</v>
          </cell>
          <cell r="K252">
            <v>62938.86</v>
          </cell>
          <cell r="L252">
            <v>24214.44</v>
          </cell>
          <cell r="M252">
            <v>27613.07</v>
          </cell>
          <cell r="N252">
            <v>29191.57</v>
          </cell>
          <cell r="O252">
            <v>22671.43</v>
          </cell>
          <cell r="P252">
            <v>586136.54</v>
          </cell>
          <cell r="R252" t="str">
            <v>F55720E</v>
          </cell>
          <cell r="S252">
            <v>586136.54</v>
          </cell>
          <cell r="T252">
            <v>586136.54</v>
          </cell>
        </row>
        <row r="253">
          <cell r="A253" t="str">
            <v>F55780E</v>
          </cell>
          <cell r="B253" t="str">
            <v>OTHER EXPENSES</v>
          </cell>
          <cell r="C253">
            <v>0</v>
          </cell>
          <cell r="F253">
            <v>10032.15</v>
          </cell>
          <cell r="G253">
            <v>87022.720000000001</v>
          </cell>
          <cell r="H253">
            <v>28051.439999999999</v>
          </cell>
          <cell r="I253">
            <v>48262.52</v>
          </cell>
          <cell r="J253">
            <v>31916.43</v>
          </cell>
          <cell r="K253">
            <v>36577.9</v>
          </cell>
          <cell r="L253">
            <v>30638.12</v>
          </cell>
          <cell r="M253">
            <v>31789.19</v>
          </cell>
          <cell r="N253">
            <v>38124.92</v>
          </cell>
          <cell r="O253">
            <v>38022.5</v>
          </cell>
          <cell r="P253">
            <v>380437.88999999996</v>
          </cell>
          <cell r="R253" t="str">
            <v>F55780E</v>
          </cell>
          <cell r="S253">
            <v>380437.89</v>
          </cell>
          <cell r="T253">
            <v>380437.88999999996</v>
          </cell>
        </row>
        <row r="254">
          <cell r="A254" t="str">
            <v>F56000E</v>
          </cell>
          <cell r="B254" t="str">
            <v>OPERATION SUPERVISION AND ENGINEERING</v>
          </cell>
          <cell r="C254">
            <v>1653788.81</v>
          </cell>
          <cell r="D254">
            <v>174095.77</v>
          </cell>
          <cell r="E254">
            <v>111816.71</v>
          </cell>
          <cell r="F254">
            <v>169236.54</v>
          </cell>
          <cell r="G254">
            <v>175141.59</v>
          </cell>
          <cell r="H254">
            <v>165850.34</v>
          </cell>
          <cell r="I254">
            <v>191000.56</v>
          </cell>
          <cell r="J254">
            <v>163280.79</v>
          </cell>
          <cell r="K254">
            <v>217313.01</v>
          </cell>
          <cell r="L254">
            <v>216375.56</v>
          </cell>
          <cell r="M254">
            <v>168978.84</v>
          </cell>
          <cell r="N254">
            <v>154544.43</v>
          </cell>
          <cell r="O254">
            <v>-1538165.55</v>
          </cell>
          <cell r="P254">
            <v>369468.59000000008</v>
          </cell>
          <cell r="R254" t="str">
            <v>F56000E</v>
          </cell>
          <cell r="S254">
            <v>369468.59</v>
          </cell>
          <cell r="T254">
            <v>2023257.4000000001</v>
          </cell>
        </row>
        <row r="255">
          <cell r="A255" t="str">
            <v>F56010E</v>
          </cell>
          <cell r="B255" t="str">
            <v>OPERATION SUPERVISION AND ENGINEERING</v>
          </cell>
          <cell r="C255">
            <v>0</v>
          </cell>
          <cell r="F255">
            <v>152885.81</v>
          </cell>
          <cell r="G255">
            <v>110336.53</v>
          </cell>
          <cell r="H255">
            <v>144264.19</v>
          </cell>
          <cell r="I255">
            <v>104853.82</v>
          </cell>
          <cell r="J255">
            <v>92627.21</v>
          </cell>
          <cell r="K255">
            <v>155058.01999999999</v>
          </cell>
          <cell r="L255">
            <v>103780.94</v>
          </cell>
          <cell r="M255">
            <v>101365.32</v>
          </cell>
          <cell r="N255">
            <v>119041.54</v>
          </cell>
          <cell r="O255">
            <v>53798.25</v>
          </cell>
          <cell r="P255">
            <v>1138011.6300000001</v>
          </cell>
          <cell r="R255" t="str">
            <v>F56010E</v>
          </cell>
          <cell r="S255">
            <v>1138011.6299999999</v>
          </cell>
          <cell r="T255">
            <v>1138011.6300000001</v>
          </cell>
        </row>
        <row r="256">
          <cell r="A256" t="str">
            <v>F56020E</v>
          </cell>
          <cell r="B256" t="str">
            <v>OPERATION SUPERVISION AND ENGINEERING</v>
          </cell>
          <cell r="C256">
            <v>0</v>
          </cell>
          <cell r="F256">
            <v>25354.76</v>
          </cell>
          <cell r="G256">
            <v>22565.03</v>
          </cell>
          <cell r="H256">
            <v>20749.330000000002</v>
          </cell>
          <cell r="I256">
            <v>25135.16</v>
          </cell>
          <cell r="J256">
            <v>21012.95</v>
          </cell>
          <cell r="K256">
            <v>21646.54</v>
          </cell>
          <cell r="L256">
            <v>19351.419999999998</v>
          </cell>
          <cell r="M256">
            <v>22862.35</v>
          </cell>
          <cell r="N256">
            <v>31595.13</v>
          </cell>
          <cell r="O256">
            <v>23157.37</v>
          </cell>
          <cell r="P256">
            <v>233430.04</v>
          </cell>
          <cell r="R256" t="str">
            <v>F56020E</v>
          </cell>
          <cell r="S256">
            <v>233430.04</v>
          </cell>
          <cell r="T256">
            <v>233430.04</v>
          </cell>
        </row>
        <row r="257">
          <cell r="A257" t="str">
            <v>F56100E</v>
          </cell>
          <cell r="B257" t="str">
            <v>LOAD DISPATCHING</v>
          </cell>
          <cell r="C257">
            <v>1664541.67</v>
          </cell>
          <cell r="D257">
            <v>199038.89</v>
          </cell>
          <cell r="E257">
            <v>147569.62</v>
          </cell>
          <cell r="F257">
            <v>188906.05</v>
          </cell>
          <cell r="G257">
            <v>142314.16</v>
          </cell>
          <cell r="H257">
            <v>145899.71</v>
          </cell>
          <cell r="I257">
            <v>175605.58</v>
          </cell>
          <cell r="J257">
            <v>144403.63</v>
          </cell>
          <cell r="K257">
            <v>190281.51</v>
          </cell>
          <cell r="L257">
            <v>162880</v>
          </cell>
          <cell r="M257">
            <v>184300.55</v>
          </cell>
          <cell r="N257">
            <v>248593.69</v>
          </cell>
          <cell r="O257">
            <v>290896.39</v>
          </cell>
          <cell r="P257">
            <v>2220689.7800000003</v>
          </cell>
          <cell r="R257" t="str">
            <v>F56100E</v>
          </cell>
          <cell r="S257">
            <v>2220689.7799999998</v>
          </cell>
          <cell r="T257">
            <v>3885231.45</v>
          </cell>
        </row>
        <row r="258">
          <cell r="A258" t="str">
            <v>F56200E</v>
          </cell>
          <cell r="B258" t="str">
            <v>STATION EXPENSES</v>
          </cell>
          <cell r="C258">
            <v>196384.61</v>
          </cell>
          <cell r="D258">
            <v>17578.419999999998</v>
          </cell>
          <cell r="E258">
            <v>16582.34</v>
          </cell>
          <cell r="F258">
            <v>8647.24</v>
          </cell>
          <cell r="G258">
            <v>999.39</v>
          </cell>
          <cell r="H258">
            <v>2811.02</v>
          </cell>
          <cell r="I258">
            <v>6730.58</v>
          </cell>
          <cell r="J258">
            <v>1768.38</v>
          </cell>
          <cell r="K258">
            <v>1399.17</v>
          </cell>
          <cell r="L258">
            <v>-14.28</v>
          </cell>
          <cell r="M258">
            <v>1164.3499999999999</v>
          </cell>
          <cell r="N258">
            <v>986</v>
          </cell>
          <cell r="O258">
            <v>985.53</v>
          </cell>
          <cell r="P258">
            <v>59638.139999999985</v>
          </cell>
          <cell r="R258" t="str">
            <v>F56200E</v>
          </cell>
          <cell r="S258">
            <v>59638.14</v>
          </cell>
          <cell r="T258">
            <v>256022.74999999997</v>
          </cell>
        </row>
        <row r="259">
          <cell r="A259" t="str">
            <v>F56210E</v>
          </cell>
          <cell r="B259" t="str">
            <v>STATION EXPENSES</v>
          </cell>
          <cell r="C259">
            <v>0</v>
          </cell>
          <cell r="F259">
            <v>12005.65</v>
          </cell>
          <cell r="G259">
            <v>10744.45</v>
          </cell>
          <cell r="H259">
            <v>12882.06</v>
          </cell>
          <cell r="I259">
            <v>21620.18</v>
          </cell>
          <cell r="J259">
            <v>19606.12</v>
          </cell>
          <cell r="K259">
            <v>16341.73</v>
          </cell>
          <cell r="L259">
            <v>8005.34</v>
          </cell>
          <cell r="M259">
            <v>14920.06</v>
          </cell>
          <cell r="N259">
            <v>22055.11</v>
          </cell>
          <cell r="O259">
            <v>10354.950000000001</v>
          </cell>
          <cell r="P259">
            <v>148535.65</v>
          </cell>
          <cell r="R259" t="str">
            <v>F56210E</v>
          </cell>
          <cell r="S259">
            <v>148535.65</v>
          </cell>
          <cell r="T259">
            <v>148535.65</v>
          </cell>
        </row>
        <row r="260">
          <cell r="A260" t="str">
            <v>F56220E</v>
          </cell>
          <cell r="B260" t="str">
            <v>STATION EXPENSES</v>
          </cell>
          <cell r="C260">
            <v>0</v>
          </cell>
          <cell r="H260">
            <v>0</v>
          </cell>
          <cell r="I260">
            <v>126.9</v>
          </cell>
          <cell r="J260">
            <v>69.83</v>
          </cell>
          <cell r="K260">
            <v>0</v>
          </cell>
          <cell r="P260">
            <v>196.73000000000002</v>
          </cell>
          <cell r="R260" t="str">
            <v>F56220E</v>
          </cell>
          <cell r="S260">
            <v>196.73</v>
          </cell>
          <cell r="T260">
            <v>196.73000000000002</v>
          </cell>
        </row>
        <row r="261">
          <cell r="A261" t="str">
            <v>F56300E</v>
          </cell>
          <cell r="B261" t="str">
            <v>OVERHEAD LINE EXPENSES</v>
          </cell>
          <cell r="C261">
            <v>506540.81</v>
          </cell>
          <cell r="D261">
            <v>25552.94</v>
          </cell>
          <cell r="E261">
            <v>22012.99</v>
          </cell>
          <cell r="F261">
            <v>17491.259999999998</v>
          </cell>
          <cell r="G261">
            <v>3114.48</v>
          </cell>
          <cell r="H261">
            <v>6402.7</v>
          </cell>
          <cell r="I261">
            <v>7208.51</v>
          </cell>
          <cell r="J261">
            <v>11803.43</v>
          </cell>
          <cell r="K261">
            <v>3781.01</v>
          </cell>
          <cell r="L261">
            <v>-2960.12</v>
          </cell>
          <cell r="M261">
            <v>3997.27</v>
          </cell>
          <cell r="N261">
            <v>1753.56</v>
          </cell>
          <cell r="O261">
            <v>1290.19</v>
          </cell>
          <cell r="P261">
            <v>101448.22</v>
          </cell>
          <cell r="R261" t="str">
            <v>F56300E</v>
          </cell>
          <cell r="S261">
            <v>101448.22</v>
          </cell>
          <cell r="T261">
            <v>607989.03</v>
          </cell>
        </row>
        <row r="262">
          <cell r="A262" t="str">
            <v>F56310E</v>
          </cell>
          <cell r="B262" t="str">
            <v>OVERHEAD LINE EXPENSES</v>
          </cell>
          <cell r="C262">
            <v>0</v>
          </cell>
          <cell r="F262">
            <v>32784.559999999998</v>
          </cell>
          <cell r="G262">
            <v>31515.5</v>
          </cell>
          <cell r="H262">
            <v>36573</v>
          </cell>
          <cell r="I262">
            <v>32281.38</v>
          </cell>
          <cell r="J262">
            <v>21235.42</v>
          </cell>
          <cell r="K262">
            <v>51463.05</v>
          </cell>
          <cell r="L262">
            <v>39652.6</v>
          </cell>
          <cell r="M262">
            <v>19277.37</v>
          </cell>
          <cell r="N262">
            <v>48142.58</v>
          </cell>
          <cell r="O262">
            <v>74708.149999999994</v>
          </cell>
          <cell r="P262">
            <v>387633.61</v>
          </cell>
          <cell r="R262" t="str">
            <v>F56310E</v>
          </cell>
          <cell r="S262">
            <v>387633.61</v>
          </cell>
          <cell r="T262">
            <v>387633.61</v>
          </cell>
        </row>
        <row r="263">
          <cell r="A263" t="str">
            <v>F56400E</v>
          </cell>
          <cell r="B263" t="str">
            <v>UNDERGROUND LINE EXPENSES</v>
          </cell>
          <cell r="C263">
            <v>2378.9</v>
          </cell>
          <cell r="F263">
            <v>0</v>
          </cell>
          <cell r="G263">
            <v>10294.34</v>
          </cell>
          <cell r="H263">
            <v>0</v>
          </cell>
          <cell r="I263">
            <v>713.68</v>
          </cell>
          <cell r="J263">
            <v>0</v>
          </cell>
          <cell r="K263">
            <v>-1878.24</v>
          </cell>
          <cell r="N263">
            <v>0</v>
          </cell>
          <cell r="O263">
            <v>85.92</v>
          </cell>
          <cell r="P263">
            <v>9215.7000000000007</v>
          </cell>
          <cell r="R263" t="str">
            <v>F56400E</v>
          </cell>
          <cell r="S263">
            <v>9215.7000000000007</v>
          </cell>
          <cell r="T263">
            <v>11594.6</v>
          </cell>
        </row>
        <row r="264">
          <cell r="A264" t="str">
            <v>F56500E</v>
          </cell>
          <cell r="B264" t="str">
            <v>TRANSMISSION OF ELECTRICITY BY OTHERS</v>
          </cell>
          <cell r="C264">
            <v>8151025.6399999997</v>
          </cell>
          <cell r="D264">
            <v>590679.17000000004</v>
          </cell>
          <cell r="E264">
            <v>585470.93999999994</v>
          </cell>
          <cell r="F264">
            <v>58499.34</v>
          </cell>
          <cell r="G264">
            <v>606923.09</v>
          </cell>
          <cell r="H264">
            <v>1167585.8500000001</v>
          </cell>
          <cell r="I264">
            <v>614264.71</v>
          </cell>
          <cell r="J264">
            <v>608140.59</v>
          </cell>
          <cell r="K264">
            <v>894655.57</v>
          </cell>
          <cell r="L264">
            <v>600141.71</v>
          </cell>
          <cell r="M264">
            <v>652098.15</v>
          </cell>
          <cell r="N264">
            <v>563697.02</v>
          </cell>
          <cell r="O264">
            <v>249058.57</v>
          </cell>
          <cell r="P264">
            <v>7191214.7100000009</v>
          </cell>
          <cell r="R264" t="str">
            <v>F56500E</v>
          </cell>
          <cell r="S264">
            <v>7191214.71</v>
          </cell>
          <cell r="T264">
            <v>15342240.350000001</v>
          </cell>
        </row>
        <row r="265">
          <cell r="A265" t="str">
            <v>F56600E</v>
          </cell>
          <cell r="B265" t="str">
            <v>MISCELLANEOUS TRANSMISSION EXPENSES</v>
          </cell>
          <cell r="C265">
            <v>46244763.329999998</v>
          </cell>
          <cell r="D265">
            <v>1211564.75</v>
          </cell>
          <cell r="E265">
            <v>1036945.91</v>
          </cell>
          <cell r="F265">
            <v>-898031.91</v>
          </cell>
          <cell r="G265">
            <v>6550995.5899999999</v>
          </cell>
          <cell r="H265">
            <v>84388.18</v>
          </cell>
          <cell r="I265">
            <v>13389759.16</v>
          </cell>
          <cell r="J265">
            <v>6711875.7999999998</v>
          </cell>
          <cell r="K265">
            <v>4709316.4800000004</v>
          </cell>
          <cell r="L265">
            <v>7357514.5199999996</v>
          </cell>
          <cell r="M265">
            <v>8179033.3499999996</v>
          </cell>
          <cell r="N265">
            <v>11576880.380000001</v>
          </cell>
          <cell r="O265">
            <v>1628401.54</v>
          </cell>
          <cell r="P265">
            <v>61538643.750000007</v>
          </cell>
          <cell r="R265" t="str">
            <v>F56600E</v>
          </cell>
          <cell r="S265">
            <v>61538643.75</v>
          </cell>
          <cell r="T265">
            <v>107783407.08000001</v>
          </cell>
        </row>
        <row r="266">
          <cell r="A266" t="str">
            <v>F56700E</v>
          </cell>
          <cell r="B266" t="str">
            <v>RENTS</v>
          </cell>
          <cell r="C266">
            <v>1480999.24</v>
          </cell>
          <cell r="D266">
            <v>3746.91</v>
          </cell>
          <cell r="E266">
            <v>-17659.79</v>
          </cell>
          <cell r="F266">
            <v>0</v>
          </cell>
          <cell r="G266">
            <v>390.62</v>
          </cell>
          <cell r="H266">
            <v>0</v>
          </cell>
          <cell r="I266">
            <v>129119.03999999999</v>
          </cell>
          <cell r="J266">
            <v>404500.1</v>
          </cell>
          <cell r="K266">
            <v>20794.14</v>
          </cell>
          <cell r="L266">
            <v>2560.79</v>
          </cell>
          <cell r="M266">
            <v>39971.86</v>
          </cell>
          <cell r="N266">
            <v>12713.56</v>
          </cell>
          <cell r="O266">
            <v>18466.38</v>
          </cell>
          <cell r="P266">
            <v>614603.6100000001</v>
          </cell>
          <cell r="R266" t="str">
            <v>F56700E</v>
          </cell>
          <cell r="S266">
            <v>614603.61</v>
          </cell>
          <cell r="T266">
            <v>2095602.85</v>
          </cell>
        </row>
        <row r="267">
          <cell r="A267" t="str">
            <v>F56800E</v>
          </cell>
          <cell r="B267" t="str">
            <v>MAINTENANCE SUPERVISION AND ENGINEERING</v>
          </cell>
          <cell r="C267">
            <v>125146.51</v>
          </cell>
          <cell r="D267">
            <v>9115.64</v>
          </cell>
          <cell r="E267">
            <v>9363.56</v>
          </cell>
          <cell r="F267">
            <v>1172.52</v>
          </cell>
          <cell r="G267">
            <v>5543.41</v>
          </cell>
          <cell r="H267">
            <v>556.30999999999995</v>
          </cell>
          <cell r="I267">
            <v>410.91</v>
          </cell>
          <cell r="J267">
            <v>0</v>
          </cell>
          <cell r="K267">
            <v>568.57000000000005</v>
          </cell>
          <cell r="L267">
            <v>4407.2299999999996</v>
          </cell>
          <cell r="M267">
            <v>-11831.56</v>
          </cell>
          <cell r="N267">
            <v>-3409.99</v>
          </cell>
          <cell r="O267">
            <v>459.62</v>
          </cell>
          <cell r="P267">
            <v>16356.219999999998</v>
          </cell>
          <cell r="R267" t="str">
            <v>F56800E</v>
          </cell>
          <cell r="S267">
            <v>16356.22</v>
          </cell>
          <cell r="T267">
            <v>141502.72999999998</v>
          </cell>
        </row>
        <row r="268">
          <cell r="A268" t="str">
            <v>F56810E</v>
          </cell>
          <cell r="B268" t="str">
            <v>MAINTENANCE SUPERVISION AND ENGINEERING</v>
          </cell>
          <cell r="C268">
            <v>0</v>
          </cell>
          <cell r="F268">
            <v>6436.7</v>
          </cell>
          <cell r="G268">
            <v>16969.13</v>
          </cell>
          <cell r="H268">
            <v>11224.28</v>
          </cell>
          <cell r="I268">
            <v>221.02</v>
          </cell>
          <cell r="J268">
            <v>11214.85</v>
          </cell>
          <cell r="K268">
            <v>26844.51</v>
          </cell>
          <cell r="L268">
            <v>17344.48</v>
          </cell>
          <cell r="M268">
            <v>12738.41</v>
          </cell>
          <cell r="N268">
            <v>208.6</v>
          </cell>
          <cell r="O268">
            <v>23861.19</v>
          </cell>
          <cell r="P268">
            <v>127063.17</v>
          </cell>
          <cell r="R268" t="str">
            <v>F56810E</v>
          </cell>
          <cell r="S268">
            <v>127063.17</v>
          </cell>
          <cell r="T268">
            <v>127063.17</v>
          </cell>
        </row>
        <row r="269">
          <cell r="A269" t="str">
            <v>F56900E</v>
          </cell>
          <cell r="B269" t="str">
            <v>MAINTENANCE OF STRUCTURES</v>
          </cell>
          <cell r="C269">
            <v>9686.15</v>
          </cell>
          <cell r="D269">
            <v>0</v>
          </cell>
          <cell r="E269">
            <v>-231.48</v>
          </cell>
          <cell r="F269">
            <v>0</v>
          </cell>
          <cell r="G269">
            <v>173.09</v>
          </cell>
          <cell r="H269">
            <v>99.65</v>
          </cell>
          <cell r="I269">
            <v>9983.2099999999991</v>
          </cell>
          <cell r="J269">
            <v>428.11</v>
          </cell>
          <cell r="K269">
            <v>15.6</v>
          </cell>
          <cell r="L269">
            <v>15</v>
          </cell>
          <cell r="M269">
            <v>23</v>
          </cell>
          <cell r="N269">
            <v>14.8</v>
          </cell>
          <cell r="O269">
            <v>649.98</v>
          </cell>
          <cell r="P269">
            <v>11170.96</v>
          </cell>
          <cell r="R269" t="str">
            <v>F56900E</v>
          </cell>
          <cell r="S269">
            <v>11170.96</v>
          </cell>
          <cell r="T269">
            <v>20857.11</v>
          </cell>
        </row>
        <row r="270">
          <cell r="A270" t="str">
            <v>F57000E</v>
          </cell>
          <cell r="B270" t="str">
            <v>MAINTENANCE OF STATION EQUIPMENT</v>
          </cell>
          <cell r="C270">
            <v>2272180.41</v>
          </cell>
          <cell r="D270">
            <v>203884.23</v>
          </cell>
          <cell r="E270">
            <v>170126.67</v>
          </cell>
          <cell r="F270">
            <v>45535.15</v>
          </cell>
          <cell r="G270">
            <v>34771.79</v>
          </cell>
          <cell r="H270">
            <v>25834.13</v>
          </cell>
          <cell r="I270">
            <v>34839.35</v>
          </cell>
          <cell r="J270">
            <v>46292.7</v>
          </cell>
          <cell r="K270">
            <v>34215.5</v>
          </cell>
          <cell r="L270">
            <v>27201.99</v>
          </cell>
          <cell r="M270">
            <v>38698.29</v>
          </cell>
          <cell r="N270">
            <v>86870.64</v>
          </cell>
          <cell r="O270">
            <v>20672.25</v>
          </cell>
          <cell r="P270">
            <v>768942.69000000006</v>
          </cell>
          <cell r="R270" t="str">
            <v>F57000E</v>
          </cell>
          <cell r="S270">
            <v>768942.69</v>
          </cell>
          <cell r="T270">
            <v>3041123.1</v>
          </cell>
        </row>
        <row r="271">
          <cell r="A271" t="str">
            <v>F57010E</v>
          </cell>
          <cell r="B271" t="str">
            <v>MAINTENANCE OF STATION EQUIPMENT</v>
          </cell>
          <cell r="C271">
            <v>0</v>
          </cell>
          <cell r="F271">
            <v>114705.25</v>
          </cell>
          <cell r="G271">
            <v>88980.08</v>
          </cell>
          <cell r="H271">
            <v>73580.97</v>
          </cell>
          <cell r="I271">
            <v>63842.14</v>
          </cell>
          <cell r="J271">
            <v>78053.509999999995</v>
          </cell>
          <cell r="K271">
            <v>107342.6</v>
          </cell>
          <cell r="L271">
            <v>119684.96</v>
          </cell>
          <cell r="M271">
            <v>100851.22</v>
          </cell>
          <cell r="N271">
            <v>131064.94</v>
          </cell>
          <cell r="O271">
            <v>72609.710000000006</v>
          </cell>
          <cell r="P271">
            <v>950715.37999999989</v>
          </cell>
          <cell r="R271" t="str">
            <v>F57010E</v>
          </cell>
          <cell r="S271">
            <v>950715.38</v>
          </cell>
          <cell r="T271">
            <v>950715.37999999989</v>
          </cell>
        </row>
        <row r="272">
          <cell r="A272" t="str">
            <v>F57020E</v>
          </cell>
          <cell r="B272" t="str">
            <v>MAINTENANCE OF STATION EQUIPMENT</v>
          </cell>
          <cell r="C272">
            <v>0</v>
          </cell>
          <cell r="F272">
            <v>9835.99</v>
          </cell>
          <cell r="G272">
            <v>10956.67</v>
          </cell>
          <cell r="H272">
            <v>10746.87</v>
          </cell>
          <cell r="I272">
            <v>11550.14</v>
          </cell>
          <cell r="J272">
            <v>11276.4</v>
          </cell>
          <cell r="K272">
            <v>13324.64</v>
          </cell>
          <cell r="L272">
            <v>8164.69</v>
          </cell>
          <cell r="M272">
            <v>6845.61</v>
          </cell>
          <cell r="N272">
            <v>16869.14</v>
          </cell>
          <cell r="O272">
            <v>11862.12</v>
          </cell>
          <cell r="P272">
            <v>111432.26999999999</v>
          </cell>
          <cell r="R272" t="str">
            <v>F57020E</v>
          </cell>
          <cell r="S272">
            <v>111432.27</v>
          </cell>
          <cell r="T272">
            <v>111432.26999999999</v>
          </cell>
        </row>
        <row r="273">
          <cell r="A273" t="str">
            <v>F57050E</v>
          </cell>
          <cell r="B273" t="str">
            <v>MAINTENANCE OF STATION EQUIPMENT</v>
          </cell>
          <cell r="C273">
            <v>0</v>
          </cell>
          <cell r="J273">
            <v>276.07</v>
          </cell>
          <cell r="K273">
            <v>218.61</v>
          </cell>
          <cell r="N273">
            <v>5398.63</v>
          </cell>
          <cell r="O273">
            <v>28.25</v>
          </cell>
          <cell r="P273">
            <v>5921.56</v>
          </cell>
          <cell r="R273" t="str">
            <v>F57050E</v>
          </cell>
          <cell r="S273">
            <v>5921.56</v>
          </cell>
          <cell r="T273">
            <v>5921.56</v>
          </cell>
        </row>
        <row r="274">
          <cell r="A274" t="str">
            <v>F57060E</v>
          </cell>
          <cell r="B274" t="str">
            <v>MAINTENANCE OF STATION EQUIPMENT</v>
          </cell>
          <cell r="C274">
            <v>0</v>
          </cell>
          <cell r="F274">
            <v>4799.4799999999996</v>
          </cell>
          <cell r="G274">
            <v>316.29000000000002</v>
          </cell>
          <cell r="H274">
            <v>332.53</v>
          </cell>
          <cell r="I274">
            <v>1128.1099999999999</v>
          </cell>
          <cell r="J274">
            <v>563.91999999999996</v>
          </cell>
          <cell r="K274">
            <v>10973.64</v>
          </cell>
          <cell r="L274">
            <v>0</v>
          </cell>
          <cell r="M274">
            <v>6826.33</v>
          </cell>
          <cell r="N274">
            <v>33724.82</v>
          </cell>
          <cell r="O274">
            <v>650.21</v>
          </cell>
          <cell r="P274">
            <v>59315.329999999994</v>
          </cell>
          <cell r="R274" t="str">
            <v>F57060E</v>
          </cell>
          <cell r="S274">
            <v>59315.33</v>
          </cell>
          <cell r="T274">
            <v>59315.329999999994</v>
          </cell>
        </row>
        <row r="275">
          <cell r="A275" t="str">
            <v>F57070E</v>
          </cell>
          <cell r="B275" t="str">
            <v>MAINTENANCE OF STATION EQUIPMENT</v>
          </cell>
          <cell r="C275">
            <v>0</v>
          </cell>
          <cell r="F275">
            <v>5426.51</v>
          </cell>
          <cell r="G275">
            <v>316.56</v>
          </cell>
          <cell r="H275">
            <v>1105.1500000000001</v>
          </cell>
          <cell r="I275">
            <v>1311.05</v>
          </cell>
          <cell r="J275">
            <v>2135</v>
          </cell>
          <cell r="K275">
            <v>2689.56</v>
          </cell>
          <cell r="L275">
            <v>1774.1</v>
          </cell>
          <cell r="M275">
            <v>15841.75</v>
          </cell>
          <cell r="N275">
            <v>9312.68</v>
          </cell>
          <cell r="O275">
            <v>6</v>
          </cell>
          <cell r="P275">
            <v>39918.36</v>
          </cell>
          <cell r="R275" t="str">
            <v>F57070E</v>
          </cell>
          <cell r="S275">
            <v>39918.36</v>
          </cell>
          <cell r="T275">
            <v>39918.36</v>
          </cell>
        </row>
        <row r="276">
          <cell r="A276" t="str">
            <v>F57100E</v>
          </cell>
          <cell r="B276" t="str">
            <v>MAINTENANCE OF OVERHEAD LINES</v>
          </cell>
          <cell r="C276">
            <v>3328290.8</v>
          </cell>
          <cell r="D276">
            <v>123444.26</v>
          </cell>
          <cell r="E276">
            <v>107333.83</v>
          </cell>
          <cell r="F276">
            <v>24258.74</v>
          </cell>
          <cell r="G276">
            <v>29146.13</v>
          </cell>
          <cell r="H276">
            <v>52283.79</v>
          </cell>
          <cell r="I276">
            <v>120833.22</v>
          </cell>
          <cell r="J276">
            <v>109185.09</v>
          </cell>
          <cell r="K276">
            <v>33963.53</v>
          </cell>
          <cell r="L276">
            <v>30067.35</v>
          </cell>
          <cell r="M276">
            <v>148637.45000000001</v>
          </cell>
          <cell r="N276">
            <v>125573.24</v>
          </cell>
          <cell r="O276">
            <v>1022175.82</v>
          </cell>
          <cell r="P276">
            <v>1926902.4499999997</v>
          </cell>
          <cell r="R276" t="str">
            <v>F57100E</v>
          </cell>
          <cell r="S276">
            <v>1926902.45</v>
          </cell>
          <cell r="T276">
            <v>5255193.25</v>
          </cell>
        </row>
        <row r="277">
          <cell r="A277" t="str">
            <v>F57110E</v>
          </cell>
          <cell r="B277" t="str">
            <v>MAINTENANCE OF OVERHEAD LINES</v>
          </cell>
          <cell r="C277">
            <v>0</v>
          </cell>
          <cell r="F277">
            <v>20106.22</v>
          </cell>
          <cell r="G277">
            <v>13391.08</v>
          </cell>
          <cell r="H277">
            <v>11160.37</v>
          </cell>
          <cell r="I277">
            <v>13896.16</v>
          </cell>
          <cell r="J277">
            <v>17123.2</v>
          </cell>
          <cell r="K277">
            <v>36854.32</v>
          </cell>
          <cell r="L277">
            <v>28075.599999999999</v>
          </cell>
          <cell r="M277">
            <v>54752.7</v>
          </cell>
          <cell r="N277">
            <v>34898.879999999997</v>
          </cell>
          <cell r="O277">
            <v>30272.39</v>
          </cell>
          <cell r="P277">
            <v>260530.92000000004</v>
          </cell>
          <cell r="R277" t="str">
            <v>F57110E</v>
          </cell>
          <cell r="S277">
            <v>260530.92</v>
          </cell>
          <cell r="T277">
            <v>260530.92000000004</v>
          </cell>
        </row>
        <row r="278">
          <cell r="A278" t="str">
            <v>F57120E</v>
          </cell>
          <cell r="B278" t="str">
            <v>MAINTENANCE OF OVERHEAD LINES</v>
          </cell>
          <cell r="C278">
            <v>0</v>
          </cell>
          <cell r="F278">
            <v>17841.439999999999</v>
          </cell>
          <cell r="G278">
            <v>6117.19</v>
          </cell>
          <cell r="H278">
            <v>147287.66</v>
          </cell>
          <cell r="I278">
            <v>192352.79</v>
          </cell>
          <cell r="J278">
            <v>8290.3700000000008</v>
          </cell>
          <cell r="K278">
            <v>10833.03</v>
          </cell>
          <cell r="L278">
            <v>11784.26</v>
          </cell>
          <cell r="M278">
            <v>15929.24</v>
          </cell>
          <cell r="N278">
            <v>38531.75</v>
          </cell>
          <cell r="O278">
            <v>182253.31</v>
          </cell>
          <cell r="P278">
            <v>631221.04</v>
          </cell>
          <cell r="R278" t="str">
            <v>F57120E</v>
          </cell>
          <cell r="S278">
            <v>631221.04</v>
          </cell>
          <cell r="T278">
            <v>631221.04</v>
          </cell>
        </row>
        <row r="279">
          <cell r="A279" t="str">
            <v>F57130E</v>
          </cell>
          <cell r="B279" t="str">
            <v>MAINTENANCE OF OVERHEAD LINES</v>
          </cell>
          <cell r="C279">
            <v>0</v>
          </cell>
          <cell r="F279">
            <v>68257.490000000005</v>
          </cell>
          <cell r="G279">
            <v>63685.05</v>
          </cell>
          <cell r="H279">
            <v>62375.13</v>
          </cell>
          <cell r="I279">
            <v>61191.16</v>
          </cell>
          <cell r="J279">
            <v>89421.31</v>
          </cell>
          <cell r="K279">
            <v>110983.14</v>
          </cell>
          <cell r="L279">
            <v>79038.080000000002</v>
          </cell>
          <cell r="M279">
            <v>54440.23</v>
          </cell>
          <cell r="N279">
            <v>93780.73</v>
          </cell>
          <cell r="O279">
            <v>66341.179999999993</v>
          </cell>
          <cell r="P279">
            <v>749513.5</v>
          </cell>
          <cell r="R279" t="str">
            <v>F57130E</v>
          </cell>
          <cell r="S279">
            <v>749513.5</v>
          </cell>
          <cell r="T279">
            <v>749513.5</v>
          </cell>
        </row>
        <row r="280">
          <cell r="A280" t="str">
            <v>F57170E</v>
          </cell>
          <cell r="B280" t="str">
            <v>MAINTENANCE OF OVERHEAD LINES</v>
          </cell>
          <cell r="C280">
            <v>0</v>
          </cell>
          <cell r="F280">
            <v>332.19</v>
          </cell>
          <cell r="G280">
            <v>1390.03</v>
          </cell>
          <cell r="H280">
            <v>980</v>
          </cell>
          <cell r="I280">
            <v>0</v>
          </cell>
          <cell r="J280">
            <v>3573.07</v>
          </cell>
          <cell r="K280">
            <v>134.62</v>
          </cell>
          <cell r="L280">
            <v>0</v>
          </cell>
          <cell r="M280">
            <v>1120</v>
          </cell>
          <cell r="N280">
            <v>0</v>
          </cell>
          <cell r="O280">
            <v>220.99</v>
          </cell>
          <cell r="P280">
            <v>7750.9000000000005</v>
          </cell>
          <cell r="R280" t="str">
            <v>F57170E</v>
          </cell>
          <cell r="S280">
            <v>7750.9</v>
          </cell>
          <cell r="T280">
            <v>7750.9000000000005</v>
          </cell>
        </row>
        <row r="281">
          <cell r="A281" t="str">
            <v>F57180E</v>
          </cell>
          <cell r="B281" t="str">
            <v>MAINTENANCE OF OVERHEAD LINES</v>
          </cell>
          <cell r="C281">
            <v>0</v>
          </cell>
          <cell r="F281">
            <v>1760.47</v>
          </cell>
          <cell r="G281">
            <v>1478.63</v>
          </cell>
          <cell r="H281">
            <v>1467.85</v>
          </cell>
          <cell r="I281">
            <v>3470.06</v>
          </cell>
          <cell r="J281">
            <v>2904.46</v>
          </cell>
          <cell r="K281">
            <v>5050.5</v>
          </cell>
          <cell r="L281">
            <v>4800.24</v>
          </cell>
          <cell r="M281">
            <v>2383.63</v>
          </cell>
          <cell r="N281">
            <v>4230.07</v>
          </cell>
          <cell r="O281">
            <v>3204.52</v>
          </cell>
          <cell r="P281">
            <v>30750.43</v>
          </cell>
          <cell r="R281" t="str">
            <v>F57180E</v>
          </cell>
          <cell r="S281">
            <v>30750.43</v>
          </cell>
          <cell r="T281">
            <v>30750.43</v>
          </cell>
        </row>
        <row r="282">
          <cell r="A282" t="str">
            <v>F57190E</v>
          </cell>
          <cell r="B282" t="str">
            <v>MAINTENANCE OF OVERHEAD LINES</v>
          </cell>
          <cell r="C282">
            <v>0</v>
          </cell>
          <cell r="F282">
            <v>100.82</v>
          </cell>
          <cell r="G282">
            <v>0</v>
          </cell>
          <cell r="L282">
            <v>47.22</v>
          </cell>
          <cell r="M282">
            <v>0</v>
          </cell>
          <cell r="P282">
            <v>148.04</v>
          </cell>
          <cell r="R282" t="str">
            <v>F57190E</v>
          </cell>
          <cell r="S282">
            <v>148.04</v>
          </cell>
          <cell r="T282">
            <v>148.04</v>
          </cell>
        </row>
        <row r="283">
          <cell r="A283" t="str">
            <v>F57200E</v>
          </cell>
          <cell r="B283" t="str">
            <v>MAINTENANCE OF UNDERGROUND LINES</v>
          </cell>
          <cell r="C283">
            <v>19683.07</v>
          </cell>
          <cell r="D283">
            <v>485.32</v>
          </cell>
          <cell r="E283">
            <v>275.73</v>
          </cell>
          <cell r="F283">
            <v>607.92999999999995</v>
          </cell>
          <cell r="G283">
            <v>1213.67</v>
          </cell>
          <cell r="H283">
            <v>1066.21</v>
          </cell>
          <cell r="I283">
            <v>9149.35</v>
          </cell>
          <cell r="J283">
            <v>289.93</v>
          </cell>
          <cell r="K283">
            <v>340.01</v>
          </cell>
          <cell r="L283">
            <v>487.31</v>
          </cell>
          <cell r="M283">
            <v>234.88</v>
          </cell>
          <cell r="N283">
            <v>145.85</v>
          </cell>
          <cell r="O283">
            <v>348.08</v>
          </cell>
          <cell r="P283">
            <v>14644.27</v>
          </cell>
          <cell r="R283" t="str">
            <v>F57200E</v>
          </cell>
          <cell r="S283">
            <v>14644.27</v>
          </cell>
          <cell r="T283">
            <v>34327.339999999997</v>
          </cell>
        </row>
        <row r="284">
          <cell r="A284" t="str">
            <v>F57300E</v>
          </cell>
          <cell r="B284" t="str">
            <v>MAINTENANCE OF MISCELLANEOUS TRANSMISSION PLANT</v>
          </cell>
          <cell r="C284">
            <v>291.64999999999998</v>
          </cell>
          <cell r="D284">
            <v>0</v>
          </cell>
          <cell r="E284">
            <v>4.4000000000000004</v>
          </cell>
          <cell r="H284">
            <v>0</v>
          </cell>
          <cell r="I284">
            <v>392.55</v>
          </cell>
          <cell r="J284">
            <v>1280.04</v>
          </cell>
          <cell r="K284">
            <v>499.07</v>
          </cell>
          <cell r="L284">
            <v>475</v>
          </cell>
          <cell r="M284">
            <v>708.65</v>
          </cell>
          <cell r="N284">
            <v>2046.59</v>
          </cell>
          <cell r="O284">
            <v>1312.79</v>
          </cell>
          <cell r="P284">
            <v>6719.09</v>
          </cell>
          <cell r="R284" t="str">
            <v>F57300E</v>
          </cell>
          <cell r="S284">
            <v>6719.09</v>
          </cell>
          <cell r="T284">
            <v>7010.74</v>
          </cell>
        </row>
        <row r="285">
          <cell r="A285" t="str">
            <v>F58000E</v>
          </cell>
          <cell r="B285" t="str">
            <v>OPERATION SUPERVISION AND ENGINEERING</v>
          </cell>
          <cell r="C285">
            <v>4816900.55</v>
          </cell>
          <cell r="D285">
            <v>249496.82</v>
          </cell>
          <cell r="E285">
            <v>299097.13</v>
          </cell>
          <cell r="F285">
            <v>515844.65</v>
          </cell>
          <cell r="G285">
            <v>471809.89</v>
          </cell>
          <cell r="H285">
            <v>334262.99</v>
          </cell>
          <cell r="I285">
            <v>430541.22</v>
          </cell>
          <cell r="J285">
            <v>334294.59999999998</v>
          </cell>
          <cell r="K285">
            <v>462086.1</v>
          </cell>
          <cell r="L285">
            <v>445329.17</v>
          </cell>
          <cell r="M285">
            <v>1343047.6</v>
          </cell>
          <cell r="N285">
            <v>364737</v>
          </cell>
          <cell r="O285">
            <v>1509405.01</v>
          </cell>
          <cell r="P285">
            <v>6759952.1799999997</v>
          </cell>
          <cell r="R285" t="str">
            <v>F58000E</v>
          </cell>
          <cell r="S285">
            <v>6759952.1800000006</v>
          </cell>
          <cell r="T285">
            <v>11576852.73</v>
          </cell>
        </row>
        <row r="286">
          <cell r="A286" t="str">
            <v>F58010E</v>
          </cell>
          <cell r="B286" t="str">
            <v>OPERATION SUPERVISION AND ENGINEERING</v>
          </cell>
          <cell r="C286">
            <v>0</v>
          </cell>
          <cell r="F286">
            <v>174182.17</v>
          </cell>
          <cell r="G286">
            <v>131623.12</v>
          </cell>
          <cell r="H286">
            <v>139897.34</v>
          </cell>
          <cell r="I286">
            <v>173578.79</v>
          </cell>
          <cell r="J286">
            <v>158761.37</v>
          </cell>
          <cell r="K286">
            <v>178383.53</v>
          </cell>
          <cell r="L286">
            <v>127819.02</v>
          </cell>
          <cell r="M286">
            <v>94461.14</v>
          </cell>
          <cell r="N286">
            <v>130936.43</v>
          </cell>
          <cell r="O286">
            <v>90910.21</v>
          </cell>
          <cell r="P286">
            <v>1400553.1199999999</v>
          </cell>
          <cell r="R286" t="str">
            <v>F58010E</v>
          </cell>
          <cell r="S286">
            <v>1400553.12</v>
          </cell>
          <cell r="T286">
            <v>1400553.1199999999</v>
          </cell>
        </row>
        <row r="287">
          <cell r="A287" t="str">
            <v>F58020E</v>
          </cell>
          <cell r="B287" t="str">
            <v>OPERATION SUPERVISION AND ENGINEERING</v>
          </cell>
          <cell r="C287">
            <v>0</v>
          </cell>
          <cell r="F287">
            <v>68974.63</v>
          </cell>
          <cell r="G287">
            <v>53764.33</v>
          </cell>
          <cell r="H287">
            <v>67773.97</v>
          </cell>
          <cell r="I287">
            <v>92663.34</v>
          </cell>
          <cell r="J287">
            <v>85692.6</v>
          </cell>
          <cell r="K287">
            <v>91914.06</v>
          </cell>
          <cell r="L287">
            <v>71335.92</v>
          </cell>
          <cell r="M287">
            <v>63244.480000000003</v>
          </cell>
          <cell r="N287">
            <v>103800.73</v>
          </cell>
          <cell r="O287">
            <v>64838.32</v>
          </cell>
          <cell r="P287">
            <v>764002.37999999989</v>
          </cell>
          <cell r="R287" t="str">
            <v>F58020E</v>
          </cell>
          <cell r="S287">
            <v>764002.38</v>
          </cell>
          <cell r="T287">
            <v>764002.37999999989</v>
          </cell>
        </row>
        <row r="288">
          <cell r="A288" t="str">
            <v>F58040E</v>
          </cell>
          <cell r="B288" t="str">
            <v>OPERATION SUPERVISION AND ENGINEERING</v>
          </cell>
          <cell r="C288">
            <v>0</v>
          </cell>
          <cell r="F288">
            <v>2414.4699999999998</v>
          </cell>
          <cell r="G288">
            <v>1609.12</v>
          </cell>
          <cell r="H288">
            <v>2134.3200000000002</v>
          </cell>
          <cell r="I288">
            <v>2761.61</v>
          </cell>
          <cell r="J288">
            <v>3101.51</v>
          </cell>
          <cell r="K288">
            <v>3183.57</v>
          </cell>
          <cell r="L288">
            <v>3270.17</v>
          </cell>
          <cell r="M288">
            <v>8574.23</v>
          </cell>
          <cell r="N288">
            <v>2751.99</v>
          </cell>
          <cell r="O288">
            <v>1976.42</v>
          </cell>
          <cell r="P288">
            <v>31777.409999999996</v>
          </cell>
          <cell r="R288" t="str">
            <v>F58040E</v>
          </cell>
          <cell r="S288">
            <v>31777.41</v>
          </cell>
          <cell r="T288">
            <v>31777.409999999996</v>
          </cell>
        </row>
        <row r="289">
          <cell r="A289" t="str">
            <v>F58100E</v>
          </cell>
          <cell r="B289" t="str">
            <v>LOAD DISPATCHING</v>
          </cell>
          <cell r="C289">
            <v>1064235.47</v>
          </cell>
          <cell r="D289">
            <v>97688.17</v>
          </cell>
          <cell r="E289">
            <v>55361.08</v>
          </cell>
          <cell r="F289">
            <v>114408.75</v>
          </cell>
          <cell r="G289">
            <v>86200.3</v>
          </cell>
          <cell r="H289">
            <v>86645.71</v>
          </cell>
          <cell r="I289">
            <v>110685.2</v>
          </cell>
          <cell r="J289">
            <v>84288.14</v>
          </cell>
          <cell r="K289">
            <v>96367.83</v>
          </cell>
          <cell r="L289">
            <v>127295.77</v>
          </cell>
          <cell r="M289">
            <v>88665.9</v>
          </cell>
          <cell r="N289">
            <v>125522.61</v>
          </cell>
          <cell r="O289">
            <v>98568.04</v>
          </cell>
          <cell r="P289">
            <v>1171697.5</v>
          </cell>
          <cell r="R289" t="str">
            <v>F58100E</v>
          </cell>
          <cell r="S289">
            <v>1171697.5</v>
          </cell>
          <cell r="T289">
            <v>2235932.9699999997</v>
          </cell>
        </row>
        <row r="290">
          <cell r="A290" t="str">
            <v>F58200E</v>
          </cell>
          <cell r="B290" t="str">
            <v>STATION EXPENSES</v>
          </cell>
          <cell r="C290">
            <v>2512656.5299999998</v>
          </cell>
          <cell r="D290">
            <v>190862.57</v>
          </cell>
          <cell r="E290">
            <v>177902.41</v>
          </cell>
          <cell r="F290">
            <v>79147.899999999994</v>
          </cell>
          <cell r="G290">
            <v>110315.33</v>
          </cell>
          <cell r="H290">
            <v>52066.96</v>
          </cell>
          <cell r="I290">
            <v>87103.1</v>
          </cell>
          <cell r="J290">
            <v>93436.42</v>
          </cell>
          <cell r="K290">
            <v>70716.5</v>
          </cell>
          <cell r="L290">
            <v>204932.84</v>
          </cell>
          <cell r="M290">
            <v>97871.69</v>
          </cell>
          <cell r="N290">
            <v>123109.13</v>
          </cell>
          <cell r="O290">
            <v>173444.64</v>
          </cell>
          <cell r="P290">
            <v>1460909.4900000002</v>
          </cell>
          <cell r="R290" t="str">
            <v>F58200E</v>
          </cell>
          <cell r="S290">
            <v>1460909.49</v>
          </cell>
          <cell r="T290">
            <v>3973566.02</v>
          </cell>
        </row>
        <row r="291">
          <cell r="A291" t="str">
            <v>F58210E</v>
          </cell>
          <cell r="B291" t="str">
            <v>STATION EXPENSES</v>
          </cell>
          <cell r="C291">
            <v>0</v>
          </cell>
          <cell r="F291">
            <v>70390.19</v>
          </cell>
          <cell r="G291">
            <v>62497.2</v>
          </cell>
          <cell r="H291">
            <v>76998.05</v>
          </cell>
          <cell r="I291">
            <v>89946.48</v>
          </cell>
          <cell r="J291">
            <v>83589.119999999995</v>
          </cell>
          <cell r="K291">
            <v>104145.52</v>
          </cell>
          <cell r="L291">
            <v>83827.31</v>
          </cell>
          <cell r="M291">
            <v>75991.91</v>
          </cell>
          <cell r="N291">
            <v>101699.84</v>
          </cell>
          <cell r="O291">
            <v>78550.05</v>
          </cell>
          <cell r="P291">
            <v>827635.67</v>
          </cell>
          <cell r="R291" t="str">
            <v>F58210E</v>
          </cell>
          <cell r="S291">
            <v>827635.67</v>
          </cell>
          <cell r="T291">
            <v>827635.67</v>
          </cell>
        </row>
        <row r="292">
          <cell r="A292" t="str">
            <v>F58220E</v>
          </cell>
          <cell r="B292" t="str">
            <v>STATION EXPENSES</v>
          </cell>
          <cell r="C292">
            <v>0</v>
          </cell>
          <cell r="F292">
            <v>30</v>
          </cell>
          <cell r="G292">
            <v>46.02</v>
          </cell>
          <cell r="H292">
            <v>170.95</v>
          </cell>
          <cell r="I292">
            <v>153.93</v>
          </cell>
          <cell r="J292">
            <v>6280.2</v>
          </cell>
          <cell r="K292">
            <v>0</v>
          </cell>
          <cell r="L292">
            <v>1790.45</v>
          </cell>
          <cell r="M292">
            <v>0</v>
          </cell>
          <cell r="N292">
            <v>159.12</v>
          </cell>
          <cell r="O292">
            <v>681.56</v>
          </cell>
          <cell r="P292">
            <v>9312.23</v>
          </cell>
          <cell r="R292" t="str">
            <v>F58220E</v>
          </cell>
          <cell r="S292">
            <v>9312.23</v>
          </cell>
          <cell r="T292">
            <v>9312.23</v>
          </cell>
        </row>
        <row r="293">
          <cell r="A293" t="str">
            <v>F58240E</v>
          </cell>
          <cell r="B293" t="str">
            <v>STATION EXPENSES</v>
          </cell>
          <cell r="C293">
            <v>0</v>
          </cell>
          <cell r="L293">
            <v>555.02</v>
          </cell>
          <cell r="M293">
            <v>0</v>
          </cell>
          <cell r="N293">
            <v>0</v>
          </cell>
          <cell r="O293">
            <v>63.35</v>
          </cell>
          <cell r="P293">
            <v>618.37</v>
          </cell>
          <cell r="R293" t="str">
            <v>F58240E</v>
          </cell>
          <cell r="S293">
            <v>618.37</v>
          </cell>
          <cell r="T293">
            <v>618.37</v>
          </cell>
        </row>
        <row r="294">
          <cell r="A294" t="str">
            <v>F58250E</v>
          </cell>
          <cell r="B294" t="str">
            <v>STATION EXPENSES</v>
          </cell>
          <cell r="C294">
            <v>0</v>
          </cell>
          <cell r="F294">
            <v>1172.95</v>
          </cell>
          <cell r="G294">
            <v>868.45</v>
          </cell>
          <cell r="H294">
            <v>1138.6099999999999</v>
          </cell>
          <cell r="I294">
            <v>1679.18</v>
          </cell>
          <cell r="J294">
            <v>1036.68</v>
          </cell>
          <cell r="K294">
            <v>1106.68</v>
          </cell>
          <cell r="L294">
            <v>763.36</v>
          </cell>
          <cell r="M294">
            <v>839.37</v>
          </cell>
          <cell r="N294">
            <v>1016.43</v>
          </cell>
          <cell r="O294">
            <v>739.3</v>
          </cell>
          <cell r="P294">
            <v>10361.01</v>
          </cell>
          <cell r="R294" t="str">
            <v>F58250E</v>
          </cell>
          <cell r="S294">
            <v>10361.01</v>
          </cell>
          <cell r="T294">
            <v>10361.01</v>
          </cell>
        </row>
        <row r="295">
          <cell r="A295" t="str">
            <v>F58270E</v>
          </cell>
          <cell r="B295" t="str">
            <v>STATION EXPENSES</v>
          </cell>
          <cell r="C295">
            <v>0</v>
          </cell>
          <cell r="F295">
            <v>66308.33</v>
          </cell>
          <cell r="G295">
            <v>61242.13</v>
          </cell>
          <cell r="H295">
            <v>88019.32</v>
          </cell>
          <cell r="I295">
            <v>97416.42</v>
          </cell>
          <cell r="J295">
            <v>77901.42</v>
          </cell>
          <cell r="K295">
            <v>122934.15</v>
          </cell>
          <cell r="L295">
            <v>69168.14</v>
          </cell>
          <cell r="M295">
            <v>72506.259999999995</v>
          </cell>
          <cell r="N295">
            <v>102404.26</v>
          </cell>
          <cell r="O295">
            <v>66671.179999999993</v>
          </cell>
          <cell r="P295">
            <v>824571.6100000001</v>
          </cell>
          <cell r="R295" t="str">
            <v>F58270E</v>
          </cell>
          <cell r="S295">
            <v>824571.61</v>
          </cell>
          <cell r="T295">
            <v>824571.6100000001</v>
          </cell>
        </row>
        <row r="296">
          <cell r="A296" t="str">
            <v>F58300E</v>
          </cell>
          <cell r="B296" t="str">
            <v>OVERHEAD LINE EXPENSES</v>
          </cell>
          <cell r="C296">
            <v>2722324.95</v>
          </cell>
          <cell r="D296">
            <v>93692.87</v>
          </cell>
          <cell r="E296">
            <v>159937.03</v>
          </cell>
          <cell r="F296">
            <v>95999.42</v>
          </cell>
          <cell r="G296">
            <v>100411.91</v>
          </cell>
          <cell r="H296">
            <v>69672.399999999994</v>
          </cell>
          <cell r="I296">
            <v>110309.12</v>
          </cell>
          <cell r="J296">
            <v>86736.93</v>
          </cell>
          <cell r="K296">
            <v>110867.33</v>
          </cell>
          <cell r="L296">
            <v>63329.22</v>
          </cell>
          <cell r="M296">
            <v>85942.48</v>
          </cell>
          <cell r="N296">
            <v>95213.95</v>
          </cell>
          <cell r="O296">
            <v>111497.39</v>
          </cell>
          <cell r="P296">
            <v>1183610.0499999998</v>
          </cell>
          <cell r="R296" t="str">
            <v>F58300E</v>
          </cell>
          <cell r="S296">
            <v>1183610.05</v>
          </cell>
          <cell r="T296">
            <v>3905935</v>
          </cell>
        </row>
        <row r="297">
          <cell r="A297" t="str">
            <v>F58310E</v>
          </cell>
          <cell r="B297" t="str">
            <v>OVERHEAD LINE EXPENSES</v>
          </cell>
          <cell r="C297">
            <v>0</v>
          </cell>
          <cell r="F297">
            <v>42885.74</v>
          </cell>
          <cell r="G297">
            <v>49014.46</v>
          </cell>
          <cell r="H297">
            <v>59689.65</v>
          </cell>
          <cell r="I297">
            <v>55119.56</v>
          </cell>
          <cell r="J297">
            <v>65627.67</v>
          </cell>
          <cell r="K297">
            <v>78447.95</v>
          </cell>
          <cell r="L297">
            <v>54549.78</v>
          </cell>
          <cell r="M297">
            <v>50880.76</v>
          </cell>
          <cell r="N297">
            <v>62690.48</v>
          </cell>
          <cell r="O297">
            <v>48060.9</v>
          </cell>
          <cell r="P297">
            <v>566966.95000000007</v>
          </cell>
          <cell r="R297" t="str">
            <v>F58310E</v>
          </cell>
          <cell r="S297">
            <v>566966.94999999995</v>
          </cell>
          <cell r="T297">
            <v>566966.95000000007</v>
          </cell>
        </row>
        <row r="298">
          <cell r="A298" t="str">
            <v>F58330E</v>
          </cell>
          <cell r="B298" t="str">
            <v>OVERHEAD LINE EXPENSES</v>
          </cell>
          <cell r="C298">
            <v>0</v>
          </cell>
          <cell r="F298">
            <v>14399.56</v>
          </cell>
          <cell r="G298">
            <v>11692.88</v>
          </cell>
          <cell r="H298">
            <v>8878.94</v>
          </cell>
          <cell r="I298">
            <v>4635.8</v>
          </cell>
          <cell r="J298">
            <v>2743.68</v>
          </cell>
          <cell r="K298">
            <v>-263698.84000000003</v>
          </cell>
          <cell r="L298">
            <v>-38188.230000000003</v>
          </cell>
          <cell r="M298">
            <v>-26547.47</v>
          </cell>
          <cell r="N298">
            <v>-32751.17</v>
          </cell>
          <cell r="O298">
            <v>-48613.16</v>
          </cell>
          <cell r="P298">
            <v>-367448.01</v>
          </cell>
          <cell r="R298" t="str">
            <v>F58330E</v>
          </cell>
          <cell r="S298">
            <v>-367448.01</v>
          </cell>
          <cell r="T298">
            <v>-367448.01</v>
          </cell>
        </row>
        <row r="299">
          <cell r="A299" t="str">
            <v>F58340E</v>
          </cell>
          <cell r="B299" t="str">
            <v>OVERHEAD LINE EXPENSES</v>
          </cell>
          <cell r="C299">
            <v>0</v>
          </cell>
          <cell r="F299">
            <v>14100.15</v>
          </cell>
          <cell r="G299">
            <v>0</v>
          </cell>
          <cell r="P299">
            <v>14100.15</v>
          </cell>
          <cell r="R299" t="str">
            <v>F58340E</v>
          </cell>
          <cell r="S299">
            <v>14100.15</v>
          </cell>
          <cell r="T299">
            <v>14100.15</v>
          </cell>
        </row>
        <row r="300">
          <cell r="A300" t="str">
            <v>F58350E</v>
          </cell>
          <cell r="B300" t="str">
            <v>OVERHEAD LINE EXPENSES</v>
          </cell>
          <cell r="C300">
            <v>0</v>
          </cell>
          <cell r="F300">
            <v>54.79</v>
          </cell>
          <cell r="G300">
            <v>98.43</v>
          </cell>
          <cell r="P300">
            <v>153.22</v>
          </cell>
          <cell r="R300" t="str">
            <v>F58350E</v>
          </cell>
          <cell r="S300">
            <v>153.22</v>
          </cell>
          <cell r="T300">
            <v>153.22</v>
          </cell>
        </row>
        <row r="301">
          <cell r="A301" t="str">
            <v>F58360E</v>
          </cell>
          <cell r="B301" t="str">
            <v>OVERHEAD LINE EXPENSES</v>
          </cell>
          <cell r="C301">
            <v>0</v>
          </cell>
          <cell r="F301">
            <v>1454.88</v>
          </cell>
          <cell r="G301">
            <v>1222.78</v>
          </cell>
          <cell r="H301">
            <v>1250.94</v>
          </cell>
          <cell r="I301">
            <v>1737.68</v>
          </cell>
          <cell r="J301">
            <v>1197.04</v>
          </cell>
          <cell r="K301">
            <v>1478.24</v>
          </cell>
          <cell r="L301">
            <v>936.13</v>
          </cell>
          <cell r="M301">
            <v>1591.28</v>
          </cell>
          <cell r="N301">
            <v>1268.71</v>
          </cell>
          <cell r="O301">
            <v>1250.33</v>
          </cell>
          <cell r="P301">
            <v>13388.01</v>
          </cell>
          <cell r="R301" t="str">
            <v>F58360E</v>
          </cell>
          <cell r="S301">
            <v>13388.01</v>
          </cell>
          <cell r="T301">
            <v>13388.01</v>
          </cell>
        </row>
        <row r="302">
          <cell r="A302" t="str">
            <v>F58400E</v>
          </cell>
          <cell r="B302" t="str">
            <v>UNDERGROUND LINE EXPENSES</v>
          </cell>
          <cell r="C302">
            <v>2054075.19</v>
          </cell>
          <cell r="D302">
            <v>108451.04</v>
          </cell>
          <cell r="E302">
            <v>88186.59</v>
          </cell>
          <cell r="F302">
            <v>153403.6</v>
          </cell>
          <cell r="G302">
            <v>155906.76999999999</v>
          </cell>
          <cell r="H302">
            <v>190547.06</v>
          </cell>
          <cell r="I302">
            <v>204728.51</v>
          </cell>
          <cell r="J302">
            <v>164157.29999999999</v>
          </cell>
          <cell r="K302">
            <v>215693.42</v>
          </cell>
          <cell r="L302">
            <v>146119.21</v>
          </cell>
          <cell r="M302">
            <v>157081.92000000001</v>
          </cell>
          <cell r="N302">
            <v>193082.88</v>
          </cell>
          <cell r="O302">
            <v>160756.32</v>
          </cell>
          <cell r="P302">
            <v>1938114.6199999999</v>
          </cell>
          <cell r="R302" t="str">
            <v>F58400E</v>
          </cell>
          <cell r="S302">
            <v>1938114.62</v>
          </cell>
          <cell r="T302">
            <v>3992189.8099999996</v>
          </cell>
        </row>
        <row r="303">
          <cell r="A303" t="str">
            <v>F58410E</v>
          </cell>
          <cell r="B303" t="str">
            <v>UNDERGROUND LINE EXPENSES</v>
          </cell>
          <cell r="C303">
            <v>0</v>
          </cell>
          <cell r="F303">
            <v>6953.7</v>
          </cell>
          <cell r="G303">
            <v>4669.34</v>
          </cell>
          <cell r="H303">
            <v>4610.4799999999996</v>
          </cell>
          <cell r="I303">
            <v>7904.03</v>
          </cell>
          <cell r="J303">
            <v>26644.83</v>
          </cell>
          <cell r="K303">
            <v>55623.96</v>
          </cell>
          <cell r="L303">
            <v>52217.760000000002</v>
          </cell>
          <cell r="M303">
            <v>43611.06</v>
          </cell>
          <cell r="N303">
            <v>61211.38</v>
          </cell>
          <cell r="O303">
            <v>34495.199999999997</v>
          </cell>
          <cell r="P303">
            <v>297941.74</v>
          </cell>
          <cell r="R303" t="str">
            <v>F58410E</v>
          </cell>
          <cell r="S303">
            <v>297941.74</v>
          </cell>
          <cell r="T303">
            <v>297941.74</v>
          </cell>
        </row>
        <row r="304">
          <cell r="A304" t="str">
            <v>F58420E</v>
          </cell>
          <cell r="B304" t="str">
            <v>UNDERGROUND LINE EXPENSES</v>
          </cell>
          <cell r="C304">
            <v>0</v>
          </cell>
          <cell r="F304">
            <v>22123.15</v>
          </cell>
          <cell r="G304">
            <v>17453.91</v>
          </cell>
          <cell r="H304">
            <v>10628.62</v>
          </cell>
          <cell r="I304">
            <v>4462.21</v>
          </cell>
          <cell r="J304">
            <v>3517.45</v>
          </cell>
          <cell r="K304">
            <v>-483836.22</v>
          </cell>
          <cell r="L304">
            <v>-123064.47</v>
          </cell>
          <cell r="M304">
            <v>-75468.479999999996</v>
          </cell>
          <cell r="N304">
            <v>-88025.18</v>
          </cell>
          <cell r="O304">
            <v>-94846.399999999994</v>
          </cell>
          <cell r="P304">
            <v>-807055.41</v>
          </cell>
          <cell r="R304" t="str">
            <v>F58420E</v>
          </cell>
          <cell r="S304">
            <v>-807055.41</v>
          </cell>
          <cell r="T304">
            <v>-807055.41</v>
          </cell>
        </row>
        <row r="305">
          <cell r="A305" t="str">
            <v>F58430E</v>
          </cell>
          <cell r="B305" t="str">
            <v>UNDERGROUND LINE EXPENSES</v>
          </cell>
          <cell r="C305">
            <v>0</v>
          </cell>
          <cell r="N305">
            <v>0</v>
          </cell>
          <cell r="O305">
            <v>215.67</v>
          </cell>
          <cell r="P305">
            <v>215.67</v>
          </cell>
          <cell r="R305" t="str">
            <v>F58430E</v>
          </cell>
          <cell r="S305">
            <v>215.67</v>
          </cell>
          <cell r="T305">
            <v>215.67</v>
          </cell>
        </row>
        <row r="306">
          <cell r="A306" t="str">
            <v>F58440E</v>
          </cell>
          <cell r="B306" t="str">
            <v>UNDERGROUND LINE EXPENSES</v>
          </cell>
          <cell r="C306">
            <v>0</v>
          </cell>
          <cell r="H306">
            <v>1102.99</v>
          </cell>
          <cell r="I306">
            <v>0</v>
          </cell>
          <cell r="L306">
            <v>0</v>
          </cell>
          <cell r="M306">
            <v>245.86</v>
          </cell>
          <cell r="N306">
            <v>0</v>
          </cell>
          <cell r="O306">
            <v>1574.85</v>
          </cell>
          <cell r="P306">
            <v>2923.7</v>
          </cell>
          <cell r="R306" t="str">
            <v>F58440E</v>
          </cell>
          <cell r="S306">
            <v>2923.7</v>
          </cell>
          <cell r="T306">
            <v>2923.7</v>
          </cell>
        </row>
        <row r="307">
          <cell r="A307" t="str">
            <v>F58450E</v>
          </cell>
          <cell r="B307" t="str">
            <v>UNDERGROUND LINE EXPENSES</v>
          </cell>
          <cell r="C307">
            <v>0</v>
          </cell>
          <cell r="F307">
            <v>1215.24</v>
          </cell>
          <cell r="G307">
            <v>1007.39</v>
          </cell>
          <cell r="H307">
            <v>1034.27</v>
          </cell>
          <cell r="I307">
            <v>933.66</v>
          </cell>
          <cell r="J307">
            <v>992.95</v>
          </cell>
          <cell r="K307">
            <v>1109.94</v>
          </cell>
          <cell r="L307">
            <v>830.65</v>
          </cell>
          <cell r="M307">
            <v>772.58</v>
          </cell>
          <cell r="N307">
            <v>1088.83</v>
          </cell>
          <cell r="O307">
            <v>787.98</v>
          </cell>
          <cell r="P307">
            <v>9773.49</v>
          </cell>
          <cell r="R307" t="str">
            <v>F58450E</v>
          </cell>
          <cell r="S307">
            <v>9773.49</v>
          </cell>
          <cell r="T307">
            <v>9773.49</v>
          </cell>
        </row>
        <row r="308">
          <cell r="A308" t="str">
            <v>F58460E</v>
          </cell>
          <cell r="B308" t="str">
            <v>UNDERGROUND LINE EXPENSES</v>
          </cell>
          <cell r="C308">
            <v>0</v>
          </cell>
          <cell r="F308">
            <v>57690.6</v>
          </cell>
          <cell r="G308">
            <v>44054.32</v>
          </cell>
          <cell r="H308">
            <v>87549.34</v>
          </cell>
          <cell r="I308">
            <v>95810.01</v>
          </cell>
          <cell r="J308">
            <v>87090.11</v>
          </cell>
          <cell r="K308">
            <v>85901.1</v>
          </cell>
          <cell r="L308">
            <v>106026.27</v>
          </cell>
          <cell r="M308">
            <v>83762.03</v>
          </cell>
          <cell r="N308">
            <v>147222.35999999999</v>
          </cell>
          <cell r="O308">
            <v>97989.85</v>
          </cell>
          <cell r="P308">
            <v>893095.99</v>
          </cell>
          <cell r="R308" t="str">
            <v>F58460E</v>
          </cell>
          <cell r="S308">
            <v>893095.99</v>
          </cell>
          <cell r="T308">
            <v>893095.99</v>
          </cell>
        </row>
        <row r="309">
          <cell r="A309" t="str">
            <v>F58500E</v>
          </cell>
          <cell r="B309" t="str">
            <v>STREET LIGHTING AND SIGNAL SYSTEM EXPENSES</v>
          </cell>
          <cell r="C309">
            <v>446781.25</v>
          </cell>
          <cell r="D309">
            <v>30715.93</v>
          </cell>
          <cell r="E309">
            <v>34318.92</v>
          </cell>
          <cell r="F309">
            <v>4748.3100000000004</v>
          </cell>
          <cell r="G309">
            <v>3751.94</v>
          </cell>
          <cell r="H309">
            <v>5460.24</v>
          </cell>
          <cell r="I309">
            <v>1831.7</v>
          </cell>
          <cell r="J309">
            <v>5853.86</v>
          </cell>
          <cell r="K309">
            <v>-1430.54</v>
          </cell>
          <cell r="L309">
            <v>2818.72</v>
          </cell>
          <cell r="M309">
            <v>3472.78</v>
          </cell>
          <cell r="N309">
            <v>7747.74</v>
          </cell>
          <cell r="O309">
            <v>1776.14</v>
          </cell>
          <cell r="P309">
            <v>101065.74000000002</v>
          </cell>
          <cell r="R309" t="str">
            <v>F58500E</v>
          </cell>
          <cell r="S309">
            <v>101065.74</v>
          </cell>
          <cell r="T309">
            <v>547846.99</v>
          </cell>
        </row>
        <row r="310">
          <cell r="A310" t="str">
            <v>F58510E</v>
          </cell>
          <cell r="B310" t="str">
            <v>STREET LIGHTING AND SIGNAL SYSTEM EXPENSES</v>
          </cell>
          <cell r="C310">
            <v>0</v>
          </cell>
          <cell r="F310">
            <v>51684.29</v>
          </cell>
          <cell r="G310">
            <v>8268.58</v>
          </cell>
          <cell r="H310">
            <v>46897.75</v>
          </cell>
          <cell r="I310">
            <v>36201.78</v>
          </cell>
          <cell r="J310">
            <v>39414.44</v>
          </cell>
          <cell r="K310">
            <v>60987.72</v>
          </cell>
          <cell r="L310">
            <v>40260.69</v>
          </cell>
          <cell r="M310">
            <v>49636.1</v>
          </cell>
          <cell r="N310">
            <v>56066.21</v>
          </cell>
          <cell r="O310">
            <v>51789.54</v>
          </cell>
          <cell r="P310">
            <v>441207.1</v>
          </cell>
          <cell r="R310" t="str">
            <v>F58510E</v>
          </cell>
          <cell r="S310">
            <v>441207.1</v>
          </cell>
          <cell r="T310">
            <v>441207.1</v>
          </cell>
        </row>
        <row r="311">
          <cell r="A311" t="str">
            <v>F58540E</v>
          </cell>
          <cell r="B311" t="str">
            <v>STREET LIGHTING AND SIGNAL SYSTEM EXPENSES</v>
          </cell>
          <cell r="C311">
            <v>0</v>
          </cell>
          <cell r="F311">
            <v>2742.13</v>
          </cell>
          <cell r="G311">
            <v>1904.16</v>
          </cell>
          <cell r="H311">
            <v>1420.01</v>
          </cell>
          <cell r="I311">
            <v>2937.64</v>
          </cell>
          <cell r="J311">
            <v>397.41</v>
          </cell>
          <cell r="K311">
            <v>1842.59</v>
          </cell>
          <cell r="L311">
            <v>863.09</v>
          </cell>
          <cell r="M311">
            <v>1553.8</v>
          </cell>
          <cell r="N311">
            <v>438.69</v>
          </cell>
          <cell r="O311">
            <v>3402.85</v>
          </cell>
          <cell r="P311">
            <v>17502.37</v>
          </cell>
          <cell r="R311" t="str">
            <v>F58540E</v>
          </cell>
          <cell r="S311">
            <v>17502.37</v>
          </cell>
          <cell r="T311">
            <v>17502.37</v>
          </cell>
        </row>
        <row r="312">
          <cell r="A312" t="str">
            <v>F58560E</v>
          </cell>
          <cell r="B312" t="str">
            <v>STREET LIGHTING AND SIGNAL SYSTEM EXPENSES</v>
          </cell>
          <cell r="C312">
            <v>0</v>
          </cell>
          <cell r="F312">
            <v>-2274.31</v>
          </cell>
          <cell r="G312">
            <v>-1228.8599999999999</v>
          </cell>
          <cell r="H312">
            <v>-2473.61</v>
          </cell>
          <cell r="I312">
            <v>-1496.99</v>
          </cell>
          <cell r="J312">
            <v>-1696.02</v>
          </cell>
          <cell r="K312">
            <v>769.85</v>
          </cell>
          <cell r="L312">
            <v>-2352.4299999999998</v>
          </cell>
          <cell r="M312">
            <v>-3374.11</v>
          </cell>
          <cell r="N312">
            <v>551.19000000000005</v>
          </cell>
          <cell r="O312">
            <v>-3363.46</v>
          </cell>
          <cell r="P312">
            <v>-16938.75</v>
          </cell>
          <cell r="R312" t="str">
            <v>F58560E</v>
          </cell>
          <cell r="S312">
            <v>-16938.75</v>
          </cell>
          <cell r="T312">
            <v>-16938.75</v>
          </cell>
        </row>
        <row r="313">
          <cell r="A313" t="str">
            <v>F58600E</v>
          </cell>
          <cell r="B313" t="str">
            <v>METER EXPENSES</v>
          </cell>
          <cell r="C313">
            <v>4350782.88</v>
          </cell>
          <cell r="D313">
            <v>321664.37</v>
          </cell>
          <cell r="E313">
            <v>237107.25</v>
          </cell>
          <cell r="F313">
            <v>78872.87</v>
          </cell>
          <cell r="G313">
            <v>74456.75</v>
          </cell>
          <cell r="H313">
            <v>78559.38</v>
          </cell>
          <cell r="I313">
            <v>80885.919999999998</v>
          </cell>
          <cell r="J313">
            <v>51309.47</v>
          </cell>
          <cell r="K313">
            <v>55312.32</v>
          </cell>
          <cell r="L313">
            <v>33320.11</v>
          </cell>
          <cell r="M313">
            <v>-1497.15</v>
          </cell>
          <cell r="N313">
            <v>29489.57</v>
          </cell>
          <cell r="O313">
            <v>332936.71000000002</v>
          </cell>
          <cell r="P313">
            <v>1372417.5699999998</v>
          </cell>
          <cell r="R313" t="str">
            <v>F58600E</v>
          </cell>
          <cell r="S313">
            <v>1372417.57</v>
          </cell>
          <cell r="T313">
            <v>5723200.4499999993</v>
          </cell>
        </row>
        <row r="314">
          <cell r="A314" t="str">
            <v>F58610E</v>
          </cell>
          <cell r="B314" t="str">
            <v>METER EXPENSES</v>
          </cell>
          <cell r="C314">
            <v>0</v>
          </cell>
          <cell r="F314">
            <v>29349.84</v>
          </cell>
          <cell r="G314">
            <v>28342.880000000001</v>
          </cell>
          <cell r="H314">
            <v>25489.82</v>
          </cell>
          <cell r="I314">
            <v>28510.82</v>
          </cell>
          <cell r="J314">
            <v>21255.77</v>
          </cell>
          <cell r="K314">
            <v>29181.68</v>
          </cell>
          <cell r="L314">
            <v>19962.96</v>
          </cell>
          <cell r="M314">
            <v>20045.66</v>
          </cell>
          <cell r="N314">
            <v>22137.8</v>
          </cell>
          <cell r="O314">
            <v>19456.099999999999</v>
          </cell>
          <cell r="P314">
            <v>243733.33</v>
          </cell>
          <cell r="R314" t="str">
            <v>F58610E</v>
          </cell>
          <cell r="S314">
            <v>243733.33</v>
          </cell>
          <cell r="T314">
            <v>243733.33</v>
          </cell>
        </row>
        <row r="315">
          <cell r="A315" t="str">
            <v>F58620E</v>
          </cell>
          <cell r="B315" t="str">
            <v>METER EXPENSES</v>
          </cell>
          <cell r="C315">
            <v>0</v>
          </cell>
          <cell r="F315">
            <v>41880.69</v>
          </cell>
          <cell r="G315">
            <v>28622.63</v>
          </cell>
          <cell r="H315">
            <v>31455.91</v>
          </cell>
          <cell r="I315">
            <v>28518.45</v>
          </cell>
          <cell r="J315">
            <v>24896.19</v>
          </cell>
          <cell r="K315">
            <v>29610.6</v>
          </cell>
          <cell r="L315">
            <v>25394.7</v>
          </cell>
          <cell r="M315">
            <v>27327.61</v>
          </cell>
          <cell r="N315">
            <v>19845.669999999998</v>
          </cell>
          <cell r="O315">
            <v>12423.49</v>
          </cell>
          <cell r="P315">
            <v>269975.94</v>
          </cell>
          <cell r="R315" t="str">
            <v>F58620E</v>
          </cell>
          <cell r="S315">
            <v>269975.94</v>
          </cell>
          <cell r="T315">
            <v>269975.94</v>
          </cell>
        </row>
        <row r="316">
          <cell r="A316" t="str">
            <v>F58630E</v>
          </cell>
          <cell r="B316" t="str">
            <v>METER EXPENSES</v>
          </cell>
          <cell r="C316">
            <v>0</v>
          </cell>
          <cell r="F316">
            <v>0</v>
          </cell>
          <cell r="G316">
            <v>599.1</v>
          </cell>
          <cell r="J316">
            <v>138.19999999999999</v>
          </cell>
          <cell r="K316">
            <v>0</v>
          </cell>
          <cell r="P316">
            <v>737.3</v>
          </cell>
          <cell r="R316" t="str">
            <v>F58630E</v>
          </cell>
          <cell r="S316">
            <v>737.3</v>
          </cell>
          <cell r="T316">
            <v>737.3</v>
          </cell>
        </row>
        <row r="317">
          <cell r="A317" t="str">
            <v>F58640E</v>
          </cell>
          <cell r="B317" t="str">
            <v>METER EXPENSES</v>
          </cell>
          <cell r="C317">
            <v>0</v>
          </cell>
          <cell r="F317">
            <v>203635.32</v>
          </cell>
          <cell r="G317">
            <v>167384.20000000001</v>
          </cell>
          <cell r="H317">
            <v>162342.39999999999</v>
          </cell>
          <cell r="I317">
            <v>196267.39</v>
          </cell>
          <cell r="J317">
            <v>181089.22</v>
          </cell>
          <cell r="K317">
            <v>220152.27</v>
          </cell>
          <cell r="L317">
            <v>166633.72</v>
          </cell>
          <cell r="M317">
            <v>144598.88</v>
          </cell>
          <cell r="N317">
            <v>164745.26999999999</v>
          </cell>
          <cell r="O317">
            <v>126120</v>
          </cell>
          <cell r="P317">
            <v>1732968.67</v>
          </cell>
          <cell r="R317" t="str">
            <v>F58640E</v>
          </cell>
          <cell r="S317">
            <v>1732968.67</v>
          </cell>
          <cell r="T317">
            <v>1732968.67</v>
          </cell>
        </row>
        <row r="318">
          <cell r="A318" t="str">
            <v>F58650E</v>
          </cell>
          <cell r="B318" t="str">
            <v>METER EXPENSES</v>
          </cell>
          <cell r="C318">
            <v>0</v>
          </cell>
          <cell r="F318">
            <v>73.680000000000007</v>
          </cell>
          <cell r="G318">
            <v>43.76</v>
          </cell>
          <cell r="H318">
            <v>80.150000000000006</v>
          </cell>
          <cell r="I318">
            <v>38.15</v>
          </cell>
          <cell r="J318">
            <v>0</v>
          </cell>
          <cell r="K318">
            <v>115.25</v>
          </cell>
          <cell r="L318">
            <v>39.159999999999997</v>
          </cell>
          <cell r="M318">
            <v>116.5</v>
          </cell>
          <cell r="N318">
            <v>157.30000000000001</v>
          </cell>
          <cell r="O318">
            <v>39.450000000000003</v>
          </cell>
          <cell r="P318">
            <v>703.40000000000009</v>
          </cell>
          <cell r="R318" t="str">
            <v>F58650E</v>
          </cell>
          <cell r="S318">
            <v>703.4</v>
          </cell>
          <cell r="T318">
            <v>703.40000000000009</v>
          </cell>
        </row>
        <row r="319">
          <cell r="A319" t="str">
            <v>F58700E</v>
          </cell>
          <cell r="B319" t="str">
            <v>CUSTOMER INSTALLATIONS EXPENSES</v>
          </cell>
          <cell r="C319">
            <v>2552361.4</v>
          </cell>
          <cell r="D319">
            <v>275677.84000000003</v>
          </cell>
          <cell r="E319">
            <v>168894.83</v>
          </cell>
          <cell r="F319">
            <v>92772.32</v>
          </cell>
          <cell r="G319">
            <v>58322.71</v>
          </cell>
          <cell r="H319">
            <v>59372.06</v>
          </cell>
          <cell r="I319">
            <v>71941.39</v>
          </cell>
          <cell r="J319">
            <v>62568.28</v>
          </cell>
          <cell r="K319">
            <v>94469.83</v>
          </cell>
          <cell r="L319">
            <v>66561.7</v>
          </cell>
          <cell r="M319">
            <v>60824.44</v>
          </cell>
          <cell r="N319">
            <v>88060.27</v>
          </cell>
          <cell r="O319">
            <v>241349.71</v>
          </cell>
          <cell r="P319">
            <v>1340815.3799999999</v>
          </cell>
          <cell r="R319" t="str">
            <v>F58700E</v>
          </cell>
          <cell r="S319">
            <v>1340815.3799999999</v>
          </cell>
          <cell r="T319">
            <v>3893176.78</v>
          </cell>
        </row>
        <row r="320">
          <cell r="A320" t="str">
            <v>F58710E</v>
          </cell>
          <cell r="B320" t="str">
            <v>CUSTOMER INSTALLATIONS EXPENSES</v>
          </cell>
          <cell r="C320">
            <v>0</v>
          </cell>
          <cell r="F320">
            <v>1154.33</v>
          </cell>
          <cell r="G320">
            <v>1247.73</v>
          </cell>
          <cell r="H320">
            <v>3752.34</v>
          </cell>
          <cell r="I320">
            <v>258.39999999999998</v>
          </cell>
          <cell r="J320">
            <v>1027.6199999999999</v>
          </cell>
          <cell r="K320">
            <v>2413.48</v>
          </cell>
          <cell r="L320">
            <v>180.59</v>
          </cell>
          <cell r="M320">
            <v>1111.72</v>
          </cell>
          <cell r="N320">
            <v>2635.32</v>
          </cell>
          <cell r="O320">
            <v>1341.38</v>
          </cell>
          <cell r="P320">
            <v>15122.91</v>
          </cell>
          <cell r="R320" t="str">
            <v>F58710E</v>
          </cell>
          <cell r="S320">
            <v>15122.91</v>
          </cell>
          <cell r="T320">
            <v>15122.91</v>
          </cell>
        </row>
        <row r="321">
          <cell r="A321" t="str">
            <v>F58720E</v>
          </cell>
          <cell r="B321" t="str">
            <v>CUSTOMER INSTALLATIONS EXPENSES</v>
          </cell>
          <cell r="C321">
            <v>0</v>
          </cell>
          <cell r="F321">
            <v>126975.61</v>
          </cell>
          <cell r="G321">
            <v>104106.83</v>
          </cell>
          <cell r="H321">
            <v>103334.06</v>
          </cell>
          <cell r="I321">
            <v>123218.34</v>
          </cell>
          <cell r="J321">
            <v>121807.41</v>
          </cell>
          <cell r="K321">
            <v>151564.79</v>
          </cell>
          <cell r="L321">
            <v>121234.99</v>
          </cell>
          <cell r="M321">
            <v>112312.27</v>
          </cell>
          <cell r="N321">
            <v>160507.31</v>
          </cell>
          <cell r="O321">
            <v>128027.16</v>
          </cell>
          <cell r="P321">
            <v>1253088.77</v>
          </cell>
          <cell r="R321" t="str">
            <v>F58720E</v>
          </cell>
          <cell r="S321">
            <v>1253088.77</v>
          </cell>
          <cell r="T321">
            <v>1253088.77</v>
          </cell>
        </row>
        <row r="322">
          <cell r="A322" t="str">
            <v>F58740E</v>
          </cell>
          <cell r="B322" t="str">
            <v>CUSTOMER INSTALLATIONS EXPENSES</v>
          </cell>
          <cell r="C322">
            <v>0</v>
          </cell>
          <cell r="F322">
            <v>12038.21</v>
          </cell>
          <cell r="G322">
            <v>24595.71</v>
          </cell>
          <cell r="H322">
            <v>19592.97</v>
          </cell>
          <cell r="I322">
            <v>13722.18</v>
          </cell>
          <cell r="J322">
            <v>17824.7</v>
          </cell>
          <cell r="K322">
            <v>24866.57</v>
          </cell>
          <cell r="L322">
            <v>17246.93</v>
          </cell>
          <cell r="M322">
            <v>16318.29</v>
          </cell>
          <cell r="N322">
            <v>13845.5</v>
          </cell>
          <cell r="O322">
            <v>36967.300000000003</v>
          </cell>
          <cell r="P322">
            <v>197018.36</v>
          </cell>
          <cell r="R322" t="str">
            <v>F58740E</v>
          </cell>
          <cell r="S322">
            <v>197018.36</v>
          </cell>
          <cell r="T322">
            <v>197018.36</v>
          </cell>
        </row>
        <row r="323">
          <cell r="A323" t="str">
            <v>F58800E</v>
          </cell>
          <cell r="B323" t="str">
            <v>MISCELLANEOUS EXPENSES</v>
          </cell>
          <cell r="C323">
            <v>2860068.22</v>
          </cell>
          <cell r="D323">
            <v>121308.76</v>
          </cell>
          <cell r="E323">
            <v>177390.67</v>
          </cell>
          <cell r="F323">
            <v>143599.29</v>
          </cell>
          <cell r="G323">
            <v>102587.65</v>
          </cell>
          <cell r="H323">
            <v>110124.25</v>
          </cell>
          <cell r="I323">
            <v>122381.2</v>
          </cell>
          <cell r="J323">
            <v>260155.86</v>
          </cell>
          <cell r="K323">
            <v>166677.63</v>
          </cell>
          <cell r="L323">
            <v>329464.76</v>
          </cell>
          <cell r="M323">
            <v>151368.12</v>
          </cell>
          <cell r="N323">
            <v>46278.83</v>
          </cell>
          <cell r="O323">
            <v>775958.79</v>
          </cell>
          <cell r="P323">
            <v>2507295.81</v>
          </cell>
          <cell r="R323" t="str">
            <v>F58800E</v>
          </cell>
          <cell r="S323">
            <v>2507295.81</v>
          </cell>
          <cell r="T323">
            <v>5367364.03</v>
          </cell>
        </row>
        <row r="324">
          <cell r="A324" t="str">
            <v>F58810E</v>
          </cell>
          <cell r="B324" t="str">
            <v>MISCELLANEOUS EXPENSES</v>
          </cell>
          <cell r="C324">
            <v>0</v>
          </cell>
          <cell r="F324">
            <v>19866.13</v>
          </cell>
          <cell r="G324">
            <v>6679.17</v>
          </cell>
          <cell r="H324">
            <v>8218.69</v>
          </cell>
          <cell r="I324">
            <v>9546.2000000000007</v>
          </cell>
          <cell r="J324">
            <v>8703.84</v>
          </cell>
          <cell r="K324">
            <v>82940.23</v>
          </cell>
          <cell r="L324">
            <v>75533.78</v>
          </cell>
          <cell r="M324">
            <v>75140.77</v>
          </cell>
          <cell r="N324">
            <v>94411.16</v>
          </cell>
          <cell r="O324">
            <v>75393.929999999993</v>
          </cell>
          <cell r="P324">
            <v>456433.89999999997</v>
          </cell>
          <cell r="R324" t="str">
            <v>F58810E</v>
          </cell>
          <cell r="S324">
            <v>456433.9</v>
          </cell>
          <cell r="T324">
            <v>456433.89999999997</v>
          </cell>
        </row>
        <row r="325">
          <cell r="A325" t="str">
            <v>F58840E</v>
          </cell>
          <cell r="B325" t="str">
            <v>MISCELLANEOUS EXPENSES</v>
          </cell>
          <cell r="C325">
            <v>0</v>
          </cell>
          <cell r="F325">
            <v>16621.189999999999</v>
          </cell>
          <cell r="G325">
            <v>10626.4</v>
          </cell>
          <cell r="H325">
            <v>14378.12</v>
          </cell>
          <cell r="I325">
            <v>5612.69</v>
          </cell>
          <cell r="J325">
            <v>9017.32</v>
          </cell>
          <cell r="K325">
            <v>8454.82</v>
          </cell>
          <cell r="L325">
            <v>7970.16</v>
          </cell>
          <cell r="M325">
            <v>6643.01</v>
          </cell>
          <cell r="N325">
            <v>2303.81</v>
          </cell>
          <cell r="O325">
            <v>-371207.27</v>
          </cell>
          <cell r="P325">
            <v>-289579.75</v>
          </cell>
          <cell r="R325" t="str">
            <v>F58840E</v>
          </cell>
          <cell r="S325">
            <v>-289579.75</v>
          </cell>
          <cell r="T325">
            <v>-289579.75</v>
          </cell>
        </row>
        <row r="326">
          <cell r="A326" t="str">
            <v>F58900E</v>
          </cell>
          <cell r="B326" t="str">
            <v>RENTS</v>
          </cell>
          <cell r="C326">
            <v>330913.27</v>
          </cell>
          <cell r="D326">
            <v>3875</v>
          </cell>
          <cell r="E326">
            <v>418</v>
          </cell>
          <cell r="F326">
            <v>0</v>
          </cell>
          <cell r="G326">
            <v>109</v>
          </cell>
          <cell r="H326">
            <v>100</v>
          </cell>
          <cell r="I326">
            <v>3589.58</v>
          </cell>
          <cell r="J326">
            <v>318</v>
          </cell>
          <cell r="K326">
            <v>200</v>
          </cell>
          <cell r="L326">
            <v>0</v>
          </cell>
          <cell r="M326">
            <v>1376</v>
          </cell>
          <cell r="N326">
            <v>12376.5</v>
          </cell>
          <cell r="O326">
            <v>24683.5</v>
          </cell>
          <cell r="P326">
            <v>47045.58</v>
          </cell>
          <cell r="R326" t="str">
            <v>F58900E</v>
          </cell>
          <cell r="S326">
            <v>47045.58</v>
          </cell>
          <cell r="T326">
            <v>377958.85000000003</v>
          </cell>
        </row>
        <row r="327">
          <cell r="A327" t="str">
            <v>F59000E</v>
          </cell>
          <cell r="B327" t="str">
            <v>MAINTENANCE SUPERVISION AND ENGINEERING</v>
          </cell>
          <cell r="C327">
            <v>522337.16</v>
          </cell>
          <cell r="D327">
            <v>25566.75</v>
          </cell>
          <cell r="E327">
            <v>20897.240000000002</v>
          </cell>
          <cell r="F327">
            <v>30087.41</v>
          </cell>
          <cell r="G327">
            <v>31376.22</v>
          </cell>
          <cell r="H327">
            <v>37048.93</v>
          </cell>
          <cell r="I327">
            <v>55201.7</v>
          </cell>
          <cell r="J327">
            <v>125586.44</v>
          </cell>
          <cell r="K327">
            <v>190815.81</v>
          </cell>
          <cell r="L327">
            <v>51597.46</v>
          </cell>
          <cell r="M327">
            <v>13201.73</v>
          </cell>
          <cell r="N327">
            <v>-21012.35</v>
          </cell>
          <cell r="O327">
            <v>40166.879999999997</v>
          </cell>
          <cell r="P327">
            <v>600534.22</v>
          </cell>
          <cell r="R327" t="str">
            <v>F59000E</v>
          </cell>
          <cell r="S327">
            <v>600534.22</v>
          </cell>
          <cell r="T327">
            <v>1122871.3799999999</v>
          </cell>
        </row>
        <row r="328">
          <cell r="A328" t="str">
            <v>F59010E</v>
          </cell>
          <cell r="B328" t="str">
            <v>MAINTENANCE SUPERVISION AND ENGINEERING</v>
          </cell>
          <cell r="C328">
            <v>0</v>
          </cell>
          <cell r="F328">
            <v>14832.31</v>
          </cell>
          <cell r="G328">
            <v>8907.2800000000007</v>
          </cell>
          <cell r="H328">
            <v>13426.7</v>
          </cell>
          <cell r="I328">
            <v>13172.02</v>
          </cell>
          <cell r="J328">
            <v>12472.27</v>
          </cell>
          <cell r="K328">
            <v>15524.6</v>
          </cell>
          <cell r="L328">
            <v>12481.41</v>
          </cell>
          <cell r="M328">
            <v>9724.9500000000007</v>
          </cell>
          <cell r="N328">
            <v>125797.37</v>
          </cell>
          <cell r="O328">
            <v>10775.75</v>
          </cell>
          <cell r="P328">
            <v>237114.66</v>
          </cell>
          <cell r="R328" t="str">
            <v>F59010E</v>
          </cell>
          <cell r="S328">
            <v>237114.66</v>
          </cell>
          <cell r="T328">
            <v>237114.66</v>
          </cell>
        </row>
        <row r="329">
          <cell r="A329" t="str">
            <v>F59020E</v>
          </cell>
          <cell r="B329" t="str">
            <v>MAINTENANCE SUPERVISION AND ENGINEERING</v>
          </cell>
          <cell r="C329">
            <v>0</v>
          </cell>
          <cell r="F329">
            <v>10092.790000000001</v>
          </cell>
          <cell r="G329">
            <v>3716.04</v>
          </cell>
          <cell r="H329">
            <v>5783.36</v>
          </cell>
          <cell r="I329">
            <v>8112.05</v>
          </cell>
          <cell r="J329">
            <v>5147.6400000000003</v>
          </cell>
          <cell r="K329">
            <v>3972.68</v>
          </cell>
          <cell r="L329">
            <v>1902.85</v>
          </cell>
          <cell r="M329">
            <v>1854.97</v>
          </cell>
          <cell r="N329">
            <v>7702.06</v>
          </cell>
          <cell r="O329">
            <v>1827.2</v>
          </cell>
          <cell r="P329">
            <v>50111.64</v>
          </cell>
          <cell r="R329" t="str">
            <v>F59020E</v>
          </cell>
          <cell r="S329">
            <v>50111.64</v>
          </cell>
          <cell r="T329">
            <v>50111.64</v>
          </cell>
        </row>
        <row r="330">
          <cell r="A330" t="str">
            <v>F59100E</v>
          </cell>
          <cell r="B330" t="str">
            <v>MAINTENANCE OF STRUCTURES</v>
          </cell>
          <cell r="C330">
            <v>100647.89</v>
          </cell>
          <cell r="D330">
            <v>9448.1299999999992</v>
          </cell>
          <cell r="E330">
            <v>2001.16</v>
          </cell>
          <cell r="F330">
            <v>2817.15</v>
          </cell>
          <cell r="G330">
            <v>5138.49</v>
          </cell>
          <cell r="H330">
            <v>4398.09</v>
          </cell>
          <cell r="I330">
            <v>10972.91</v>
          </cell>
          <cell r="J330">
            <v>1646.42</v>
          </cell>
          <cell r="K330">
            <v>10651.96</v>
          </cell>
          <cell r="L330">
            <v>14516.71</v>
          </cell>
          <cell r="M330">
            <v>13649.66</v>
          </cell>
          <cell r="N330">
            <v>5950.79</v>
          </cell>
          <cell r="O330">
            <v>8255.51</v>
          </cell>
          <cell r="P330">
            <v>89446.979999999981</v>
          </cell>
          <cell r="R330" t="str">
            <v>F59100E</v>
          </cell>
          <cell r="S330">
            <v>89446.98</v>
          </cell>
          <cell r="T330">
            <v>190094.87</v>
          </cell>
        </row>
        <row r="331">
          <cell r="A331" t="str">
            <v>F59200E</v>
          </cell>
          <cell r="B331" t="str">
            <v>MAINTENANCE OF STATION EQUIPMENT</v>
          </cell>
          <cell r="C331">
            <v>3055130.5</v>
          </cell>
          <cell r="D331">
            <v>328801.58</v>
          </cell>
          <cell r="E331">
            <v>276832.71000000002</v>
          </cell>
          <cell r="F331">
            <v>41377.58</v>
          </cell>
          <cell r="G331">
            <v>25843.18</v>
          </cell>
          <cell r="H331">
            <v>30720.33</v>
          </cell>
          <cell r="I331">
            <v>96080.66</v>
          </cell>
          <cell r="J331">
            <v>54761.85</v>
          </cell>
          <cell r="K331">
            <v>36386.46</v>
          </cell>
          <cell r="L331">
            <v>31319.23</v>
          </cell>
          <cell r="M331">
            <v>47900.97</v>
          </cell>
          <cell r="N331">
            <v>20589.259999999998</v>
          </cell>
          <cell r="O331">
            <v>1213909.8899999999</v>
          </cell>
          <cell r="P331">
            <v>2204523.6999999997</v>
          </cell>
          <cell r="R331" t="str">
            <v>F59200E</v>
          </cell>
          <cell r="S331">
            <v>2204523.7000000002</v>
          </cell>
          <cell r="T331">
            <v>5259654.1999999993</v>
          </cell>
        </row>
        <row r="332">
          <cell r="A332" t="str">
            <v>F59210E</v>
          </cell>
          <cell r="B332" t="str">
            <v>MAINTENANCE OF STATION EQUIPMENT</v>
          </cell>
          <cell r="C332">
            <v>0</v>
          </cell>
          <cell r="F332">
            <v>137945.26</v>
          </cell>
          <cell r="G332">
            <v>80333.37</v>
          </cell>
          <cell r="H332">
            <v>40861.75</v>
          </cell>
          <cell r="I332">
            <v>96336.07</v>
          </cell>
          <cell r="J332">
            <v>175615</v>
          </cell>
          <cell r="K332">
            <v>166426.44</v>
          </cell>
          <cell r="L332">
            <v>195244.18</v>
          </cell>
          <cell r="M332">
            <v>154928.14000000001</v>
          </cell>
          <cell r="N332">
            <v>147811.43</v>
          </cell>
          <cell r="O332">
            <v>139264.66</v>
          </cell>
          <cell r="P332">
            <v>1334766.2999999998</v>
          </cell>
          <cell r="R332" t="str">
            <v>F59210E</v>
          </cell>
          <cell r="S332">
            <v>1334766.3</v>
          </cell>
          <cell r="T332">
            <v>1334766.2999999998</v>
          </cell>
        </row>
        <row r="333">
          <cell r="A333" t="str">
            <v>F59220E</v>
          </cell>
          <cell r="B333" t="str">
            <v>MAINTENANCE OF STATION EQUIPMENT</v>
          </cell>
          <cell r="C333">
            <v>0</v>
          </cell>
          <cell r="F333">
            <v>4969.26</v>
          </cell>
          <cell r="G333">
            <v>3061.71</v>
          </cell>
          <cell r="H333">
            <v>7338.39</v>
          </cell>
          <cell r="I333">
            <v>5391.17</v>
          </cell>
          <cell r="J333">
            <v>6114.1</v>
          </cell>
          <cell r="K333">
            <v>6307.12</v>
          </cell>
          <cell r="L333">
            <v>4737.8500000000004</v>
          </cell>
          <cell r="M333">
            <v>3000.6</v>
          </cell>
          <cell r="N333">
            <v>6549.61</v>
          </cell>
          <cell r="O333">
            <v>8495.75</v>
          </cell>
          <cell r="P333">
            <v>55965.56</v>
          </cell>
          <cell r="R333" t="str">
            <v>F59220E</v>
          </cell>
          <cell r="S333">
            <v>55965.56</v>
          </cell>
          <cell r="T333">
            <v>55965.56</v>
          </cell>
        </row>
        <row r="334">
          <cell r="A334" t="str">
            <v>F59290E</v>
          </cell>
          <cell r="B334" t="str">
            <v>MAINTENANCE OF STATION EQUIPMENT</v>
          </cell>
          <cell r="C334">
            <v>0</v>
          </cell>
          <cell r="P334">
            <v>0</v>
          </cell>
          <cell r="T334">
            <v>0</v>
          </cell>
        </row>
        <row r="335">
          <cell r="A335" t="str">
            <v>F59300E</v>
          </cell>
          <cell r="B335" t="str">
            <v>MAINTENANCE OF OVERHEAD LINES</v>
          </cell>
          <cell r="C335">
            <v>35687292.280000001</v>
          </cell>
          <cell r="D335">
            <v>1066721.1499999999</v>
          </cell>
          <cell r="E335">
            <v>2253841.77</v>
          </cell>
          <cell r="F335">
            <v>377783.56</v>
          </cell>
          <cell r="G335">
            <v>361661.11</v>
          </cell>
          <cell r="H335">
            <v>257295.52</v>
          </cell>
          <cell r="I335">
            <v>306017.42</v>
          </cell>
          <cell r="J335">
            <v>282071.56</v>
          </cell>
          <cell r="K335">
            <v>321368.37</v>
          </cell>
          <cell r="L335">
            <v>79288.28</v>
          </cell>
          <cell r="M335">
            <v>-427002.26</v>
          </cell>
          <cell r="N335">
            <v>-11416.59</v>
          </cell>
          <cell r="O335">
            <v>94641.61</v>
          </cell>
          <cell r="P335">
            <v>4962271.5</v>
          </cell>
          <cell r="R335" t="str">
            <v>F59300E</v>
          </cell>
          <cell r="S335">
            <v>4962271.5</v>
          </cell>
          <cell r="T335">
            <v>40649563.780000001</v>
          </cell>
        </row>
        <row r="336">
          <cell r="A336" t="str">
            <v>F59310E</v>
          </cell>
          <cell r="B336" t="str">
            <v>MAINTENANCE OF OVERHEAD LINES</v>
          </cell>
          <cell r="C336">
            <v>0</v>
          </cell>
          <cell r="F336">
            <v>89941.9</v>
          </cell>
          <cell r="G336">
            <v>88112.42</v>
          </cell>
          <cell r="H336">
            <v>82706.2</v>
          </cell>
          <cell r="I336">
            <v>99066.22</v>
          </cell>
          <cell r="J336">
            <v>108770.43</v>
          </cell>
          <cell r="K336">
            <v>107037.85</v>
          </cell>
          <cell r="L336">
            <v>99777.18</v>
          </cell>
          <cell r="M336">
            <v>70240.17</v>
          </cell>
          <cell r="N336">
            <v>90864.38</v>
          </cell>
          <cell r="O336">
            <v>80845.03</v>
          </cell>
          <cell r="P336">
            <v>917361.78</v>
          </cell>
          <cell r="R336" t="str">
            <v>F59310E</v>
          </cell>
          <cell r="S336">
            <v>917361.78</v>
          </cell>
          <cell r="T336">
            <v>917361.78</v>
          </cell>
        </row>
        <row r="337">
          <cell r="A337" t="str">
            <v>F59320E</v>
          </cell>
          <cell r="B337" t="str">
            <v>MAINTENANCE OF OVERHEAD LINES</v>
          </cell>
          <cell r="C337">
            <v>0</v>
          </cell>
          <cell r="F337">
            <v>1800615.45</v>
          </cell>
          <cell r="G337">
            <v>1659154.1</v>
          </cell>
          <cell r="H337">
            <v>1342275.11</v>
          </cell>
          <cell r="I337">
            <v>1674479.19</v>
          </cell>
          <cell r="J337">
            <v>1437015.38</v>
          </cell>
          <cell r="K337">
            <v>2043021.77</v>
          </cell>
          <cell r="L337">
            <v>1919514.41</v>
          </cell>
          <cell r="M337">
            <v>1984316.71</v>
          </cell>
          <cell r="N337">
            <v>2168508.85</v>
          </cell>
          <cell r="O337">
            <v>5907506.7800000003</v>
          </cell>
          <cell r="P337">
            <v>21936407.75</v>
          </cell>
          <cell r="R337" t="str">
            <v>F59320E</v>
          </cell>
          <cell r="S337">
            <v>21936407.75</v>
          </cell>
          <cell r="T337">
            <v>21936407.75</v>
          </cell>
        </row>
        <row r="338">
          <cell r="A338" t="str">
            <v>F59340E</v>
          </cell>
          <cell r="B338" t="str">
            <v>MAINTENANCE OF OVERHEAD LINES</v>
          </cell>
          <cell r="C338">
            <v>0</v>
          </cell>
          <cell r="J338">
            <v>61.76</v>
          </cell>
          <cell r="K338">
            <v>308.19</v>
          </cell>
          <cell r="N338">
            <v>0</v>
          </cell>
          <cell r="O338">
            <v>6997.16</v>
          </cell>
          <cell r="P338">
            <v>7367.11</v>
          </cell>
          <cell r="R338" t="str">
            <v>F59340E</v>
          </cell>
          <cell r="S338">
            <v>7367.11</v>
          </cell>
          <cell r="T338">
            <v>7367.11</v>
          </cell>
        </row>
        <row r="339">
          <cell r="A339" t="str">
            <v>F59350E</v>
          </cell>
          <cell r="B339" t="str">
            <v>MAINTENANCE OF OVERHEAD LINES</v>
          </cell>
          <cell r="C339">
            <v>0</v>
          </cell>
          <cell r="F339">
            <v>19751.990000000002</v>
          </cell>
          <cell r="G339">
            <v>19938.14</v>
          </cell>
          <cell r="H339">
            <v>2046.14</v>
          </cell>
          <cell r="I339">
            <v>9914.14</v>
          </cell>
          <cell r="J339">
            <v>4408.72</v>
          </cell>
          <cell r="K339">
            <v>3142.12</v>
          </cell>
          <cell r="L339">
            <v>2605.84</v>
          </cell>
          <cell r="M339">
            <v>3089.22</v>
          </cell>
          <cell r="N339">
            <v>5285.9</v>
          </cell>
          <cell r="O339">
            <v>23176.84</v>
          </cell>
          <cell r="P339">
            <v>93359.05</v>
          </cell>
          <cell r="R339" t="str">
            <v>F59350E</v>
          </cell>
          <cell r="S339">
            <v>93359.05</v>
          </cell>
          <cell r="T339">
            <v>93359.05</v>
          </cell>
        </row>
        <row r="340">
          <cell r="A340" t="str">
            <v>F59370E</v>
          </cell>
          <cell r="B340" t="str">
            <v>MAINTENANCE OF OVERHEAD LINES</v>
          </cell>
          <cell r="C340">
            <v>0</v>
          </cell>
          <cell r="F340">
            <v>-1955.68</v>
          </cell>
          <cell r="G340">
            <v>0</v>
          </cell>
          <cell r="J340">
            <v>0</v>
          </cell>
          <cell r="K340">
            <v>-530.76</v>
          </cell>
          <cell r="L340">
            <v>-40023.71</v>
          </cell>
          <cell r="M340">
            <v>-12804.29</v>
          </cell>
          <cell r="N340">
            <v>0</v>
          </cell>
          <cell r="O340">
            <v>-346.83</v>
          </cell>
          <cell r="P340">
            <v>-55661.270000000004</v>
          </cell>
          <cell r="R340" t="str">
            <v>F59370E</v>
          </cell>
          <cell r="S340">
            <v>-55661.27</v>
          </cell>
          <cell r="T340">
            <v>-55661.270000000004</v>
          </cell>
        </row>
        <row r="341">
          <cell r="A341" t="str">
            <v>F59390E</v>
          </cell>
          <cell r="B341" t="str">
            <v>MAINTENANCE OF OVERHEAD LINES</v>
          </cell>
          <cell r="C341">
            <v>0</v>
          </cell>
          <cell r="F341">
            <v>236241.62</v>
          </cell>
          <cell r="G341">
            <v>132842.37</v>
          </cell>
          <cell r="H341">
            <v>160516.64000000001</v>
          </cell>
          <cell r="I341">
            <v>194459.05</v>
          </cell>
          <cell r="J341">
            <v>157081.99</v>
          </cell>
          <cell r="K341">
            <v>201716.53</v>
          </cell>
          <cell r="L341">
            <v>114965.07</v>
          </cell>
          <cell r="M341">
            <v>135685.38</v>
          </cell>
          <cell r="N341">
            <v>203476.68</v>
          </cell>
          <cell r="O341">
            <v>147539.46</v>
          </cell>
          <cell r="P341">
            <v>1684524.7899999998</v>
          </cell>
          <cell r="R341" t="str">
            <v>F59390E</v>
          </cell>
          <cell r="S341">
            <v>1684524.79</v>
          </cell>
          <cell r="T341">
            <v>1684524.7899999998</v>
          </cell>
        </row>
        <row r="342">
          <cell r="A342" t="str">
            <v>F59400E</v>
          </cell>
          <cell r="B342" t="str">
            <v>MAINTENANCE OF UNDERGROUND LINES</v>
          </cell>
          <cell r="C342">
            <v>4727943.87</v>
          </cell>
          <cell r="D342">
            <v>321175.90000000002</v>
          </cell>
          <cell r="E342">
            <v>382870.37</v>
          </cell>
          <cell r="F342">
            <v>122950.16</v>
          </cell>
          <cell r="G342">
            <v>120437.38</v>
          </cell>
          <cell r="H342">
            <v>85625.36</v>
          </cell>
          <cell r="I342">
            <v>89648.5</v>
          </cell>
          <cell r="J342">
            <v>74501.03</v>
          </cell>
          <cell r="K342">
            <v>25262.11</v>
          </cell>
          <cell r="L342">
            <v>158436.57</v>
          </cell>
          <cell r="M342">
            <v>119978.29</v>
          </cell>
          <cell r="N342">
            <v>154053.54999999999</v>
          </cell>
          <cell r="O342">
            <v>259501.57</v>
          </cell>
          <cell r="P342">
            <v>1914440.7900000003</v>
          </cell>
          <cell r="R342" t="str">
            <v>F59400E</v>
          </cell>
          <cell r="S342">
            <v>1914440.79</v>
          </cell>
          <cell r="T342">
            <v>6642384.6600000001</v>
          </cell>
        </row>
        <row r="343">
          <cell r="A343" t="str">
            <v>F59410E</v>
          </cell>
          <cell r="B343" t="str">
            <v>MAINTENANCE OF UNDERGROUND LINES</v>
          </cell>
          <cell r="C343">
            <v>0</v>
          </cell>
          <cell r="F343">
            <v>44055.85</v>
          </cell>
          <cell r="G343">
            <v>67354.83</v>
          </cell>
          <cell r="H343">
            <v>42367.86</v>
          </cell>
          <cell r="I343">
            <v>51459.16</v>
          </cell>
          <cell r="J343">
            <v>45419.31</v>
          </cell>
          <cell r="K343">
            <v>93670.12</v>
          </cell>
          <cell r="L343">
            <v>54859.43</v>
          </cell>
          <cell r="M343">
            <v>56113.11</v>
          </cell>
          <cell r="N343">
            <v>34609.519999999997</v>
          </cell>
          <cell r="O343">
            <v>385064.43</v>
          </cell>
          <cell r="P343">
            <v>874973.62</v>
          </cell>
          <cell r="R343" t="str">
            <v>F59410E</v>
          </cell>
          <cell r="S343">
            <v>874973.62</v>
          </cell>
          <cell r="T343">
            <v>874973.62</v>
          </cell>
        </row>
        <row r="344">
          <cell r="A344" t="str">
            <v>F59420E</v>
          </cell>
          <cell r="B344" t="str">
            <v>MAINTENANCE OF UNDERGROUND LINES</v>
          </cell>
          <cell r="C344">
            <v>0</v>
          </cell>
          <cell r="F344">
            <v>1590.74</v>
          </cell>
          <cell r="G344">
            <v>168.95</v>
          </cell>
          <cell r="J344">
            <v>183.8</v>
          </cell>
          <cell r="K344">
            <v>0</v>
          </cell>
          <cell r="L344">
            <v>0</v>
          </cell>
          <cell r="M344">
            <v>1454.35</v>
          </cell>
          <cell r="N344">
            <v>1748.23</v>
          </cell>
          <cell r="O344">
            <v>90.68</v>
          </cell>
          <cell r="P344">
            <v>5236.75</v>
          </cell>
          <cell r="R344" t="str">
            <v>F59420E</v>
          </cell>
          <cell r="S344">
            <v>5236.75</v>
          </cell>
          <cell r="T344">
            <v>5236.75</v>
          </cell>
        </row>
        <row r="345">
          <cell r="A345" t="str">
            <v>F59430E</v>
          </cell>
          <cell r="B345" t="str">
            <v>MAINTENANCE OF UNDERGROUND LINES</v>
          </cell>
          <cell r="C345">
            <v>0</v>
          </cell>
          <cell r="F345">
            <v>8974.5300000000007</v>
          </cell>
          <cell r="G345">
            <v>0</v>
          </cell>
          <cell r="P345">
            <v>8974.5300000000007</v>
          </cell>
          <cell r="R345" t="str">
            <v>F59430E</v>
          </cell>
          <cell r="S345">
            <v>8974.5300000000007</v>
          </cell>
          <cell r="T345">
            <v>8974.5300000000007</v>
          </cell>
        </row>
        <row r="346">
          <cell r="A346" t="str">
            <v>F59450E</v>
          </cell>
          <cell r="B346" t="str">
            <v>MAINTENANCE OF UNDERGROUND LINES</v>
          </cell>
          <cell r="C346">
            <v>0</v>
          </cell>
          <cell r="F346">
            <v>4559.7</v>
          </cell>
          <cell r="G346">
            <v>-220.46</v>
          </cell>
          <cell r="H346">
            <v>2425.02</v>
          </cell>
          <cell r="I346">
            <v>454.95</v>
          </cell>
          <cell r="J346">
            <v>605.61</v>
          </cell>
          <cell r="K346">
            <v>436.85</v>
          </cell>
          <cell r="L346">
            <v>1615.83</v>
          </cell>
          <cell r="M346">
            <v>2744.25</v>
          </cell>
          <cell r="N346">
            <v>973.99</v>
          </cell>
          <cell r="O346">
            <v>6299.64</v>
          </cell>
          <cell r="P346">
            <v>19895.38</v>
          </cell>
          <cell r="R346" t="str">
            <v>F59450E</v>
          </cell>
          <cell r="S346">
            <v>19895.38</v>
          </cell>
          <cell r="T346">
            <v>19895.38</v>
          </cell>
        </row>
        <row r="347">
          <cell r="A347" t="str">
            <v>F59460E</v>
          </cell>
          <cell r="B347" t="str">
            <v>MAINTENANCE OF UNDERGROUND LINES</v>
          </cell>
          <cell r="C347">
            <v>0</v>
          </cell>
          <cell r="F347">
            <v>146075.39000000001</v>
          </cell>
          <cell r="G347">
            <v>183371.44</v>
          </cell>
          <cell r="H347">
            <v>175581.73</v>
          </cell>
          <cell r="I347">
            <v>233082.26</v>
          </cell>
          <cell r="J347">
            <v>202170.16</v>
          </cell>
          <cell r="K347">
            <v>239234.56</v>
          </cell>
          <cell r="L347">
            <v>205547</v>
          </cell>
          <cell r="M347">
            <v>186641.27</v>
          </cell>
          <cell r="N347">
            <v>346458.66</v>
          </cell>
          <cell r="O347">
            <v>161423.67999999999</v>
          </cell>
          <cell r="P347">
            <v>2079586.15</v>
          </cell>
          <cell r="R347" t="str">
            <v>F59460E</v>
          </cell>
          <cell r="S347">
            <v>2079586.15</v>
          </cell>
          <cell r="T347">
            <v>2079586.15</v>
          </cell>
        </row>
        <row r="348">
          <cell r="A348" t="str">
            <v>F59500E</v>
          </cell>
          <cell r="B348" t="str">
            <v>MAINTENANCE OF LINE TRANSFORMERS</v>
          </cell>
          <cell r="C348">
            <v>452853.73</v>
          </cell>
          <cell r="D348">
            <v>17243.169999999998</v>
          </cell>
          <cell r="E348">
            <v>17829.759999999998</v>
          </cell>
          <cell r="F348">
            <v>3946.99</v>
          </cell>
          <cell r="G348">
            <v>5350.23</v>
          </cell>
          <cell r="H348">
            <v>8583.08</v>
          </cell>
          <cell r="I348">
            <v>27125.81</v>
          </cell>
          <cell r="J348">
            <v>26957.68</v>
          </cell>
          <cell r="K348">
            <v>22599.64</v>
          </cell>
          <cell r="L348">
            <v>18424.89</v>
          </cell>
          <cell r="M348">
            <v>5307.59</v>
          </cell>
          <cell r="N348">
            <v>7554.01</v>
          </cell>
          <cell r="O348">
            <v>4299.04</v>
          </cell>
          <cell r="P348">
            <v>165221.89000000001</v>
          </cell>
          <cell r="R348" t="str">
            <v>F59500E</v>
          </cell>
          <cell r="S348">
            <v>165221.89000000001</v>
          </cell>
          <cell r="T348">
            <v>618075.62</v>
          </cell>
        </row>
        <row r="349">
          <cell r="A349" t="str">
            <v>F59510E</v>
          </cell>
          <cell r="B349" t="str">
            <v>MAINTENANCE OF LINE TRANSFORMERS</v>
          </cell>
          <cell r="C349">
            <v>0</v>
          </cell>
          <cell r="F349">
            <v>11527.02</v>
          </cell>
          <cell r="G349">
            <v>10774.53</v>
          </cell>
          <cell r="H349">
            <v>8903.1200000000008</v>
          </cell>
          <cell r="I349">
            <v>10888.37</v>
          </cell>
          <cell r="J349">
            <v>9720.3799999999992</v>
          </cell>
          <cell r="K349">
            <v>7506.61</v>
          </cell>
          <cell r="L349">
            <v>9854.42</v>
          </cell>
          <cell r="M349">
            <v>5046.3599999999997</v>
          </cell>
          <cell r="N349">
            <v>15786.63</v>
          </cell>
          <cell r="O349">
            <v>12756.53</v>
          </cell>
          <cell r="P349">
            <v>102763.97000000002</v>
          </cell>
          <cell r="R349" t="str">
            <v>F59510E</v>
          </cell>
          <cell r="S349">
            <v>102763.97</v>
          </cell>
          <cell r="T349">
            <v>102763.97000000002</v>
          </cell>
        </row>
        <row r="350">
          <cell r="A350" t="str">
            <v>F59520E</v>
          </cell>
          <cell r="B350" t="str">
            <v>MAINTENANCE OF LINE TRANSFORMERS</v>
          </cell>
          <cell r="C350">
            <v>0</v>
          </cell>
          <cell r="F350">
            <v>5332.42</v>
          </cell>
          <cell r="G350">
            <v>4680.0200000000004</v>
          </cell>
          <cell r="H350">
            <v>3240.2</v>
          </cell>
          <cell r="I350">
            <v>2602.66</v>
          </cell>
          <cell r="J350">
            <v>5534.1</v>
          </cell>
          <cell r="K350">
            <v>6821.61</v>
          </cell>
          <cell r="L350">
            <v>2511.92</v>
          </cell>
          <cell r="M350">
            <v>1487.83</v>
          </cell>
          <cell r="N350">
            <v>1788.37</v>
          </cell>
          <cell r="O350">
            <v>5363.35</v>
          </cell>
          <cell r="P350">
            <v>39362.480000000003</v>
          </cell>
          <cell r="R350" t="str">
            <v>F59520E</v>
          </cell>
          <cell r="S350">
            <v>39362.480000000003</v>
          </cell>
          <cell r="T350">
            <v>39362.480000000003</v>
          </cell>
        </row>
        <row r="351">
          <cell r="A351" t="str">
            <v>F59550E</v>
          </cell>
          <cell r="B351" t="str">
            <v>MAINTENANCE OF LINE TRANSFORMERS</v>
          </cell>
          <cell r="C351">
            <v>0</v>
          </cell>
          <cell r="F351">
            <v>4128.6400000000003</v>
          </cell>
          <cell r="G351">
            <v>4171.22</v>
          </cell>
          <cell r="H351">
            <v>3770.36</v>
          </cell>
          <cell r="I351">
            <v>5754.42</v>
          </cell>
          <cell r="J351">
            <v>8734.67</v>
          </cell>
          <cell r="K351">
            <v>6877.17</v>
          </cell>
          <cell r="L351">
            <v>7387.47</v>
          </cell>
          <cell r="M351">
            <v>5693.98</v>
          </cell>
          <cell r="N351">
            <v>6514.58</v>
          </cell>
          <cell r="O351">
            <v>3242.88</v>
          </cell>
          <cell r="P351">
            <v>56275.389999999992</v>
          </cell>
          <cell r="R351" t="str">
            <v>F59550E</v>
          </cell>
          <cell r="S351">
            <v>56275.39</v>
          </cell>
          <cell r="T351">
            <v>56275.389999999992</v>
          </cell>
        </row>
        <row r="352">
          <cell r="A352" t="str">
            <v>F59570E</v>
          </cell>
          <cell r="B352" t="str">
            <v>MAINTENANCE OF LINE TRANSFORMERS</v>
          </cell>
          <cell r="C352">
            <v>0</v>
          </cell>
          <cell r="J352">
            <v>59.71</v>
          </cell>
          <cell r="K352">
            <v>0</v>
          </cell>
          <cell r="L352">
            <v>1157.19</v>
          </cell>
          <cell r="M352">
            <v>495.55</v>
          </cell>
          <cell r="N352">
            <v>306.89</v>
          </cell>
          <cell r="O352">
            <v>0</v>
          </cell>
          <cell r="P352">
            <v>2019.3400000000001</v>
          </cell>
          <cell r="R352" t="str">
            <v>F59570E</v>
          </cell>
          <cell r="S352">
            <v>2019.34</v>
          </cell>
          <cell r="T352">
            <v>2019.3400000000001</v>
          </cell>
        </row>
        <row r="353">
          <cell r="A353" t="str">
            <v>F59600E</v>
          </cell>
          <cell r="B353" t="str">
            <v>MAINTENANCE OF STREET LIGHTING AND SIGNAL SYSTEMS</v>
          </cell>
          <cell r="C353">
            <v>71514.62</v>
          </cell>
          <cell r="D353">
            <v>6932.99</v>
          </cell>
          <cell r="E353">
            <v>2679.96</v>
          </cell>
          <cell r="F353">
            <v>8024.02</v>
          </cell>
          <cell r="G353">
            <v>4938.1499999999996</v>
          </cell>
          <cell r="H353">
            <v>3624.07</v>
          </cell>
          <cell r="I353">
            <v>5204.26</v>
          </cell>
          <cell r="J353">
            <v>4245</v>
          </cell>
          <cell r="K353">
            <v>5119.38</v>
          </cell>
          <cell r="L353">
            <v>4736.34</v>
          </cell>
          <cell r="M353">
            <v>3664.31</v>
          </cell>
          <cell r="N353">
            <v>4386.43</v>
          </cell>
          <cell r="O353">
            <v>4858.75</v>
          </cell>
          <cell r="P353">
            <v>58413.659999999996</v>
          </cell>
          <cell r="R353" t="str">
            <v>F59600E</v>
          </cell>
          <cell r="S353">
            <v>58413.66</v>
          </cell>
          <cell r="T353">
            <v>129928.28</v>
          </cell>
        </row>
        <row r="354">
          <cell r="A354" t="str">
            <v>F59700E</v>
          </cell>
          <cell r="B354" t="str">
            <v>MAINTENANCE OF METERS</v>
          </cell>
          <cell r="C354">
            <v>398938.4</v>
          </cell>
          <cell r="D354">
            <v>39161.4</v>
          </cell>
          <cell r="E354">
            <v>26759.79</v>
          </cell>
          <cell r="F354">
            <v>46286.46</v>
          </cell>
          <cell r="G354">
            <v>32542.84</v>
          </cell>
          <cell r="H354">
            <v>30437.200000000001</v>
          </cell>
          <cell r="I354">
            <v>36721.54</v>
          </cell>
          <cell r="J354">
            <v>39510.28</v>
          </cell>
          <cell r="K354">
            <v>59912.09</v>
          </cell>
          <cell r="L354">
            <v>50498.41</v>
          </cell>
          <cell r="M354">
            <v>36185.67</v>
          </cell>
          <cell r="N354">
            <v>46922.29</v>
          </cell>
          <cell r="O354">
            <v>55905.04</v>
          </cell>
          <cell r="P354">
            <v>500843.00999999995</v>
          </cell>
          <cell r="R354" t="str">
            <v>F59700E</v>
          </cell>
          <cell r="S354">
            <v>500843.01</v>
          </cell>
          <cell r="T354">
            <v>899781.40999999992</v>
          </cell>
        </row>
        <row r="355">
          <cell r="A355" t="str">
            <v>F59800E</v>
          </cell>
          <cell r="B355" t="str">
            <v>MAINTENANCE OF MISCELLANEOUS DISTRIBUTION PLANT</v>
          </cell>
          <cell r="C355">
            <v>7928.23</v>
          </cell>
          <cell r="D355">
            <v>307.88</v>
          </cell>
          <cell r="E355">
            <v>1099.1400000000001</v>
          </cell>
          <cell r="F355">
            <v>1763.62</v>
          </cell>
          <cell r="G355">
            <v>3707.95</v>
          </cell>
          <cell r="H355">
            <v>-12234.52</v>
          </cell>
          <cell r="I355">
            <v>3088.14</v>
          </cell>
          <cell r="J355">
            <v>12404.4</v>
          </cell>
          <cell r="K355">
            <v>60830.22</v>
          </cell>
          <cell r="L355">
            <v>51208.5</v>
          </cell>
          <cell r="M355">
            <v>44718.53</v>
          </cell>
          <cell r="N355">
            <v>49860.9</v>
          </cell>
          <cell r="O355">
            <v>49438.76</v>
          </cell>
          <cell r="P355">
            <v>266193.51999999996</v>
          </cell>
          <cell r="R355" t="str">
            <v>F59800E</v>
          </cell>
          <cell r="S355">
            <v>266193.52</v>
          </cell>
          <cell r="T355">
            <v>274121.74999999994</v>
          </cell>
        </row>
        <row r="356">
          <cell r="A356" t="str">
            <v>F80300G</v>
          </cell>
          <cell r="B356" t="str">
            <v>NATURAL GAS TRANSMISSION LINE PURCHASES</v>
          </cell>
          <cell r="C356">
            <v>274106577.19999999</v>
          </cell>
          <cell r="D356">
            <v>27582127</v>
          </cell>
          <cell r="E356">
            <v>21858271</v>
          </cell>
          <cell r="F356">
            <v>19805703.239999998</v>
          </cell>
          <cell r="G356">
            <v>10887662.27</v>
          </cell>
          <cell r="H356">
            <v>23699045.199999999</v>
          </cell>
          <cell r="I356">
            <v>11701860.960000001</v>
          </cell>
          <cell r="J356">
            <v>8578383.4000000004</v>
          </cell>
          <cell r="K356">
            <v>13264084</v>
          </cell>
          <cell r="L356">
            <v>8804325.0199999996</v>
          </cell>
          <cell r="M356">
            <v>7450444</v>
          </cell>
          <cell r="N356">
            <v>24954183.920000002</v>
          </cell>
          <cell r="O356">
            <v>16995958.98</v>
          </cell>
          <cell r="P356">
            <v>195582048.98999998</v>
          </cell>
          <cell r="R356" t="str">
            <v>F80300G</v>
          </cell>
          <cell r="S356">
            <v>195582048.99000001</v>
          </cell>
          <cell r="T356">
            <v>469688626.18999994</v>
          </cell>
        </row>
        <row r="357">
          <cell r="A357" t="str">
            <v>F80410G</v>
          </cell>
          <cell r="B357" t="str">
            <v>LNG PURCHASES</v>
          </cell>
          <cell r="C357">
            <v>65495.22</v>
          </cell>
          <cell r="D357">
            <v>11774.28</v>
          </cell>
          <cell r="E357">
            <v>12590.76</v>
          </cell>
          <cell r="F357">
            <v>8388.16</v>
          </cell>
          <cell r="G357">
            <v>8554</v>
          </cell>
          <cell r="H357">
            <v>-1.53</v>
          </cell>
          <cell r="I357">
            <v>4497.12</v>
          </cell>
          <cell r="J357">
            <v>0</v>
          </cell>
          <cell r="K357">
            <v>3766.98</v>
          </cell>
          <cell r="L357">
            <v>3053.3</v>
          </cell>
          <cell r="M357">
            <v>3280.83</v>
          </cell>
          <cell r="N357">
            <v>9041.6200000000008</v>
          </cell>
          <cell r="O357">
            <v>14929.25</v>
          </cell>
          <cell r="P357">
            <v>79874.770000000019</v>
          </cell>
          <cell r="R357" t="str">
            <v>F80410G</v>
          </cell>
          <cell r="S357">
            <v>79874.77</v>
          </cell>
          <cell r="T357">
            <v>145369.99000000002</v>
          </cell>
        </row>
        <row r="358">
          <cell r="A358" t="str">
            <v>F80740G</v>
          </cell>
          <cell r="B358" t="str">
            <v>PURCHASED GAS CALCULATIONS EXPENSE</v>
          </cell>
          <cell r="C358">
            <v>47818.74</v>
          </cell>
          <cell r="D358">
            <v>2449.06</v>
          </cell>
          <cell r="E358">
            <v>1419.99</v>
          </cell>
          <cell r="F358">
            <v>3267.45</v>
          </cell>
          <cell r="G358">
            <v>4059.83</v>
          </cell>
          <cell r="H358">
            <v>4363.24</v>
          </cell>
          <cell r="I358">
            <v>4158.53</v>
          </cell>
          <cell r="J358">
            <v>3755.59</v>
          </cell>
          <cell r="K358">
            <v>4315.29</v>
          </cell>
          <cell r="L358">
            <v>7788.35</v>
          </cell>
          <cell r="M358">
            <v>4157.5600000000004</v>
          </cell>
          <cell r="N358">
            <v>4642.1000000000004</v>
          </cell>
          <cell r="O358">
            <v>3511.3</v>
          </cell>
          <cell r="P358">
            <v>47888.29</v>
          </cell>
          <cell r="R358" t="str">
            <v>F80740G</v>
          </cell>
          <cell r="S358">
            <v>47888.29</v>
          </cell>
          <cell r="T358">
            <v>95707.03</v>
          </cell>
        </row>
        <row r="359">
          <cell r="A359" t="str">
            <v>F80750G</v>
          </cell>
          <cell r="B359" t="str">
            <v>OTHER PURCHASED GAS EXPENSES</v>
          </cell>
          <cell r="C359">
            <v>1874460.51</v>
          </cell>
          <cell r="D359">
            <v>67264.899999999994</v>
          </cell>
          <cell r="E359">
            <v>43940.91</v>
          </cell>
          <cell r="F359">
            <v>291.14999999999998</v>
          </cell>
          <cell r="G359">
            <v>216405.71</v>
          </cell>
          <cell r="H359">
            <v>74439.490000000005</v>
          </cell>
          <cell r="I359">
            <v>92806.05</v>
          </cell>
          <cell r="J359">
            <v>64727.02</v>
          </cell>
          <cell r="K359">
            <v>130955.66</v>
          </cell>
          <cell r="L359">
            <v>77296.960000000006</v>
          </cell>
          <cell r="M359">
            <v>82969.81</v>
          </cell>
          <cell r="N359">
            <v>98863.45</v>
          </cell>
          <cell r="O359">
            <v>119451.77</v>
          </cell>
          <cell r="P359">
            <v>1069412.8799999999</v>
          </cell>
          <cell r="R359" t="str">
            <v>F80750G</v>
          </cell>
          <cell r="S359">
            <v>1069412.8799999999</v>
          </cell>
          <cell r="T359">
            <v>2943873.3899999997</v>
          </cell>
        </row>
        <row r="360">
          <cell r="A360" t="str">
            <v>F80810G</v>
          </cell>
          <cell r="B360" t="str">
            <v>GAS WITHDRAWN FROM STORAGE-DEBIT</v>
          </cell>
          <cell r="C360">
            <v>28120</v>
          </cell>
          <cell r="D360">
            <v>11896</v>
          </cell>
          <cell r="E360">
            <v>12318</v>
          </cell>
          <cell r="F360">
            <v>6171.38</v>
          </cell>
          <cell r="G360">
            <v>6192.16</v>
          </cell>
          <cell r="H360">
            <v>3612.75</v>
          </cell>
          <cell r="I360">
            <v>2578</v>
          </cell>
          <cell r="J360">
            <v>1951</v>
          </cell>
          <cell r="K360">
            <v>1777</v>
          </cell>
          <cell r="L360">
            <v>1810</v>
          </cell>
          <cell r="M360">
            <v>3287</v>
          </cell>
          <cell r="N360">
            <v>7545.78</v>
          </cell>
          <cell r="O360">
            <v>13824.14</v>
          </cell>
          <cell r="P360">
            <v>72963.209999999992</v>
          </cell>
          <cell r="R360" t="str">
            <v>F80810G</v>
          </cell>
          <cell r="S360">
            <v>72963.210000000006</v>
          </cell>
          <cell r="T360">
            <v>101083.20999999999</v>
          </cell>
        </row>
        <row r="361">
          <cell r="A361" t="str">
            <v>F80820G</v>
          </cell>
          <cell r="B361" t="str">
            <v>GAS DELIVERED TO STORAGE-CREDIT</v>
          </cell>
          <cell r="C361">
            <v>-28136</v>
          </cell>
          <cell r="D361">
            <v>-10883</v>
          </cell>
          <cell r="E361">
            <v>-12591</v>
          </cell>
          <cell r="F361">
            <v>-7455.95</v>
          </cell>
          <cell r="G361">
            <v>-7529.84</v>
          </cell>
          <cell r="H361">
            <v>0.02</v>
          </cell>
          <cell r="I361">
            <v>-3916</v>
          </cell>
          <cell r="J361">
            <v>0</v>
          </cell>
          <cell r="K361">
            <v>-2907</v>
          </cell>
          <cell r="L361">
            <v>-3053</v>
          </cell>
          <cell r="M361">
            <v>-3280.83</v>
          </cell>
          <cell r="N361">
            <v>-9039.25</v>
          </cell>
          <cell r="O361">
            <v>-14929.25</v>
          </cell>
          <cell r="P361">
            <v>-75585.100000000006</v>
          </cell>
          <cell r="R361" t="str">
            <v>F80820G</v>
          </cell>
          <cell r="S361">
            <v>-75585.100000000006</v>
          </cell>
          <cell r="T361">
            <v>-103721.1</v>
          </cell>
        </row>
        <row r="362">
          <cell r="A362" t="str">
            <v>F81000G</v>
          </cell>
          <cell r="B362" t="str">
            <v>GAS USED FOR COMPRESSOR STATION FUEL-CREDIT</v>
          </cell>
          <cell r="C362">
            <v>-966780</v>
          </cell>
          <cell r="D362">
            <v>-99805</v>
          </cell>
          <cell r="E362">
            <v>-100548</v>
          </cell>
          <cell r="F362">
            <v>-44676.79</v>
          </cell>
          <cell r="G362">
            <v>-75425.11</v>
          </cell>
          <cell r="H362">
            <v>-0.01</v>
          </cell>
          <cell r="I362">
            <v>-49141.06</v>
          </cell>
          <cell r="J362">
            <v>-150924.01</v>
          </cell>
          <cell r="K362">
            <v>-98870.98</v>
          </cell>
          <cell r="L362">
            <v>-85148</v>
          </cell>
          <cell r="M362">
            <v>-83471</v>
          </cell>
          <cell r="N362">
            <v>-57884</v>
          </cell>
          <cell r="O362">
            <v>-79241</v>
          </cell>
          <cell r="P362">
            <v>-925134.96000000008</v>
          </cell>
          <cell r="R362" t="str">
            <v>F81000G</v>
          </cell>
          <cell r="S362">
            <v>-925134.96</v>
          </cell>
          <cell r="T362">
            <v>-1891914.96</v>
          </cell>
        </row>
        <row r="363">
          <cell r="A363" t="str">
            <v>F81200G</v>
          </cell>
          <cell r="B363" t="str">
            <v>GAS USED FOR OTHER UTILITY OPERATIONS-CREDIT</v>
          </cell>
          <cell r="C363">
            <v>-46915.21</v>
          </cell>
          <cell r="D363">
            <v>-9231.7000000000007</v>
          </cell>
          <cell r="E363">
            <v>0</v>
          </cell>
          <cell r="J363">
            <v>0</v>
          </cell>
          <cell r="K363">
            <v>-36869.519999999997</v>
          </cell>
          <cell r="L363">
            <v>-5098.3900000000003</v>
          </cell>
          <cell r="M363">
            <v>-4118.99</v>
          </cell>
          <cell r="N363">
            <v>-4608.6899999999996</v>
          </cell>
          <cell r="O363">
            <v>-9046.32</v>
          </cell>
          <cell r="P363">
            <v>-68973.61</v>
          </cell>
          <cell r="R363" t="str">
            <v>F81200G</v>
          </cell>
          <cell r="S363">
            <v>-68973.61</v>
          </cell>
          <cell r="T363">
            <v>-115888.82</v>
          </cell>
        </row>
        <row r="364">
          <cell r="A364" t="str">
            <v>F81700G</v>
          </cell>
          <cell r="B364" t="str">
            <v>LINES EXPENSE</v>
          </cell>
          <cell r="C364">
            <v>0</v>
          </cell>
          <cell r="J364">
            <v>0</v>
          </cell>
          <cell r="K364">
            <v>37.69</v>
          </cell>
          <cell r="P364">
            <v>37.69</v>
          </cell>
          <cell r="R364" t="str">
            <v>F81700G</v>
          </cell>
          <cell r="S364">
            <v>37.69</v>
          </cell>
          <cell r="T364">
            <v>37.69</v>
          </cell>
        </row>
        <row r="365">
          <cell r="A365" t="str">
            <v>F82200G</v>
          </cell>
          <cell r="B365" t="str">
            <v>EXPLORATION AND DEVELOPMENT</v>
          </cell>
          <cell r="C365">
            <v>0</v>
          </cell>
          <cell r="F365">
            <v>10.95</v>
          </cell>
          <cell r="G365">
            <v>0</v>
          </cell>
          <cell r="P365">
            <v>10.95</v>
          </cell>
          <cell r="R365" t="str">
            <v>F82200G</v>
          </cell>
          <cell r="S365">
            <v>10.95</v>
          </cell>
          <cell r="T365">
            <v>10.95</v>
          </cell>
        </row>
        <row r="366">
          <cell r="A366" t="str">
            <v>F83500C</v>
          </cell>
          <cell r="B366" t="str">
            <v>MAINTENANCE OF MEASURING AND REGULATING STATION EQ</v>
          </cell>
          <cell r="C366">
            <v>0</v>
          </cell>
          <cell r="N366">
            <v>648</v>
          </cell>
          <cell r="O366">
            <v>0</v>
          </cell>
          <cell r="P366">
            <v>648</v>
          </cell>
          <cell r="R366" t="str">
            <v>F83500C</v>
          </cell>
          <cell r="S366">
            <v>648</v>
          </cell>
          <cell r="T366">
            <v>648</v>
          </cell>
        </row>
        <row r="367">
          <cell r="A367" t="str">
            <v>F83500G</v>
          </cell>
          <cell r="B367" t="str">
            <v>MAINTENANCE OF MEASURING AND REGULATING STATION EQ</v>
          </cell>
          <cell r="C367">
            <v>0</v>
          </cell>
          <cell r="N367">
            <v>0</v>
          </cell>
          <cell r="O367">
            <v>11.04</v>
          </cell>
          <cell r="P367">
            <v>11.04</v>
          </cell>
          <cell r="R367" t="str">
            <v>F83500G</v>
          </cell>
          <cell r="S367">
            <v>11.04</v>
          </cell>
          <cell r="T367">
            <v>11.04</v>
          </cell>
        </row>
        <row r="368">
          <cell r="A368" t="str">
            <v>F83700G</v>
          </cell>
          <cell r="B368" t="str">
            <v>MAINTENANCE OF OTHER EQUIPMENT</v>
          </cell>
          <cell r="C368">
            <v>0</v>
          </cell>
          <cell r="P368">
            <v>0</v>
          </cell>
          <cell r="T368">
            <v>0</v>
          </cell>
        </row>
        <row r="369">
          <cell r="A369" t="str">
            <v>F84000C</v>
          </cell>
          <cell r="B369" t="str">
            <v>OPERATION SUPERVISION AND ENGINEERING</v>
          </cell>
          <cell r="C369">
            <v>0</v>
          </cell>
          <cell r="F369">
            <v>0</v>
          </cell>
          <cell r="G369">
            <v>382.15</v>
          </cell>
          <cell r="H369">
            <v>48539.29</v>
          </cell>
          <cell r="I369">
            <v>3666.21</v>
          </cell>
          <cell r="L369">
            <v>0</v>
          </cell>
          <cell r="M369">
            <v>-47290.02</v>
          </cell>
          <cell r="P369">
            <v>5297.6300000000047</v>
          </cell>
          <cell r="R369" t="str">
            <v>F84000C</v>
          </cell>
          <cell r="S369">
            <v>5297.63</v>
          </cell>
          <cell r="T369">
            <v>5297.6300000000047</v>
          </cell>
        </row>
        <row r="370">
          <cell r="A370" t="str">
            <v>F84100G</v>
          </cell>
          <cell r="B370" t="str">
            <v>OPERATION LABOR AND EXPNESES</v>
          </cell>
          <cell r="C370">
            <v>25862.33</v>
          </cell>
          <cell r="D370">
            <v>4371.25</v>
          </cell>
          <cell r="E370">
            <v>2517.04</v>
          </cell>
          <cell r="F370">
            <v>0</v>
          </cell>
          <cell r="G370">
            <v>317.22000000000003</v>
          </cell>
          <cell r="H370">
            <v>235.61</v>
          </cell>
          <cell r="I370">
            <v>14369.58</v>
          </cell>
          <cell r="J370">
            <v>820.03</v>
          </cell>
          <cell r="K370">
            <v>1715.39</v>
          </cell>
          <cell r="L370">
            <v>1526.23</v>
          </cell>
          <cell r="M370">
            <v>1175.75</v>
          </cell>
          <cell r="N370">
            <v>2554.4299999999998</v>
          </cell>
          <cell r="O370">
            <v>2093.15</v>
          </cell>
          <cell r="P370">
            <v>31695.68</v>
          </cell>
          <cell r="R370" t="str">
            <v>F84100G</v>
          </cell>
          <cell r="S370">
            <v>31695.68</v>
          </cell>
          <cell r="T370">
            <v>57558.01</v>
          </cell>
        </row>
        <row r="371">
          <cell r="A371" t="str">
            <v>F84170G</v>
          </cell>
          <cell r="B371" t="str">
            <v>OPERATION LABOR AND EXPNESES</v>
          </cell>
          <cell r="C371">
            <v>0</v>
          </cell>
          <cell r="F371">
            <v>2830.26</v>
          </cell>
          <cell r="G371">
            <v>1554.33</v>
          </cell>
          <cell r="H371">
            <v>2445.9499999999998</v>
          </cell>
          <cell r="I371">
            <v>-10482.84</v>
          </cell>
          <cell r="J371">
            <v>389</v>
          </cell>
          <cell r="K371">
            <v>0</v>
          </cell>
          <cell r="N371">
            <v>0</v>
          </cell>
          <cell r="O371">
            <v>1009.96</v>
          </cell>
          <cell r="P371">
            <v>-2253.34</v>
          </cell>
          <cell r="R371" t="str">
            <v>F84170G</v>
          </cell>
          <cell r="S371">
            <v>-2253.34</v>
          </cell>
          <cell r="T371">
            <v>-2253.34</v>
          </cell>
        </row>
        <row r="372">
          <cell r="A372" t="str">
            <v>F84310G</v>
          </cell>
          <cell r="B372" t="str">
            <v>MAINTENANCE SUPERVISION AND ENGINEERING</v>
          </cell>
          <cell r="C372">
            <v>2328.2199999999998</v>
          </cell>
          <cell r="D372">
            <v>249.82</v>
          </cell>
          <cell r="E372">
            <v>147.88</v>
          </cell>
          <cell r="F372">
            <v>276.49</v>
          </cell>
          <cell r="G372">
            <v>223.18</v>
          </cell>
          <cell r="H372">
            <v>173.46</v>
          </cell>
          <cell r="I372">
            <v>230.7</v>
          </cell>
          <cell r="J372">
            <v>150.5</v>
          </cell>
          <cell r="K372">
            <v>262.60000000000002</v>
          </cell>
          <cell r="L372">
            <v>189</v>
          </cell>
          <cell r="M372">
            <v>136.6</v>
          </cell>
          <cell r="N372">
            <v>501.2</v>
          </cell>
          <cell r="O372">
            <v>180.44</v>
          </cell>
          <cell r="P372">
            <v>2721.87</v>
          </cell>
          <cell r="R372" t="str">
            <v>F84310G</v>
          </cell>
          <cell r="S372">
            <v>2721.87</v>
          </cell>
          <cell r="T372">
            <v>5050.09</v>
          </cell>
        </row>
        <row r="373">
          <cell r="A373" t="str">
            <v>F84320G</v>
          </cell>
          <cell r="B373" t="str">
            <v>MAINTENANCE OF STRUCTURES AND IMPROVEMENTS</v>
          </cell>
          <cell r="C373">
            <v>84.18</v>
          </cell>
          <cell r="D373">
            <v>0</v>
          </cell>
          <cell r="E373">
            <v>54.84</v>
          </cell>
          <cell r="F373">
            <v>0</v>
          </cell>
          <cell r="G373">
            <v>947.07</v>
          </cell>
          <cell r="H373">
            <v>625.36</v>
          </cell>
          <cell r="I373">
            <v>0</v>
          </cell>
          <cell r="P373">
            <v>1627.27</v>
          </cell>
          <cell r="R373" t="str">
            <v>F84320G</v>
          </cell>
          <cell r="S373">
            <v>1627.27</v>
          </cell>
          <cell r="T373">
            <v>1711.45</v>
          </cell>
        </row>
        <row r="374">
          <cell r="A374" t="str">
            <v>F84330G</v>
          </cell>
          <cell r="B374" t="str">
            <v>MAINTENANCE OF GAS HOLDERS</v>
          </cell>
          <cell r="C374">
            <v>140.04</v>
          </cell>
          <cell r="D374">
            <v>271.49</v>
          </cell>
          <cell r="E374">
            <v>0</v>
          </cell>
          <cell r="P374">
            <v>271.49</v>
          </cell>
          <cell r="R374" t="str">
            <v>F84330G</v>
          </cell>
          <cell r="S374">
            <v>271.49</v>
          </cell>
          <cell r="T374">
            <v>411.53</v>
          </cell>
        </row>
        <row r="375">
          <cell r="A375" t="str">
            <v>F84370G</v>
          </cell>
          <cell r="B375" t="str">
            <v>MAINTENANCE OF COMPRESSOR EQUIPMENT</v>
          </cell>
          <cell r="C375">
            <v>2501.4899999999998</v>
          </cell>
          <cell r="D375">
            <v>289.44</v>
          </cell>
          <cell r="E375">
            <v>130.47999999999999</v>
          </cell>
          <cell r="F375">
            <v>57.58</v>
          </cell>
          <cell r="G375">
            <v>75.45</v>
          </cell>
          <cell r="H375">
            <v>310.68</v>
          </cell>
          <cell r="I375">
            <v>74.3</v>
          </cell>
          <cell r="J375">
            <v>120.08</v>
          </cell>
          <cell r="K375">
            <v>61.96</v>
          </cell>
          <cell r="L375">
            <v>155.68</v>
          </cell>
          <cell r="M375">
            <v>44.94</v>
          </cell>
          <cell r="N375">
            <v>909.05</v>
          </cell>
          <cell r="O375">
            <v>0</v>
          </cell>
          <cell r="P375">
            <v>2229.64</v>
          </cell>
          <cell r="R375" t="str">
            <v>F84370G</v>
          </cell>
          <cell r="S375">
            <v>2229.64</v>
          </cell>
          <cell r="T375">
            <v>4731.1299999999992</v>
          </cell>
        </row>
        <row r="376">
          <cell r="A376" t="str">
            <v>F84380G</v>
          </cell>
          <cell r="B376" t="str">
            <v>MAINTENANCE OF MEASURING AND REGULATING</v>
          </cell>
          <cell r="C376">
            <v>11.1</v>
          </cell>
          <cell r="P376">
            <v>0</v>
          </cell>
          <cell r="T376">
            <v>11.1</v>
          </cell>
        </row>
        <row r="377">
          <cell r="A377" t="str">
            <v>F84390G</v>
          </cell>
          <cell r="B377" t="str">
            <v>MAINTENANCE OF OTHER EQUIPMENT</v>
          </cell>
          <cell r="C377">
            <v>39.83</v>
          </cell>
          <cell r="P377">
            <v>0</v>
          </cell>
          <cell r="T377">
            <v>39.83</v>
          </cell>
        </row>
        <row r="378">
          <cell r="A378" t="str">
            <v>F85000G</v>
          </cell>
          <cell r="B378" t="str">
            <v>OPERATION SUPERVISION AND ENGINEERING</v>
          </cell>
          <cell r="C378">
            <v>835750.79</v>
          </cell>
          <cell r="D378">
            <v>70496.73</v>
          </cell>
          <cell r="E378">
            <v>51249.04</v>
          </cell>
          <cell r="F378">
            <v>13657.03</v>
          </cell>
          <cell r="G378">
            <v>4106.68</v>
          </cell>
          <cell r="H378">
            <v>1144.8699999999999</v>
          </cell>
          <cell r="I378">
            <v>16278.07</v>
          </cell>
          <cell r="J378">
            <v>2184.33</v>
          </cell>
          <cell r="K378">
            <v>11212.79</v>
          </cell>
          <cell r="L378">
            <v>29786.01</v>
          </cell>
          <cell r="M378">
            <v>16608.2</v>
          </cell>
          <cell r="N378">
            <v>12200.51</v>
          </cell>
          <cell r="O378">
            <v>33637.5</v>
          </cell>
          <cell r="P378">
            <v>262561.76</v>
          </cell>
          <cell r="R378" t="str">
            <v>F85000G</v>
          </cell>
          <cell r="S378">
            <v>262561.76</v>
          </cell>
          <cell r="T378">
            <v>1098312.55</v>
          </cell>
        </row>
        <row r="379">
          <cell r="A379" t="str">
            <v>F85010G</v>
          </cell>
          <cell r="B379" t="str">
            <v>OPERATION SUPERVISION AND ENGINEERING</v>
          </cell>
          <cell r="C379">
            <v>0</v>
          </cell>
          <cell r="F379">
            <v>48711.53</v>
          </cell>
          <cell r="G379">
            <v>36681.879999999997</v>
          </cell>
          <cell r="H379">
            <v>58318.11</v>
          </cell>
          <cell r="I379">
            <v>36887.120000000003</v>
          </cell>
          <cell r="J379">
            <v>33280.89</v>
          </cell>
          <cell r="K379">
            <v>58740.27</v>
          </cell>
          <cell r="L379">
            <v>50155.68</v>
          </cell>
          <cell r="M379">
            <v>39582.730000000003</v>
          </cell>
          <cell r="N379">
            <v>40633.71</v>
          </cell>
          <cell r="O379">
            <v>37418.58</v>
          </cell>
          <cell r="P379">
            <v>440410.50000000006</v>
          </cell>
          <cell r="R379" t="str">
            <v>F85010G</v>
          </cell>
          <cell r="S379">
            <v>440410.5</v>
          </cell>
          <cell r="T379">
            <v>440410.50000000006</v>
          </cell>
        </row>
        <row r="380">
          <cell r="A380" t="str">
            <v>F85020G</v>
          </cell>
          <cell r="B380" t="str">
            <v>OPERATION SUPERVISIO</v>
          </cell>
          <cell r="C380">
            <v>0</v>
          </cell>
          <cell r="F380">
            <v>13810.66</v>
          </cell>
          <cell r="G380">
            <v>12193.95</v>
          </cell>
          <cell r="H380">
            <v>15949.39</v>
          </cell>
          <cell r="I380">
            <v>12892.18</v>
          </cell>
          <cell r="J380">
            <v>1903.55</v>
          </cell>
          <cell r="K380">
            <v>13051.89</v>
          </cell>
          <cell r="L380">
            <v>9819.94</v>
          </cell>
          <cell r="M380">
            <v>8643.91</v>
          </cell>
          <cell r="N380">
            <v>10987.49</v>
          </cell>
          <cell r="O380">
            <v>8901.19</v>
          </cell>
          <cell r="P380">
            <v>108154.15000000001</v>
          </cell>
          <cell r="R380" t="str">
            <v>F85020G</v>
          </cell>
          <cell r="S380">
            <v>108154.15</v>
          </cell>
          <cell r="T380">
            <v>108154.15000000001</v>
          </cell>
        </row>
        <row r="381">
          <cell r="A381" t="str">
            <v>F85100G</v>
          </cell>
          <cell r="B381" t="str">
            <v>SYSTEM CONTROL AND LOAD DISPATCHING</v>
          </cell>
          <cell r="C381">
            <v>333759.53999999998</v>
          </cell>
          <cell r="D381">
            <v>-30111.14</v>
          </cell>
          <cell r="E381">
            <v>40531.75</v>
          </cell>
          <cell r="F381">
            <v>61425.02</v>
          </cell>
          <cell r="G381">
            <v>0</v>
          </cell>
          <cell r="H381">
            <v>40507.050000000003</v>
          </cell>
          <cell r="I381">
            <v>31712.76</v>
          </cell>
          <cell r="J381">
            <v>32591.93</v>
          </cell>
          <cell r="K381">
            <v>35716.85</v>
          </cell>
          <cell r="L381">
            <v>17.95</v>
          </cell>
          <cell r="M381">
            <v>88368.79</v>
          </cell>
          <cell r="N381">
            <v>19031.310000000001</v>
          </cell>
          <cell r="O381">
            <v>31894.91</v>
          </cell>
          <cell r="P381">
            <v>351687.18</v>
          </cell>
          <cell r="R381" t="str">
            <v>F85100G</v>
          </cell>
          <cell r="S381">
            <v>351687.18</v>
          </cell>
          <cell r="T381">
            <v>685446.72</v>
          </cell>
        </row>
        <row r="382">
          <cell r="A382" t="str">
            <v>F85200G</v>
          </cell>
          <cell r="B382" t="str">
            <v>COMMUNICATION SYSTEM EXPENSES</v>
          </cell>
          <cell r="C382">
            <v>0</v>
          </cell>
          <cell r="J382">
            <v>671.21</v>
          </cell>
          <cell r="K382">
            <v>0</v>
          </cell>
          <cell r="P382">
            <v>671.21</v>
          </cell>
          <cell r="R382" t="str">
            <v>F85200G</v>
          </cell>
          <cell r="S382">
            <v>671.21</v>
          </cell>
          <cell r="T382">
            <v>671.21</v>
          </cell>
        </row>
        <row r="383">
          <cell r="A383" t="str">
            <v>F85300G</v>
          </cell>
          <cell r="B383" t="str">
            <v>COMPRESSOR STATION LABOR AND EXPENSES</v>
          </cell>
          <cell r="C383">
            <v>879459.61</v>
          </cell>
          <cell r="D383">
            <v>86099.34</v>
          </cell>
          <cell r="E383">
            <v>63554.05</v>
          </cell>
          <cell r="F383">
            <v>11446.05</v>
          </cell>
          <cell r="G383">
            <v>12899.36</v>
          </cell>
          <cell r="H383">
            <v>13508.01</v>
          </cell>
          <cell r="I383">
            <v>26938.54</v>
          </cell>
          <cell r="J383">
            <v>11425.99</v>
          </cell>
          <cell r="K383">
            <v>50760.12</v>
          </cell>
          <cell r="L383">
            <v>31474.03</v>
          </cell>
          <cell r="M383">
            <v>10920.21</v>
          </cell>
          <cell r="N383">
            <v>24069.01</v>
          </cell>
          <cell r="O383">
            <v>60010.13</v>
          </cell>
          <cell r="P383">
            <v>403104.84</v>
          </cell>
          <cell r="R383" t="str">
            <v>F85300G</v>
          </cell>
          <cell r="S383">
            <v>403104.84</v>
          </cell>
          <cell r="T383">
            <v>1282564.45</v>
          </cell>
        </row>
        <row r="384">
          <cell r="A384" t="str">
            <v>F85310G</v>
          </cell>
          <cell r="B384" t="str">
            <v>COMPRESSOR STATION LABOR AND EXPENSES</v>
          </cell>
          <cell r="C384">
            <v>0</v>
          </cell>
          <cell r="F384">
            <v>49888.89</v>
          </cell>
          <cell r="G384">
            <v>55440.07</v>
          </cell>
          <cell r="H384">
            <v>43473.02</v>
          </cell>
          <cell r="I384">
            <v>50035.9</v>
          </cell>
          <cell r="J384">
            <v>46885.86</v>
          </cell>
          <cell r="K384">
            <v>52921.11</v>
          </cell>
          <cell r="L384">
            <v>44564.78</v>
          </cell>
          <cell r="M384">
            <v>42974.66</v>
          </cell>
          <cell r="N384">
            <v>55817.14</v>
          </cell>
          <cell r="O384">
            <v>36560.9</v>
          </cell>
          <cell r="P384">
            <v>478562.33000000007</v>
          </cell>
          <cell r="R384" t="str">
            <v>F85310G</v>
          </cell>
          <cell r="S384">
            <v>478562.33</v>
          </cell>
          <cell r="T384">
            <v>478562.33000000007</v>
          </cell>
        </row>
        <row r="385">
          <cell r="A385" t="str">
            <v>F85320G</v>
          </cell>
          <cell r="B385" t="str">
            <v>COMPRESSOR STATION LABOR AND EXPENSES</v>
          </cell>
          <cell r="C385">
            <v>0</v>
          </cell>
          <cell r="F385">
            <v>6241.94</v>
          </cell>
          <cell r="G385">
            <v>4511.3999999999996</v>
          </cell>
          <cell r="H385">
            <v>2928.31</v>
          </cell>
          <cell r="I385">
            <v>3263.4</v>
          </cell>
          <cell r="J385">
            <v>6855.05</v>
          </cell>
          <cell r="K385">
            <v>4374.33</v>
          </cell>
          <cell r="L385">
            <v>3365.87</v>
          </cell>
          <cell r="M385">
            <v>7636.71</v>
          </cell>
          <cell r="N385">
            <v>9506.94</v>
          </cell>
          <cell r="O385">
            <v>3403.3</v>
          </cell>
          <cell r="P385">
            <v>52087.250000000007</v>
          </cell>
          <cell r="R385" t="str">
            <v>F85320G</v>
          </cell>
          <cell r="S385">
            <v>52087.25</v>
          </cell>
          <cell r="T385">
            <v>52087.250000000007</v>
          </cell>
        </row>
        <row r="386">
          <cell r="A386" t="str">
            <v>F85400G</v>
          </cell>
          <cell r="B386" t="str">
            <v>GAS FOR COMPRESSOR STATION FUEL</v>
          </cell>
          <cell r="C386">
            <v>966780</v>
          </cell>
          <cell r="D386">
            <v>99805</v>
          </cell>
          <cell r="E386">
            <v>100548</v>
          </cell>
          <cell r="F386">
            <v>44840.76</v>
          </cell>
          <cell r="G386">
            <v>75417.03</v>
          </cell>
          <cell r="H386">
            <v>324.16000000000003</v>
          </cell>
          <cell r="I386">
            <v>49141</v>
          </cell>
          <cell r="J386">
            <v>150923.93</v>
          </cell>
          <cell r="K386">
            <v>98870.99</v>
          </cell>
          <cell r="L386">
            <v>85148</v>
          </cell>
          <cell r="M386">
            <v>83471</v>
          </cell>
          <cell r="N386">
            <v>57884</v>
          </cell>
          <cell r="O386">
            <v>79241</v>
          </cell>
          <cell r="P386">
            <v>925614.87</v>
          </cell>
          <cell r="R386" t="str">
            <v>F85400G</v>
          </cell>
          <cell r="S386">
            <v>925614.87</v>
          </cell>
          <cell r="T386">
            <v>1892394.87</v>
          </cell>
        </row>
        <row r="387">
          <cell r="A387" t="str">
            <v>F85500G</v>
          </cell>
          <cell r="B387" t="str">
            <v>OTHER FUEL AND POWER FOR COMPRESSOR STATIONS</v>
          </cell>
          <cell r="C387">
            <v>115122.41</v>
          </cell>
          <cell r="D387">
            <v>66524.600000000006</v>
          </cell>
          <cell r="E387">
            <v>0</v>
          </cell>
          <cell r="P387">
            <v>66524.600000000006</v>
          </cell>
          <cell r="R387" t="str">
            <v>F85500G</v>
          </cell>
          <cell r="S387">
            <v>66524.600000000006</v>
          </cell>
          <cell r="T387">
            <v>181647.01</v>
          </cell>
        </row>
        <row r="388">
          <cell r="A388" t="str">
            <v>F85510G</v>
          </cell>
          <cell r="B388" t="str">
            <v>OTHER FUEL AND POWER FOR COMPRESSOR STATIONS</v>
          </cell>
          <cell r="C388">
            <v>0</v>
          </cell>
          <cell r="F388">
            <v>14403.03</v>
          </cell>
          <cell r="G388">
            <v>13066.18</v>
          </cell>
          <cell r="H388">
            <v>12905.38</v>
          </cell>
          <cell r="I388">
            <v>10040.75</v>
          </cell>
          <cell r="J388">
            <v>28826.79</v>
          </cell>
          <cell r="K388">
            <v>0</v>
          </cell>
          <cell r="L388">
            <v>15337.03</v>
          </cell>
          <cell r="M388">
            <v>16949.54</v>
          </cell>
          <cell r="N388">
            <v>23771.74</v>
          </cell>
          <cell r="O388">
            <v>0</v>
          </cell>
          <cell r="P388">
            <v>135300.44</v>
          </cell>
          <cell r="R388" t="str">
            <v>F85510G</v>
          </cell>
          <cell r="S388">
            <v>135300.44</v>
          </cell>
          <cell r="T388">
            <v>135300.44</v>
          </cell>
        </row>
        <row r="389">
          <cell r="A389" t="str">
            <v>F85600G</v>
          </cell>
          <cell r="B389" t="str">
            <v>MAINS EXPENSES</v>
          </cell>
          <cell r="C389">
            <v>810781.26</v>
          </cell>
          <cell r="D389">
            <v>50155.99</v>
          </cell>
          <cell r="E389">
            <v>31365.22</v>
          </cell>
          <cell r="F389">
            <v>6564.68</v>
          </cell>
          <cell r="G389">
            <v>9798.59</v>
          </cell>
          <cell r="H389">
            <v>12091.09</v>
          </cell>
          <cell r="I389">
            <v>15634.74</v>
          </cell>
          <cell r="J389">
            <v>11026.48</v>
          </cell>
          <cell r="K389">
            <v>8984.9699999999993</v>
          </cell>
          <cell r="L389">
            <v>2197.21</v>
          </cell>
          <cell r="M389">
            <v>4099.99</v>
          </cell>
          <cell r="N389">
            <v>10247.08</v>
          </cell>
          <cell r="O389">
            <v>18650.48</v>
          </cell>
          <cell r="P389">
            <v>180816.51999999996</v>
          </cell>
          <cell r="R389" t="str">
            <v>F85600G</v>
          </cell>
          <cell r="S389">
            <v>180816.52</v>
          </cell>
          <cell r="T389">
            <v>991597.78</v>
          </cell>
        </row>
        <row r="390">
          <cell r="A390" t="str">
            <v>F85610G</v>
          </cell>
          <cell r="B390" t="str">
            <v>MAINS EXPENSES</v>
          </cell>
          <cell r="C390">
            <v>0</v>
          </cell>
          <cell r="F390">
            <v>11553.5</v>
          </cell>
          <cell r="G390">
            <v>9329.7099999999991</v>
          </cell>
          <cell r="H390">
            <v>14708.34</v>
          </cell>
          <cell r="I390">
            <v>18755.54</v>
          </cell>
          <cell r="J390">
            <v>18870.41</v>
          </cell>
          <cell r="K390">
            <v>28830.05</v>
          </cell>
          <cell r="L390">
            <v>42881.49</v>
          </cell>
          <cell r="M390">
            <v>16298.27</v>
          </cell>
          <cell r="N390">
            <v>18075.3</v>
          </cell>
          <cell r="O390">
            <v>19767.89</v>
          </cell>
          <cell r="P390">
            <v>199070.5</v>
          </cell>
          <cell r="R390" t="str">
            <v>F85610G</v>
          </cell>
          <cell r="S390">
            <v>199070.5</v>
          </cell>
          <cell r="T390">
            <v>199070.5</v>
          </cell>
        </row>
        <row r="391">
          <cell r="A391" t="str">
            <v>F85620G</v>
          </cell>
          <cell r="B391" t="str">
            <v>TRANS PIPE OPER SJOAQ VLY&amp;WHLR RDGE</v>
          </cell>
          <cell r="C391">
            <v>0</v>
          </cell>
          <cell r="F391">
            <v>24302.38</v>
          </cell>
          <cell r="G391">
            <v>27441.06</v>
          </cell>
          <cell r="H391">
            <v>21195.19</v>
          </cell>
          <cell r="I391">
            <v>18180.37</v>
          </cell>
          <cell r="J391">
            <v>37271.57</v>
          </cell>
          <cell r="K391">
            <v>29559.439999999999</v>
          </cell>
          <cell r="L391">
            <v>14822.59</v>
          </cell>
          <cell r="M391">
            <v>23638.16</v>
          </cell>
          <cell r="N391">
            <v>39160.79</v>
          </cell>
          <cell r="O391">
            <v>26623.39</v>
          </cell>
          <cell r="P391">
            <v>262194.94</v>
          </cell>
          <cell r="R391" t="str">
            <v>F85620G</v>
          </cell>
          <cell r="S391">
            <v>262194.94</v>
          </cell>
          <cell r="T391">
            <v>262194.94</v>
          </cell>
        </row>
        <row r="392">
          <cell r="A392" t="str">
            <v>F85660G</v>
          </cell>
          <cell r="B392" t="str">
            <v>TRANS PIPE OPER ADELANTO SYSTEM</v>
          </cell>
          <cell r="C392">
            <v>0</v>
          </cell>
          <cell r="F392">
            <v>9021.1200000000008</v>
          </cell>
          <cell r="G392">
            <v>7247.91</v>
          </cell>
          <cell r="H392">
            <v>7187.54</v>
          </cell>
          <cell r="I392">
            <v>6810.29</v>
          </cell>
          <cell r="J392">
            <v>6624.15</v>
          </cell>
          <cell r="K392">
            <v>11567.76</v>
          </cell>
          <cell r="L392">
            <v>7062.1</v>
          </cell>
          <cell r="M392">
            <v>5397.86</v>
          </cell>
          <cell r="N392">
            <v>6603.41</v>
          </cell>
          <cell r="O392">
            <v>7543.35</v>
          </cell>
          <cell r="P392">
            <v>75065.490000000005</v>
          </cell>
          <cell r="R392" t="str">
            <v>F85660G</v>
          </cell>
          <cell r="S392">
            <v>75065.490000000005</v>
          </cell>
          <cell r="T392">
            <v>75065.490000000005</v>
          </cell>
        </row>
        <row r="393">
          <cell r="A393" t="str">
            <v>F85700G</v>
          </cell>
          <cell r="B393" t="str">
            <v>MEASURING AND REGULATING STATION EXPENSES</v>
          </cell>
          <cell r="C393">
            <v>101176.07</v>
          </cell>
          <cell r="D393">
            <v>9895.99</v>
          </cell>
          <cell r="E393">
            <v>3640.12</v>
          </cell>
          <cell r="F393">
            <v>8802.77</v>
          </cell>
          <cell r="G393">
            <v>5096</v>
          </cell>
          <cell r="H393">
            <v>8777.7000000000007</v>
          </cell>
          <cell r="I393">
            <v>7078.17</v>
          </cell>
          <cell r="J393">
            <v>5680.98</v>
          </cell>
          <cell r="K393">
            <v>9444.51</v>
          </cell>
          <cell r="L393">
            <v>3720.17</v>
          </cell>
          <cell r="M393">
            <v>10702.65</v>
          </cell>
          <cell r="N393">
            <v>7609.94</v>
          </cell>
          <cell r="O393">
            <v>6140.76</v>
          </cell>
          <cell r="P393">
            <v>86589.759999999995</v>
          </cell>
          <cell r="R393" t="str">
            <v>F85700G</v>
          </cell>
          <cell r="S393">
            <v>86589.759999999995</v>
          </cell>
          <cell r="T393">
            <v>187765.83000000002</v>
          </cell>
        </row>
        <row r="394">
          <cell r="A394" t="str">
            <v>F85900G</v>
          </cell>
          <cell r="B394" t="str">
            <v>OTHER EXPENSES</v>
          </cell>
          <cell r="C394">
            <v>1243236.3700000001</v>
          </cell>
          <cell r="D394">
            <v>8789.3799999999992</v>
          </cell>
          <cell r="E394">
            <v>117566.39</v>
          </cell>
          <cell r="F394">
            <v>31017.119999999999</v>
          </cell>
          <cell r="G394">
            <v>133509.87</v>
          </cell>
          <cell r="H394">
            <v>12407.26</v>
          </cell>
          <cell r="I394">
            <v>156773.21</v>
          </cell>
          <cell r="J394">
            <v>478773.87</v>
          </cell>
          <cell r="K394">
            <v>480583.95</v>
          </cell>
          <cell r="L394">
            <v>495676.75</v>
          </cell>
          <cell r="M394">
            <v>1506137.79</v>
          </cell>
          <cell r="N394">
            <v>2307605.5</v>
          </cell>
          <cell r="O394">
            <v>3136964.38</v>
          </cell>
          <cell r="P394">
            <v>8865805.4699999988</v>
          </cell>
          <cell r="R394" t="str">
            <v>F85900G</v>
          </cell>
          <cell r="S394">
            <v>8865805.4699999988</v>
          </cell>
          <cell r="T394">
            <v>10109041.84</v>
          </cell>
        </row>
        <row r="395">
          <cell r="A395" t="str">
            <v>F85920G</v>
          </cell>
          <cell r="B395" t="str">
            <v>OTHER EXPENSES</v>
          </cell>
          <cell r="C395">
            <v>0</v>
          </cell>
          <cell r="F395">
            <v>276.49</v>
          </cell>
          <cell r="G395">
            <v>223.18</v>
          </cell>
          <cell r="H395">
            <v>173.46</v>
          </cell>
          <cell r="I395">
            <v>230.71</v>
          </cell>
          <cell r="J395">
            <v>2457.04</v>
          </cell>
          <cell r="K395">
            <v>262.60000000000002</v>
          </cell>
          <cell r="L395">
            <v>879</v>
          </cell>
          <cell r="M395">
            <v>136.6</v>
          </cell>
          <cell r="N395">
            <v>584.39</v>
          </cell>
          <cell r="O395">
            <v>542.04999999999995</v>
          </cell>
          <cell r="P395">
            <v>5765.52</v>
          </cell>
          <cell r="R395" t="str">
            <v>F85920G</v>
          </cell>
          <cell r="S395">
            <v>5765.52</v>
          </cell>
          <cell r="T395">
            <v>5765.52</v>
          </cell>
        </row>
        <row r="396">
          <cell r="A396" t="str">
            <v>F85930G</v>
          </cell>
          <cell r="B396" t="str">
            <v>OTHER EXPENSES</v>
          </cell>
          <cell r="C396">
            <v>0</v>
          </cell>
          <cell r="F396">
            <v>8513.82</v>
          </cell>
          <cell r="G396">
            <v>3906.55</v>
          </cell>
          <cell r="H396">
            <v>5158.08</v>
          </cell>
          <cell r="I396">
            <v>2593.34</v>
          </cell>
          <cell r="J396">
            <v>9798.8799999999992</v>
          </cell>
          <cell r="K396">
            <v>32578.02</v>
          </cell>
          <cell r="L396">
            <v>8620.52</v>
          </cell>
          <cell r="M396">
            <v>9522.5300000000007</v>
          </cell>
          <cell r="N396">
            <v>21375.35</v>
          </cell>
          <cell r="O396">
            <v>-10795.06</v>
          </cell>
          <cell r="P396">
            <v>91272.03</v>
          </cell>
          <cell r="R396" t="str">
            <v>F85930G</v>
          </cell>
          <cell r="S396">
            <v>91272.03</v>
          </cell>
          <cell r="T396">
            <v>91272.03</v>
          </cell>
        </row>
        <row r="397">
          <cell r="A397" t="str">
            <v>F86000G</v>
          </cell>
          <cell r="B397" t="str">
            <v>RENTS</v>
          </cell>
          <cell r="C397">
            <v>37204.86</v>
          </cell>
          <cell r="D397">
            <v>1267.8</v>
          </cell>
          <cell r="E397">
            <v>0</v>
          </cell>
          <cell r="F397">
            <v>0</v>
          </cell>
          <cell r="G397">
            <v>18.649999999999999</v>
          </cell>
          <cell r="H397">
            <v>0</v>
          </cell>
          <cell r="I397">
            <v>100</v>
          </cell>
          <cell r="J397">
            <v>200</v>
          </cell>
          <cell r="K397">
            <v>0</v>
          </cell>
          <cell r="N397">
            <v>0</v>
          </cell>
          <cell r="O397">
            <v>140</v>
          </cell>
          <cell r="P397">
            <v>1726.45</v>
          </cell>
          <cell r="R397" t="str">
            <v>F86000G</v>
          </cell>
          <cell r="S397">
            <v>1726.45</v>
          </cell>
          <cell r="T397">
            <v>38931.31</v>
          </cell>
        </row>
        <row r="398">
          <cell r="A398" t="str">
            <v>F86100G</v>
          </cell>
          <cell r="B398" t="str">
            <v>MAINTENANCE SUPERVISION AND ENGINEERING</v>
          </cell>
          <cell r="C398">
            <v>206768.06</v>
          </cell>
          <cell r="D398">
            <v>12820.72</v>
          </cell>
          <cell r="E398">
            <v>7857.52</v>
          </cell>
          <cell r="F398">
            <v>1368.18</v>
          </cell>
          <cell r="G398">
            <v>80.97</v>
          </cell>
          <cell r="H398">
            <v>788.08</v>
          </cell>
          <cell r="I398">
            <v>1027.94</v>
          </cell>
          <cell r="J398">
            <v>84.9</v>
          </cell>
          <cell r="K398">
            <v>665.09</v>
          </cell>
          <cell r="L398">
            <v>335.18</v>
          </cell>
          <cell r="M398">
            <v>192.88</v>
          </cell>
          <cell r="N398">
            <v>299.57</v>
          </cell>
          <cell r="O398">
            <v>325.08999999999997</v>
          </cell>
          <cell r="P398">
            <v>25846.120000000003</v>
          </cell>
          <cell r="R398" t="str">
            <v>F86100G</v>
          </cell>
          <cell r="S398">
            <v>25846.12</v>
          </cell>
          <cell r="T398">
            <v>232614.18</v>
          </cell>
        </row>
        <row r="399">
          <cell r="A399" t="str">
            <v>F86110G</v>
          </cell>
          <cell r="B399" t="str">
            <v>MAINTENANCE SUPERVISION AND ENGINEERING</v>
          </cell>
          <cell r="C399">
            <v>0</v>
          </cell>
          <cell r="F399">
            <v>10105.129999999999</v>
          </cell>
          <cell r="G399">
            <v>9822.58</v>
          </cell>
          <cell r="H399">
            <v>9540.0400000000009</v>
          </cell>
          <cell r="I399">
            <v>7966.34</v>
          </cell>
          <cell r="J399">
            <v>6268.93</v>
          </cell>
          <cell r="K399">
            <v>9071.19</v>
          </cell>
          <cell r="L399">
            <v>6472.03</v>
          </cell>
          <cell r="M399">
            <v>6485.41</v>
          </cell>
          <cell r="N399">
            <v>7222.51</v>
          </cell>
          <cell r="O399">
            <v>6943.09</v>
          </cell>
          <cell r="P399">
            <v>79897.249999999985</v>
          </cell>
          <cell r="R399" t="str">
            <v>F86110G</v>
          </cell>
          <cell r="S399">
            <v>79897.25</v>
          </cell>
          <cell r="T399">
            <v>79897.249999999985</v>
          </cell>
        </row>
        <row r="400">
          <cell r="A400" t="str">
            <v>F86120G</v>
          </cell>
          <cell r="B400" t="str">
            <v>MAINTENANCE SUPERVISION AND ENGINEERING</v>
          </cell>
          <cell r="C400">
            <v>0</v>
          </cell>
          <cell r="F400">
            <v>92.01</v>
          </cell>
          <cell r="G400">
            <v>74.38</v>
          </cell>
          <cell r="H400">
            <v>57.78</v>
          </cell>
          <cell r="I400">
            <v>77</v>
          </cell>
          <cell r="J400">
            <v>50.13</v>
          </cell>
          <cell r="K400">
            <v>87.6</v>
          </cell>
          <cell r="L400">
            <v>63.1</v>
          </cell>
          <cell r="M400">
            <v>45.5</v>
          </cell>
          <cell r="N400">
            <v>78.7</v>
          </cell>
          <cell r="O400">
            <v>60.18</v>
          </cell>
          <cell r="P400">
            <v>686.38</v>
          </cell>
          <cell r="R400" t="str">
            <v>F86120G</v>
          </cell>
          <cell r="S400">
            <v>686.38</v>
          </cell>
          <cell r="T400">
            <v>686.38</v>
          </cell>
        </row>
        <row r="401">
          <cell r="A401" t="str">
            <v>F86200G</v>
          </cell>
          <cell r="B401" t="str">
            <v>MAINTENANCE OF STRUCTURES AND IMPROVEMENTS</v>
          </cell>
          <cell r="C401">
            <v>420.25</v>
          </cell>
          <cell r="H401">
            <v>221.1</v>
          </cell>
          <cell r="I401">
            <v>713.54</v>
          </cell>
          <cell r="L401">
            <v>496</v>
          </cell>
          <cell r="M401">
            <v>0</v>
          </cell>
          <cell r="P401">
            <v>1430.6399999999999</v>
          </cell>
          <cell r="R401" t="str">
            <v>F86200G</v>
          </cell>
          <cell r="S401">
            <v>1430.64</v>
          </cell>
          <cell r="T401">
            <v>1850.8899999999999</v>
          </cell>
        </row>
        <row r="402">
          <cell r="A402" t="str">
            <v>F86300G</v>
          </cell>
          <cell r="B402" t="str">
            <v>MAINTENANCE OF MAINS</v>
          </cell>
          <cell r="C402">
            <v>11903.57</v>
          </cell>
          <cell r="J402">
            <v>426.61</v>
          </cell>
          <cell r="K402">
            <v>733.96</v>
          </cell>
          <cell r="L402">
            <v>148.82</v>
          </cell>
          <cell r="M402">
            <v>267.52999999999997</v>
          </cell>
          <cell r="N402">
            <v>356.7</v>
          </cell>
          <cell r="O402">
            <v>55.42</v>
          </cell>
          <cell r="P402">
            <v>1989.0400000000002</v>
          </cell>
          <cell r="R402" t="str">
            <v>F86300G</v>
          </cell>
          <cell r="S402">
            <v>1989.04</v>
          </cell>
          <cell r="T402">
            <v>13892.61</v>
          </cell>
        </row>
        <row r="403">
          <cell r="A403" t="str">
            <v>F86400G</v>
          </cell>
          <cell r="B403" t="str">
            <v>MAINTENANCE OF COMPRESSOR STATION EQUIPMENT</v>
          </cell>
          <cell r="C403">
            <v>510732.02</v>
          </cell>
          <cell r="D403">
            <v>41797.449999999997</v>
          </cell>
          <cell r="E403">
            <v>33876.29</v>
          </cell>
          <cell r="F403">
            <v>20466.34</v>
          </cell>
          <cell r="G403">
            <v>44192.35</v>
          </cell>
          <cell r="H403">
            <v>25556.080000000002</v>
          </cell>
          <cell r="I403">
            <v>70203.199999999997</v>
          </cell>
          <cell r="J403">
            <v>34743.339999999997</v>
          </cell>
          <cell r="K403">
            <v>28862.58</v>
          </cell>
          <cell r="L403">
            <v>60962.54</v>
          </cell>
          <cell r="M403">
            <v>30952.240000000002</v>
          </cell>
          <cell r="N403">
            <v>19016.509999999998</v>
          </cell>
          <cell r="O403">
            <v>49803.4</v>
          </cell>
          <cell r="P403">
            <v>460432.32000000007</v>
          </cell>
          <cell r="R403" t="str">
            <v>F86400G</v>
          </cell>
          <cell r="S403">
            <v>460432.32</v>
          </cell>
          <cell r="T403">
            <v>971164.34000000008</v>
          </cell>
        </row>
        <row r="404">
          <cell r="A404" t="str">
            <v>F86410G</v>
          </cell>
          <cell r="B404" t="str">
            <v>MAINTENANCE OF COMPRESSOR STATION EQUIPMENT</v>
          </cell>
          <cell r="C404">
            <v>0</v>
          </cell>
          <cell r="F404">
            <v>8573.59</v>
          </cell>
          <cell r="G404">
            <v>8374.51</v>
          </cell>
          <cell r="H404">
            <v>6391.61</v>
          </cell>
          <cell r="I404">
            <v>6198.23</v>
          </cell>
          <cell r="J404">
            <v>6643.3</v>
          </cell>
          <cell r="K404">
            <v>6259.87</v>
          </cell>
          <cell r="L404">
            <v>5427.22</v>
          </cell>
          <cell r="M404">
            <v>4181.07</v>
          </cell>
          <cell r="N404">
            <v>6416.86</v>
          </cell>
          <cell r="O404">
            <v>3881.81</v>
          </cell>
          <cell r="P404">
            <v>62348.07</v>
          </cell>
          <cell r="R404" t="str">
            <v>F86410G</v>
          </cell>
          <cell r="S404">
            <v>62348.07</v>
          </cell>
          <cell r="T404">
            <v>62348.07</v>
          </cell>
        </row>
        <row r="405">
          <cell r="A405" t="str">
            <v>F86420G</v>
          </cell>
          <cell r="B405" t="str">
            <v>MAINTENANCE OF COMPRESSOR STATION EQUIPMENT</v>
          </cell>
          <cell r="C405">
            <v>0</v>
          </cell>
          <cell r="F405">
            <v>1833.61</v>
          </cell>
          <cell r="G405">
            <v>850.2</v>
          </cell>
          <cell r="H405">
            <v>1456.48</v>
          </cell>
          <cell r="I405">
            <v>1606.75</v>
          </cell>
          <cell r="J405">
            <v>2637.58</v>
          </cell>
          <cell r="K405">
            <v>1471.38</v>
          </cell>
          <cell r="L405">
            <v>1252.81</v>
          </cell>
          <cell r="M405">
            <v>2746.36</v>
          </cell>
          <cell r="N405">
            <v>1783.61</v>
          </cell>
          <cell r="O405">
            <v>749.05</v>
          </cell>
          <cell r="P405">
            <v>16387.830000000002</v>
          </cell>
          <cell r="R405" t="str">
            <v>F86420G</v>
          </cell>
          <cell r="S405">
            <v>16387.830000000002</v>
          </cell>
          <cell r="T405">
            <v>16387.830000000002</v>
          </cell>
        </row>
        <row r="406">
          <cell r="A406" t="str">
            <v>F86500G</v>
          </cell>
          <cell r="B406" t="str">
            <v>MAINTENANCE OF MEASURING AND REG. STATION EQUIPMEN</v>
          </cell>
          <cell r="C406">
            <v>49052.61</v>
          </cell>
          <cell r="D406">
            <v>3697.8</v>
          </cell>
          <cell r="E406">
            <v>2468.16</v>
          </cell>
          <cell r="F406">
            <v>4991.05</v>
          </cell>
          <cell r="G406">
            <v>2945.57</v>
          </cell>
          <cell r="H406">
            <v>3086.14</v>
          </cell>
          <cell r="I406">
            <v>2316.27</v>
          </cell>
          <cell r="J406">
            <v>3976.78</v>
          </cell>
          <cell r="K406">
            <v>5111.71</v>
          </cell>
          <cell r="L406">
            <v>4368.3100000000004</v>
          </cell>
          <cell r="M406">
            <v>4082.15</v>
          </cell>
          <cell r="N406">
            <v>3529.17</v>
          </cell>
          <cell r="O406">
            <v>2652.99</v>
          </cell>
          <cell r="P406">
            <v>43226.1</v>
          </cell>
          <cell r="R406" t="str">
            <v>F86500G</v>
          </cell>
          <cell r="S406">
            <v>43226.1</v>
          </cell>
          <cell r="T406">
            <v>92278.709999999992</v>
          </cell>
        </row>
        <row r="407">
          <cell r="A407" t="str">
            <v>F86700G</v>
          </cell>
          <cell r="B407" t="str">
            <v>MAINTENANCE OF OTHER EQUIPMENT</v>
          </cell>
          <cell r="C407">
            <v>0</v>
          </cell>
          <cell r="H407">
            <v>0</v>
          </cell>
          <cell r="I407">
            <v>27.06</v>
          </cell>
          <cell r="J407">
            <v>0</v>
          </cell>
          <cell r="K407">
            <v>25.09</v>
          </cell>
          <cell r="L407">
            <v>0</v>
          </cell>
          <cell r="M407">
            <v>16.989999999999998</v>
          </cell>
          <cell r="P407">
            <v>69.14</v>
          </cell>
          <cell r="R407" t="str">
            <v>F86700G</v>
          </cell>
          <cell r="S407">
            <v>69.14</v>
          </cell>
          <cell r="T407">
            <v>69.14</v>
          </cell>
        </row>
        <row r="408">
          <cell r="A408" t="str">
            <v>F87000G</v>
          </cell>
          <cell r="B408" t="str">
            <v>OPERATION SUPERVISION AND ENGINEERING</v>
          </cell>
          <cell r="C408">
            <v>3379731.62</v>
          </cell>
          <cell r="D408">
            <v>125925.45</v>
          </cell>
          <cell r="E408">
            <v>167348.47</v>
          </cell>
          <cell r="F408">
            <v>64097.96</v>
          </cell>
          <cell r="G408">
            <v>10086.450000000001</v>
          </cell>
          <cell r="H408">
            <v>16078.56</v>
          </cell>
          <cell r="I408">
            <v>10650.73</v>
          </cell>
          <cell r="J408">
            <v>6392.8</v>
          </cell>
          <cell r="K408">
            <v>39220.22</v>
          </cell>
          <cell r="L408">
            <v>29401.98</v>
          </cell>
          <cell r="M408">
            <v>3680.17</v>
          </cell>
          <cell r="N408">
            <v>19718.490000000002</v>
          </cell>
          <cell r="O408">
            <v>807030.66</v>
          </cell>
          <cell r="P408">
            <v>1299631.94</v>
          </cell>
          <cell r="R408" t="str">
            <v>F87000G</v>
          </cell>
          <cell r="S408">
            <v>1299631.94</v>
          </cell>
          <cell r="T408">
            <v>4679363.5600000005</v>
          </cell>
        </row>
        <row r="409">
          <cell r="A409" t="str">
            <v>F87010G</v>
          </cell>
          <cell r="B409" t="str">
            <v>OPERATION SUPERVISIO</v>
          </cell>
          <cell r="C409">
            <v>0</v>
          </cell>
          <cell r="F409">
            <v>157430.21</v>
          </cell>
          <cell r="G409">
            <v>82905.87</v>
          </cell>
          <cell r="H409">
            <v>92917.71</v>
          </cell>
          <cell r="I409">
            <v>110720.41</v>
          </cell>
          <cell r="J409">
            <v>83846.990000000005</v>
          </cell>
          <cell r="K409">
            <v>129808.76</v>
          </cell>
          <cell r="L409">
            <v>98506.32</v>
          </cell>
          <cell r="M409">
            <v>92459.68</v>
          </cell>
          <cell r="N409">
            <v>109448.63</v>
          </cell>
          <cell r="O409">
            <v>94415.1</v>
          </cell>
          <cell r="P409">
            <v>1052459.68</v>
          </cell>
          <cell r="R409" t="str">
            <v>F87010G</v>
          </cell>
          <cell r="S409">
            <v>1052459.68</v>
          </cell>
          <cell r="T409">
            <v>1052459.68</v>
          </cell>
        </row>
        <row r="410">
          <cell r="A410" t="str">
            <v>F87020G</v>
          </cell>
          <cell r="B410" t="str">
            <v>OPERATION SUPERVISIO</v>
          </cell>
          <cell r="C410">
            <v>0</v>
          </cell>
          <cell r="F410">
            <v>88806.94</v>
          </cell>
          <cell r="G410">
            <v>60634.65</v>
          </cell>
          <cell r="H410">
            <v>95544.14</v>
          </cell>
          <cell r="I410">
            <v>93908.6</v>
          </cell>
          <cell r="J410">
            <v>49671.83</v>
          </cell>
          <cell r="K410">
            <v>96849.83</v>
          </cell>
          <cell r="L410">
            <v>76666.06</v>
          </cell>
          <cell r="M410">
            <v>80631.03</v>
          </cell>
          <cell r="N410">
            <v>90633.33</v>
          </cell>
          <cell r="O410">
            <v>66572.14</v>
          </cell>
          <cell r="P410">
            <v>799918.55</v>
          </cell>
          <cell r="R410" t="str">
            <v>F87020G</v>
          </cell>
          <cell r="S410">
            <v>799918.55</v>
          </cell>
          <cell r="T410">
            <v>799918.55</v>
          </cell>
        </row>
        <row r="411">
          <cell r="A411" t="str">
            <v>F87100G</v>
          </cell>
          <cell r="B411" t="str">
            <v>DISTRIBUTION LOAD DISPATCHING</v>
          </cell>
          <cell r="C411">
            <v>137870.31</v>
          </cell>
          <cell r="J411">
            <v>0</v>
          </cell>
          <cell r="K411">
            <v>163.52000000000001</v>
          </cell>
          <cell r="N411">
            <v>1985.42</v>
          </cell>
          <cell r="O411">
            <v>2066.8200000000002</v>
          </cell>
          <cell r="P411">
            <v>4215.76</v>
          </cell>
          <cell r="R411" t="str">
            <v>F87100G</v>
          </cell>
          <cell r="S411">
            <v>4215.76</v>
          </cell>
          <cell r="T411">
            <v>142086.07</v>
          </cell>
        </row>
        <row r="412">
          <cell r="A412" t="str">
            <v>F87200C</v>
          </cell>
          <cell r="B412" t="str">
            <v>COMPRESSOR STATION LABOR AND EXPENSES</v>
          </cell>
          <cell r="C412">
            <v>0</v>
          </cell>
          <cell r="L412">
            <v>2583.52</v>
          </cell>
          <cell r="M412">
            <v>0</v>
          </cell>
          <cell r="N412">
            <v>0</v>
          </cell>
          <cell r="O412">
            <v>187.63</v>
          </cell>
          <cell r="P412">
            <v>2771.15</v>
          </cell>
          <cell r="R412" t="str">
            <v>F87200C</v>
          </cell>
          <cell r="S412">
            <v>2771.15</v>
          </cell>
          <cell r="T412">
            <v>2771.15</v>
          </cell>
        </row>
        <row r="413">
          <cell r="A413" t="str">
            <v>F87200G</v>
          </cell>
          <cell r="B413" t="str">
            <v>COMPRESSOR STATION LABOR AND EXPENSES</v>
          </cell>
          <cell r="C413">
            <v>0</v>
          </cell>
          <cell r="F413">
            <v>1818.54</v>
          </cell>
          <cell r="G413">
            <v>0</v>
          </cell>
          <cell r="H413">
            <v>679.19</v>
          </cell>
          <cell r="I413">
            <v>91.77</v>
          </cell>
          <cell r="P413">
            <v>2589.5</v>
          </cell>
          <cell r="R413" t="str">
            <v>F87200G</v>
          </cell>
          <cell r="S413">
            <v>2589.5</v>
          </cell>
          <cell r="T413">
            <v>2589.5</v>
          </cell>
        </row>
        <row r="414">
          <cell r="A414" t="str">
            <v>F87300G</v>
          </cell>
          <cell r="B414" t="str">
            <v>COMPRESSOR STATION FUEL AND POWER</v>
          </cell>
          <cell r="C414">
            <v>0</v>
          </cell>
          <cell r="L414">
            <v>0</v>
          </cell>
          <cell r="M414">
            <v>512.47</v>
          </cell>
          <cell r="P414">
            <v>512.47</v>
          </cell>
          <cell r="R414" t="str">
            <v>F87300G</v>
          </cell>
          <cell r="S414">
            <v>512.47</v>
          </cell>
          <cell r="T414">
            <v>512.47</v>
          </cell>
        </row>
        <row r="415">
          <cell r="A415" t="str">
            <v>F87400G</v>
          </cell>
          <cell r="B415" t="str">
            <v>MAINS AND SERVICES EXPENSES</v>
          </cell>
          <cell r="C415">
            <v>2429811.21</v>
          </cell>
          <cell r="D415">
            <v>225934.53</v>
          </cell>
          <cell r="E415">
            <v>138667.79999999999</v>
          </cell>
          <cell r="F415">
            <v>51366.91</v>
          </cell>
          <cell r="G415">
            <v>32830.089999999997</v>
          </cell>
          <cell r="H415">
            <v>39069.47</v>
          </cell>
          <cell r="I415">
            <v>69365.509999999995</v>
          </cell>
          <cell r="J415">
            <v>53577.79</v>
          </cell>
          <cell r="K415">
            <v>49288.37</v>
          </cell>
          <cell r="L415">
            <v>43222.05</v>
          </cell>
          <cell r="M415">
            <v>69846.86</v>
          </cell>
          <cell r="N415">
            <v>10443.86</v>
          </cell>
          <cell r="O415">
            <v>25161.78</v>
          </cell>
          <cell r="P415">
            <v>808775.02</v>
          </cell>
          <cell r="R415" t="str">
            <v>F87400G</v>
          </cell>
          <cell r="S415">
            <v>808775.02</v>
          </cell>
          <cell r="T415">
            <v>3238586.23</v>
          </cell>
        </row>
        <row r="416">
          <cell r="A416" t="str">
            <v>F87410G</v>
          </cell>
          <cell r="B416" t="str">
            <v>MAINS AND SERVICES E</v>
          </cell>
          <cell r="C416">
            <v>0</v>
          </cell>
          <cell r="F416">
            <v>41948.97</v>
          </cell>
          <cell r="G416">
            <v>36952.61</v>
          </cell>
          <cell r="H416">
            <v>43996.43</v>
          </cell>
          <cell r="I416">
            <v>43643.94</v>
          </cell>
          <cell r="J416">
            <v>46259.040000000001</v>
          </cell>
          <cell r="K416">
            <v>60021.01</v>
          </cell>
          <cell r="L416">
            <v>26323.759999999998</v>
          </cell>
          <cell r="M416">
            <v>42525.35</v>
          </cell>
          <cell r="N416">
            <v>61372.91</v>
          </cell>
          <cell r="O416">
            <v>41719.050000000003</v>
          </cell>
          <cell r="P416">
            <v>444763.07</v>
          </cell>
          <cell r="R416" t="str">
            <v>F87410G</v>
          </cell>
          <cell r="S416">
            <v>444763.07</v>
          </cell>
          <cell r="T416">
            <v>444763.07</v>
          </cell>
        </row>
        <row r="417">
          <cell r="A417" t="str">
            <v>F87430G</v>
          </cell>
          <cell r="B417" t="str">
            <v>MAINS AND SERVICES E</v>
          </cell>
          <cell r="C417">
            <v>0</v>
          </cell>
          <cell r="F417">
            <v>76730.39</v>
          </cell>
          <cell r="G417">
            <v>56615.67</v>
          </cell>
          <cell r="H417">
            <v>87588.9</v>
          </cell>
          <cell r="I417">
            <v>101671.06</v>
          </cell>
          <cell r="J417">
            <v>97195.04</v>
          </cell>
          <cell r="K417">
            <v>113934.69</v>
          </cell>
          <cell r="L417">
            <v>112579.72</v>
          </cell>
          <cell r="M417">
            <v>86917.51</v>
          </cell>
          <cell r="N417">
            <v>211408.15</v>
          </cell>
          <cell r="O417">
            <v>114574.83</v>
          </cell>
          <cell r="P417">
            <v>1059215.96</v>
          </cell>
          <cell r="R417" t="str">
            <v>F87430G</v>
          </cell>
          <cell r="S417">
            <v>1059215.96</v>
          </cell>
          <cell r="T417">
            <v>1059215.96</v>
          </cell>
        </row>
        <row r="418">
          <cell r="A418" t="str">
            <v>F87440G</v>
          </cell>
          <cell r="B418" t="str">
            <v>MAINS AND SERVICES E</v>
          </cell>
          <cell r="C418">
            <v>0</v>
          </cell>
          <cell r="F418">
            <v>34083.75</v>
          </cell>
          <cell r="G418">
            <v>39298.720000000001</v>
          </cell>
          <cell r="H418">
            <v>35264</v>
          </cell>
          <cell r="I418">
            <v>44751.4</v>
          </cell>
          <cell r="J418">
            <v>54019.88</v>
          </cell>
          <cell r="K418">
            <v>62024.55</v>
          </cell>
          <cell r="L418">
            <v>57581.71</v>
          </cell>
          <cell r="M418">
            <v>48845.7</v>
          </cell>
          <cell r="N418">
            <v>54394.17</v>
          </cell>
          <cell r="O418">
            <v>47298.15</v>
          </cell>
          <cell r="P418">
            <v>477562.03</v>
          </cell>
          <cell r="R418" t="str">
            <v>F87440G</v>
          </cell>
          <cell r="S418">
            <v>477562.03</v>
          </cell>
          <cell r="T418">
            <v>477562.03</v>
          </cell>
        </row>
        <row r="419">
          <cell r="A419" t="str">
            <v>F87450G</v>
          </cell>
          <cell r="B419" t="str">
            <v>MAINS AND SERVICES E</v>
          </cell>
          <cell r="C419">
            <v>0</v>
          </cell>
          <cell r="F419">
            <v>1332</v>
          </cell>
          <cell r="G419">
            <v>769.14</v>
          </cell>
          <cell r="H419">
            <v>1799.85</v>
          </cell>
          <cell r="I419">
            <v>1410.85</v>
          </cell>
          <cell r="J419">
            <v>996.16</v>
          </cell>
          <cell r="K419">
            <v>1445.69</v>
          </cell>
          <cell r="L419">
            <v>1100.6199999999999</v>
          </cell>
          <cell r="M419">
            <v>1101.68</v>
          </cell>
          <cell r="N419">
            <v>1121.58</v>
          </cell>
          <cell r="O419">
            <v>3637.88</v>
          </cell>
          <cell r="P419">
            <v>14715.45</v>
          </cell>
          <cell r="R419" t="str">
            <v>F87450G</v>
          </cell>
          <cell r="S419">
            <v>14715.45</v>
          </cell>
          <cell r="T419">
            <v>14715.45</v>
          </cell>
        </row>
        <row r="420">
          <cell r="A420" t="str">
            <v>F87500G</v>
          </cell>
          <cell r="B420" t="str">
            <v>MEASURING AND REGULATING STATION EXPENSES-GENERAL</v>
          </cell>
          <cell r="C420">
            <v>448307.42</v>
          </cell>
          <cell r="D420">
            <v>22927.54</v>
          </cell>
          <cell r="E420">
            <v>37795.11</v>
          </cell>
          <cell r="F420">
            <v>35238.53</v>
          </cell>
          <cell r="G420">
            <v>46143.3</v>
          </cell>
          <cell r="H420">
            <v>38079.440000000002</v>
          </cell>
          <cell r="I420">
            <v>25600.78</v>
          </cell>
          <cell r="J420">
            <v>78636.100000000006</v>
          </cell>
          <cell r="K420">
            <v>58095.17</v>
          </cell>
          <cell r="L420">
            <v>48512.160000000003</v>
          </cell>
          <cell r="M420">
            <v>31354.52</v>
          </cell>
          <cell r="N420">
            <v>26214.85</v>
          </cell>
          <cell r="O420">
            <v>42636.88</v>
          </cell>
          <cell r="P420">
            <v>491234.38</v>
          </cell>
          <cell r="R420" t="str">
            <v>F87500G</v>
          </cell>
          <cell r="S420">
            <v>491234.38</v>
          </cell>
          <cell r="T420">
            <v>939541.8</v>
          </cell>
        </row>
        <row r="421">
          <cell r="A421" t="str">
            <v>F87800G</v>
          </cell>
          <cell r="B421" t="str">
            <v>METER AND HOUSE REGULATOR EXPENSES</v>
          </cell>
          <cell r="C421">
            <v>2554519.8199999998</v>
          </cell>
          <cell r="D421">
            <v>231732.77</v>
          </cell>
          <cell r="E421">
            <v>140974.51999999999</v>
          </cell>
          <cell r="F421">
            <v>33444.699999999997</v>
          </cell>
          <cell r="G421">
            <v>27184.71</v>
          </cell>
          <cell r="H421">
            <v>29674.44</v>
          </cell>
          <cell r="I421">
            <v>30468.73</v>
          </cell>
          <cell r="J421">
            <v>9220.7800000000007</v>
          </cell>
          <cell r="K421">
            <v>19018.560000000001</v>
          </cell>
          <cell r="L421">
            <v>196963.53</v>
          </cell>
          <cell r="M421">
            <v>84115.16</v>
          </cell>
          <cell r="N421">
            <v>30435.41</v>
          </cell>
          <cell r="O421">
            <v>209330.8</v>
          </cell>
          <cell r="P421">
            <v>1042564.1100000001</v>
          </cell>
          <cell r="R421" t="str">
            <v>F87800G</v>
          </cell>
          <cell r="S421">
            <v>1042564.11</v>
          </cell>
          <cell r="T421">
            <v>3597083.9299999997</v>
          </cell>
        </row>
        <row r="422">
          <cell r="A422" t="str">
            <v>F87810G</v>
          </cell>
          <cell r="B422" t="str">
            <v>METER AND HOUSE REGU</v>
          </cell>
          <cell r="C422">
            <v>0</v>
          </cell>
          <cell r="F422">
            <v>15347.26</v>
          </cell>
          <cell r="G422">
            <v>12953.77</v>
          </cell>
          <cell r="H422">
            <v>19204.919999999998</v>
          </cell>
          <cell r="I422">
            <v>19729.8</v>
          </cell>
          <cell r="J422">
            <v>15749.43</v>
          </cell>
          <cell r="K422">
            <v>17528.45</v>
          </cell>
          <cell r="L422">
            <v>9146.08</v>
          </cell>
          <cell r="M422">
            <v>14219.18</v>
          </cell>
          <cell r="N422">
            <v>13083.25</v>
          </cell>
          <cell r="O422">
            <v>11872.65</v>
          </cell>
          <cell r="P422">
            <v>148834.78999999998</v>
          </cell>
          <cell r="R422" t="str">
            <v>F87810G</v>
          </cell>
          <cell r="S422">
            <v>148834.79</v>
          </cell>
          <cell r="T422">
            <v>148834.78999999998</v>
          </cell>
        </row>
        <row r="423">
          <cell r="A423" t="str">
            <v>F87820G</v>
          </cell>
          <cell r="B423" t="str">
            <v>METER AND HOUSE REGU</v>
          </cell>
          <cell r="C423">
            <v>0</v>
          </cell>
          <cell r="F423">
            <v>192004.89</v>
          </cell>
          <cell r="G423">
            <v>151594</v>
          </cell>
          <cell r="H423">
            <v>152751.84</v>
          </cell>
          <cell r="I423">
            <v>174849.9</v>
          </cell>
          <cell r="J423">
            <v>165451.47</v>
          </cell>
          <cell r="K423">
            <v>197023.52</v>
          </cell>
          <cell r="L423">
            <v>145099.63</v>
          </cell>
          <cell r="M423">
            <v>134245.78</v>
          </cell>
          <cell r="N423">
            <v>140891.84</v>
          </cell>
          <cell r="O423">
            <v>109741.75999999999</v>
          </cell>
          <cell r="P423">
            <v>1563654.6300000001</v>
          </cell>
          <cell r="R423" t="str">
            <v>F87820G</v>
          </cell>
          <cell r="S423">
            <v>1563654.63</v>
          </cell>
          <cell r="T423">
            <v>1563654.6300000001</v>
          </cell>
        </row>
        <row r="424">
          <cell r="A424" t="str">
            <v>F87830G</v>
          </cell>
          <cell r="B424" t="str">
            <v>METER AND HOUSE REGU</v>
          </cell>
          <cell r="C424">
            <v>0</v>
          </cell>
          <cell r="F424">
            <v>3169.81</v>
          </cell>
          <cell r="G424">
            <v>2231.21</v>
          </cell>
          <cell r="H424">
            <v>2044.82</v>
          </cell>
          <cell r="I424">
            <v>1986.67</v>
          </cell>
          <cell r="J424">
            <v>2095.21</v>
          </cell>
          <cell r="K424">
            <v>4145.72</v>
          </cell>
          <cell r="L424">
            <v>2324.46</v>
          </cell>
          <cell r="M424">
            <v>2189.06</v>
          </cell>
          <cell r="N424">
            <v>4439.29</v>
          </cell>
          <cell r="O424">
            <v>2388.11</v>
          </cell>
          <cell r="P424">
            <v>27014.360000000004</v>
          </cell>
          <cell r="R424" t="str">
            <v>F87830G</v>
          </cell>
          <cell r="S424">
            <v>27014.36</v>
          </cell>
          <cell r="T424">
            <v>27014.360000000004</v>
          </cell>
        </row>
        <row r="425">
          <cell r="A425" t="str">
            <v>F87840G</v>
          </cell>
          <cell r="B425" t="str">
            <v>METER AND HOUSE REGU</v>
          </cell>
          <cell r="C425">
            <v>0</v>
          </cell>
          <cell r="F425">
            <v>2883.54</v>
          </cell>
          <cell r="G425">
            <v>2324.16</v>
          </cell>
          <cell r="H425">
            <v>6455.02</v>
          </cell>
          <cell r="I425">
            <v>11845.31</v>
          </cell>
          <cell r="J425">
            <v>4930.41</v>
          </cell>
          <cell r="K425">
            <v>19546.91</v>
          </cell>
          <cell r="L425">
            <v>1195.53</v>
          </cell>
          <cell r="M425">
            <v>496.1</v>
          </cell>
          <cell r="N425">
            <v>8913.7099999999991</v>
          </cell>
          <cell r="O425">
            <v>774.17</v>
          </cell>
          <cell r="P425">
            <v>59364.859999999993</v>
          </cell>
          <cell r="R425" t="str">
            <v>F87840G</v>
          </cell>
          <cell r="S425">
            <v>59364.86</v>
          </cell>
          <cell r="T425">
            <v>59364.859999999993</v>
          </cell>
        </row>
        <row r="426">
          <cell r="A426" t="str">
            <v>F87850G</v>
          </cell>
          <cell r="B426" t="str">
            <v>METER AND HOUSE REGU</v>
          </cell>
          <cell r="C426">
            <v>0</v>
          </cell>
          <cell r="F426">
            <v>3146.97</v>
          </cell>
          <cell r="G426">
            <v>2467.14</v>
          </cell>
          <cell r="H426">
            <v>2647.15</v>
          </cell>
          <cell r="I426">
            <v>2808.32</v>
          </cell>
          <cell r="J426">
            <v>3092.59</v>
          </cell>
          <cell r="K426">
            <v>3558.08</v>
          </cell>
          <cell r="L426">
            <v>2562.7800000000002</v>
          </cell>
          <cell r="M426">
            <v>2970.95</v>
          </cell>
          <cell r="N426">
            <v>3155.35</v>
          </cell>
          <cell r="O426">
            <v>4654.3900000000003</v>
          </cell>
          <cell r="P426">
            <v>31063.719999999998</v>
          </cell>
          <cell r="R426" t="str">
            <v>F87850G</v>
          </cell>
          <cell r="S426">
            <v>31063.72</v>
          </cell>
          <cell r="T426">
            <v>31063.719999999998</v>
          </cell>
        </row>
        <row r="427">
          <cell r="A427" t="str">
            <v>F87860G</v>
          </cell>
          <cell r="B427" t="str">
            <v>METER AND HOUSE REGU</v>
          </cell>
          <cell r="C427">
            <v>0</v>
          </cell>
          <cell r="F427">
            <v>9170.65</v>
          </cell>
          <cell r="G427">
            <v>7312.22</v>
          </cell>
          <cell r="H427">
            <v>3753.22</v>
          </cell>
          <cell r="I427">
            <v>5054.41</v>
          </cell>
          <cell r="J427">
            <v>1859.74</v>
          </cell>
          <cell r="K427">
            <v>4281.92</v>
          </cell>
          <cell r="L427">
            <v>2020.86</v>
          </cell>
          <cell r="M427">
            <v>600.16</v>
          </cell>
          <cell r="N427">
            <v>5307.03</v>
          </cell>
          <cell r="O427">
            <v>4956.6499999999996</v>
          </cell>
          <cell r="P427">
            <v>44316.860000000008</v>
          </cell>
          <cell r="R427" t="str">
            <v>F87860G</v>
          </cell>
          <cell r="S427">
            <v>44316.86</v>
          </cell>
          <cell r="T427">
            <v>44316.860000000008</v>
          </cell>
        </row>
        <row r="428">
          <cell r="A428" t="str">
            <v>F87900G</v>
          </cell>
          <cell r="B428" t="str">
            <v>CUSTOMER INSTALLATIONS EXPENSES</v>
          </cell>
          <cell r="C428">
            <v>8344794.6299999999</v>
          </cell>
          <cell r="D428">
            <v>817260.17</v>
          </cell>
          <cell r="E428">
            <v>469996.12</v>
          </cell>
          <cell r="F428">
            <v>302136.39</v>
          </cell>
          <cell r="G428">
            <v>232755.87</v>
          </cell>
          <cell r="H428">
            <v>237956.05</v>
          </cell>
          <cell r="I428">
            <v>257713.55</v>
          </cell>
          <cell r="J428">
            <v>162651.03</v>
          </cell>
          <cell r="K428">
            <v>172326.75</v>
          </cell>
          <cell r="L428">
            <v>128499.23</v>
          </cell>
          <cell r="M428">
            <v>104490.6</v>
          </cell>
          <cell r="N428">
            <v>90458.22</v>
          </cell>
          <cell r="O428">
            <v>1048138.39</v>
          </cell>
          <cell r="P428">
            <v>4024382.3700000006</v>
          </cell>
          <cell r="R428" t="str">
            <v>F87900G</v>
          </cell>
          <cell r="S428">
            <v>4024382.37</v>
          </cell>
          <cell r="T428">
            <v>12369177</v>
          </cell>
        </row>
        <row r="429">
          <cell r="A429" t="str">
            <v>F87910G</v>
          </cell>
          <cell r="B429" t="str">
            <v>CUSTOMER INSTALLATIO</v>
          </cell>
          <cell r="C429">
            <v>0</v>
          </cell>
          <cell r="F429">
            <v>342957.78</v>
          </cell>
          <cell r="G429">
            <v>279787.32</v>
          </cell>
          <cell r="H429">
            <v>235605.7</v>
          </cell>
          <cell r="I429">
            <v>245985.78</v>
          </cell>
          <cell r="J429">
            <v>220724.02</v>
          </cell>
          <cell r="K429">
            <v>286035.69</v>
          </cell>
          <cell r="L429">
            <v>305586.96000000002</v>
          </cell>
          <cell r="M429">
            <v>324648.48</v>
          </cell>
          <cell r="N429">
            <v>559459.86</v>
          </cell>
          <cell r="O429">
            <v>586102.67000000004</v>
          </cell>
          <cell r="P429">
            <v>3386894.26</v>
          </cell>
          <cell r="R429" t="str">
            <v>F87910G</v>
          </cell>
          <cell r="S429">
            <v>3386894.26</v>
          </cell>
          <cell r="T429">
            <v>3386894.26</v>
          </cell>
        </row>
        <row r="430">
          <cell r="A430" t="str">
            <v>F87920G</v>
          </cell>
          <cell r="B430" t="str">
            <v>CUSTOMER INSTALLATIO</v>
          </cell>
          <cell r="C430">
            <v>0</v>
          </cell>
          <cell r="F430">
            <v>10532.11</v>
          </cell>
          <cell r="G430">
            <v>6700.51</v>
          </cell>
          <cell r="H430">
            <v>13713.77</v>
          </cell>
          <cell r="I430">
            <v>14733.6</v>
          </cell>
          <cell r="J430">
            <v>15825.33</v>
          </cell>
          <cell r="K430">
            <v>21017.78</v>
          </cell>
          <cell r="L430">
            <v>5946.6</v>
          </cell>
          <cell r="M430">
            <v>8384.31</v>
          </cell>
          <cell r="N430">
            <v>7064.23</v>
          </cell>
          <cell r="O430">
            <v>11351.28</v>
          </cell>
          <cell r="P430">
            <v>115269.52</v>
          </cell>
          <cell r="R430" t="str">
            <v>F87920G</v>
          </cell>
          <cell r="S430">
            <v>115269.52</v>
          </cell>
          <cell r="T430">
            <v>115269.52</v>
          </cell>
        </row>
        <row r="431">
          <cell r="A431" t="str">
            <v>F87940G</v>
          </cell>
          <cell r="B431" t="str">
            <v>CUSTOMER INSTALLATIONS EXPENSES</v>
          </cell>
          <cell r="C431">
            <v>0</v>
          </cell>
          <cell r="F431">
            <v>0</v>
          </cell>
          <cell r="G431">
            <v>524.23</v>
          </cell>
          <cell r="H431">
            <v>0</v>
          </cell>
          <cell r="I431">
            <v>101.54</v>
          </cell>
          <cell r="N431">
            <v>0</v>
          </cell>
          <cell r="O431">
            <v>507.8</v>
          </cell>
          <cell r="P431">
            <v>1133.57</v>
          </cell>
          <cell r="R431" t="str">
            <v>F87940G</v>
          </cell>
          <cell r="S431">
            <v>1133.57</v>
          </cell>
          <cell r="T431">
            <v>1133.57</v>
          </cell>
        </row>
        <row r="432">
          <cell r="A432" t="str">
            <v>F87950G</v>
          </cell>
          <cell r="B432" t="str">
            <v>CUSTOMER INSTALLATIO</v>
          </cell>
          <cell r="C432">
            <v>0</v>
          </cell>
          <cell r="F432">
            <v>19305.93</v>
          </cell>
          <cell r="G432">
            <v>10950.19</v>
          </cell>
          <cell r="H432">
            <v>5417.03</v>
          </cell>
          <cell r="I432">
            <v>1190.29</v>
          </cell>
          <cell r="J432">
            <v>2713.18</v>
          </cell>
          <cell r="K432">
            <v>7365.55</v>
          </cell>
          <cell r="L432">
            <v>60665.56</v>
          </cell>
          <cell r="M432">
            <v>106757.72</v>
          </cell>
          <cell r="N432">
            <v>236551.74</v>
          </cell>
          <cell r="O432">
            <v>190704.67</v>
          </cell>
          <cell r="P432">
            <v>641621.86</v>
          </cell>
          <cell r="R432" t="str">
            <v>F87950G</v>
          </cell>
          <cell r="S432">
            <v>641621.86</v>
          </cell>
          <cell r="T432">
            <v>641621.86</v>
          </cell>
        </row>
        <row r="433">
          <cell r="A433" t="str">
            <v>F88000G</v>
          </cell>
          <cell r="B433" t="str">
            <v>OTHER EXPENSES</v>
          </cell>
          <cell r="C433">
            <v>1796859.74</v>
          </cell>
          <cell r="D433">
            <v>129061.69</v>
          </cell>
          <cell r="E433">
            <v>88568.49</v>
          </cell>
          <cell r="F433">
            <v>149526.95000000001</v>
          </cell>
          <cell r="G433">
            <v>149747.46</v>
          </cell>
          <cell r="H433">
            <v>149865.66</v>
          </cell>
          <cell r="I433">
            <v>203148.66</v>
          </cell>
          <cell r="J433">
            <v>185582.7</v>
          </cell>
          <cell r="K433">
            <v>200520.57</v>
          </cell>
          <cell r="L433">
            <v>192287.05</v>
          </cell>
          <cell r="M433">
            <v>135102.87</v>
          </cell>
          <cell r="N433">
            <v>92183.16</v>
          </cell>
          <cell r="O433">
            <v>101056.42</v>
          </cell>
          <cell r="P433">
            <v>1776651.68</v>
          </cell>
          <cell r="R433" t="str">
            <v>F88000G</v>
          </cell>
          <cell r="S433">
            <v>1776651.68</v>
          </cell>
          <cell r="T433">
            <v>3573511.42</v>
          </cell>
        </row>
        <row r="434">
          <cell r="A434" t="str">
            <v>F88010G</v>
          </cell>
          <cell r="B434" t="str">
            <v>MTGS/TRAINING/ETC</v>
          </cell>
          <cell r="C434">
            <v>0</v>
          </cell>
          <cell r="F434">
            <v>36129.980000000003</v>
          </cell>
          <cell r="G434">
            <v>25936.91</v>
          </cell>
          <cell r="H434">
            <v>30802.77</v>
          </cell>
          <cell r="I434">
            <v>37829.99</v>
          </cell>
          <cell r="J434">
            <v>35317.199999999997</v>
          </cell>
          <cell r="K434">
            <v>46873.5</v>
          </cell>
          <cell r="L434">
            <v>37726.74</v>
          </cell>
          <cell r="M434">
            <v>34568.78</v>
          </cell>
          <cell r="N434">
            <v>40214.89</v>
          </cell>
          <cell r="O434">
            <v>35116.22</v>
          </cell>
          <cell r="P434">
            <v>360516.98</v>
          </cell>
          <cell r="R434" t="str">
            <v>F88010G</v>
          </cell>
          <cell r="S434">
            <v>360516.98</v>
          </cell>
          <cell r="T434">
            <v>360516.98</v>
          </cell>
        </row>
        <row r="435">
          <cell r="A435" t="str">
            <v>F88030G</v>
          </cell>
          <cell r="B435" t="str">
            <v>DISPATH OFFICE</v>
          </cell>
          <cell r="C435">
            <v>0</v>
          </cell>
          <cell r="F435">
            <v>116578.5</v>
          </cell>
          <cell r="G435">
            <v>52213.04</v>
          </cell>
          <cell r="H435">
            <v>49955.27</v>
          </cell>
          <cell r="I435">
            <v>35106.839999999997</v>
          </cell>
          <cell r="J435">
            <v>23699.34</v>
          </cell>
          <cell r="K435">
            <v>41257.61</v>
          </cell>
          <cell r="L435">
            <v>55518.52</v>
          </cell>
          <cell r="M435">
            <v>40839.160000000003</v>
          </cell>
          <cell r="N435">
            <v>73902.100000000006</v>
          </cell>
          <cell r="O435">
            <v>86745.33</v>
          </cell>
          <cell r="P435">
            <v>575815.71</v>
          </cell>
          <cell r="R435" t="str">
            <v>F88030G</v>
          </cell>
          <cell r="S435">
            <v>575815.71</v>
          </cell>
          <cell r="T435">
            <v>575815.71</v>
          </cell>
        </row>
        <row r="436">
          <cell r="A436" t="str">
            <v>F88040G</v>
          </cell>
          <cell r="B436" t="str">
            <v>TECH OFFICE/DOCS /MISC. OPER. EXP.</v>
          </cell>
          <cell r="C436">
            <v>0</v>
          </cell>
          <cell r="F436">
            <v>49.59</v>
          </cell>
          <cell r="G436">
            <v>1141.32</v>
          </cell>
          <cell r="H436">
            <v>927.43</v>
          </cell>
          <cell r="I436">
            <v>6611.94</v>
          </cell>
          <cell r="J436">
            <v>94.89</v>
          </cell>
          <cell r="K436">
            <v>1161.78</v>
          </cell>
          <cell r="L436">
            <v>262.26</v>
          </cell>
          <cell r="M436">
            <v>110.19</v>
          </cell>
          <cell r="N436">
            <v>1174.8800000000001</v>
          </cell>
          <cell r="O436">
            <v>71.61</v>
          </cell>
          <cell r="P436">
            <v>11605.89</v>
          </cell>
          <cell r="R436" t="str">
            <v>F88040G</v>
          </cell>
          <cell r="S436">
            <v>11605.89</v>
          </cell>
          <cell r="T436">
            <v>11605.89</v>
          </cell>
        </row>
        <row r="437">
          <cell r="A437" t="str">
            <v>F88100G</v>
          </cell>
          <cell r="B437" t="str">
            <v>RENTS</v>
          </cell>
          <cell r="C437">
            <v>144120.44</v>
          </cell>
          <cell r="D437">
            <v>1913.7</v>
          </cell>
          <cell r="E437">
            <v>0</v>
          </cell>
          <cell r="H437">
            <v>0</v>
          </cell>
          <cell r="I437">
            <v>-675</v>
          </cell>
          <cell r="J437">
            <v>2586.59</v>
          </cell>
          <cell r="K437">
            <v>0</v>
          </cell>
          <cell r="L437">
            <v>1299.07</v>
          </cell>
          <cell r="M437">
            <v>600</v>
          </cell>
          <cell r="N437">
            <v>0</v>
          </cell>
          <cell r="O437">
            <v>9974</v>
          </cell>
          <cell r="P437">
            <v>15698.36</v>
          </cell>
          <cell r="R437" t="str">
            <v>F88100G</v>
          </cell>
          <cell r="S437">
            <v>15698.36</v>
          </cell>
          <cell r="T437">
            <v>159818.79999999999</v>
          </cell>
        </row>
        <row r="438">
          <cell r="A438" t="str">
            <v>F88500G</v>
          </cell>
          <cell r="B438" t="str">
            <v>MAINTENANCE SUPERVISION AND ENGINEERING</v>
          </cell>
          <cell r="C438">
            <v>96845.53</v>
          </cell>
          <cell r="D438">
            <v>7692.94</v>
          </cell>
          <cell r="E438">
            <v>4820.42</v>
          </cell>
          <cell r="F438">
            <v>3172.65</v>
          </cell>
          <cell r="G438">
            <v>1758.5</v>
          </cell>
          <cell r="H438">
            <v>10690.24</v>
          </cell>
          <cell r="I438">
            <v>8567.43</v>
          </cell>
          <cell r="J438">
            <v>41988.19</v>
          </cell>
          <cell r="K438">
            <v>32230.58</v>
          </cell>
          <cell r="N438">
            <v>-36441.4</v>
          </cell>
          <cell r="O438">
            <v>-6738.99</v>
          </cell>
          <cell r="P438">
            <v>67740.559999999983</v>
          </cell>
          <cell r="R438" t="str">
            <v>F88500G</v>
          </cell>
          <cell r="S438">
            <v>67740.56</v>
          </cell>
          <cell r="T438">
            <v>164586.08999999997</v>
          </cell>
        </row>
        <row r="439">
          <cell r="A439" t="str">
            <v>F88510G</v>
          </cell>
          <cell r="B439" t="str">
            <v>MAINT SUPERVISION AN</v>
          </cell>
          <cell r="C439">
            <v>0</v>
          </cell>
          <cell r="F439">
            <v>1539.04</v>
          </cell>
          <cell r="G439">
            <v>3072.44</v>
          </cell>
          <cell r="H439">
            <v>2807.07</v>
          </cell>
          <cell r="I439">
            <v>3688.11</v>
          </cell>
          <cell r="J439">
            <v>2350.0300000000002</v>
          </cell>
          <cell r="K439">
            <v>3622.38</v>
          </cell>
          <cell r="L439">
            <v>2610.06</v>
          </cell>
          <cell r="M439">
            <v>2678.6</v>
          </cell>
          <cell r="N439">
            <v>2871.16</v>
          </cell>
          <cell r="O439">
            <v>2347.58</v>
          </cell>
          <cell r="P439">
            <v>27586.47</v>
          </cell>
          <cell r="R439" t="str">
            <v>F88510G</v>
          </cell>
          <cell r="S439">
            <v>27586.47</v>
          </cell>
          <cell r="T439">
            <v>27586.47</v>
          </cell>
        </row>
        <row r="440">
          <cell r="A440" t="str">
            <v>F88520G</v>
          </cell>
          <cell r="B440" t="str">
            <v>MAINT SUPERVISION AN</v>
          </cell>
          <cell r="C440">
            <v>0</v>
          </cell>
          <cell r="F440">
            <v>3228.27</v>
          </cell>
          <cell r="G440">
            <v>2656.3</v>
          </cell>
          <cell r="H440">
            <v>3367.07</v>
          </cell>
          <cell r="I440">
            <v>4836.67</v>
          </cell>
          <cell r="J440">
            <v>4021.92</v>
          </cell>
          <cell r="K440">
            <v>5267.9</v>
          </cell>
          <cell r="L440">
            <v>4495.83</v>
          </cell>
          <cell r="M440">
            <v>4134.8100000000004</v>
          </cell>
          <cell r="N440">
            <v>3991.06</v>
          </cell>
          <cell r="O440">
            <v>2291.21</v>
          </cell>
          <cell r="P440">
            <v>38291.040000000001</v>
          </cell>
          <cell r="R440" t="str">
            <v>F88520G</v>
          </cell>
          <cell r="S440">
            <v>38291.040000000001</v>
          </cell>
          <cell r="T440">
            <v>38291.040000000001</v>
          </cell>
        </row>
        <row r="441">
          <cell r="A441" t="str">
            <v>F88600G</v>
          </cell>
          <cell r="B441" t="str">
            <v>MAINTENANCE OF STRUCTURES AND IMPROVEMENTS</v>
          </cell>
          <cell r="C441">
            <v>474.16</v>
          </cell>
          <cell r="J441">
            <v>0</v>
          </cell>
          <cell r="K441">
            <v>202.51</v>
          </cell>
          <cell r="L441">
            <v>109.96</v>
          </cell>
          <cell r="M441">
            <v>-685.76</v>
          </cell>
          <cell r="P441">
            <v>-373.29</v>
          </cell>
          <cell r="R441" t="str">
            <v>F88600G</v>
          </cell>
          <cell r="S441">
            <v>-373.29</v>
          </cell>
          <cell r="T441">
            <v>100.87</v>
          </cell>
        </row>
        <row r="442">
          <cell r="A442" t="str">
            <v>F88700G</v>
          </cell>
          <cell r="B442" t="str">
            <v>MAINTENANCE OF MAINS</v>
          </cell>
          <cell r="C442">
            <v>1789965.81</v>
          </cell>
          <cell r="D442">
            <v>164639.88</v>
          </cell>
          <cell r="E442">
            <v>113349.64</v>
          </cell>
          <cell r="F442">
            <v>131626.68</v>
          </cell>
          <cell r="G442">
            <v>11506.82</v>
          </cell>
          <cell r="H442">
            <v>32881.879999999997</v>
          </cell>
          <cell r="I442">
            <v>85253.42</v>
          </cell>
          <cell r="J442">
            <v>15603.18</v>
          </cell>
          <cell r="K442">
            <v>29275.31</v>
          </cell>
          <cell r="L442">
            <v>31702.13</v>
          </cell>
          <cell r="M442">
            <v>14059.07</v>
          </cell>
          <cell r="N442">
            <v>92756.62</v>
          </cell>
          <cell r="O442">
            <v>9742.1200000000008</v>
          </cell>
          <cell r="P442">
            <v>732396.75000000012</v>
          </cell>
          <cell r="R442" t="str">
            <v>F88700G</v>
          </cell>
          <cell r="S442">
            <v>732396.75</v>
          </cell>
          <cell r="T442">
            <v>2522362.56</v>
          </cell>
        </row>
        <row r="443">
          <cell r="A443" t="str">
            <v>F88710G</v>
          </cell>
          <cell r="B443" t="str">
            <v>CPM IMPRESSED CURRENT</v>
          </cell>
          <cell r="C443">
            <v>0</v>
          </cell>
          <cell r="F443">
            <v>8726.5</v>
          </cell>
          <cell r="G443">
            <v>19741.009999999998</v>
          </cell>
          <cell r="H443">
            <v>9190.1200000000008</v>
          </cell>
          <cell r="I443">
            <v>28488.400000000001</v>
          </cell>
          <cell r="J443">
            <v>4687.79</v>
          </cell>
          <cell r="K443">
            <v>36657.480000000003</v>
          </cell>
          <cell r="L443">
            <v>14737.94</v>
          </cell>
          <cell r="M443">
            <v>7220.9</v>
          </cell>
          <cell r="N443">
            <v>15861.34</v>
          </cell>
          <cell r="O443">
            <v>27486.38</v>
          </cell>
          <cell r="P443">
            <v>172797.86</v>
          </cell>
          <cell r="R443" t="str">
            <v>F88710G</v>
          </cell>
          <cell r="S443">
            <v>172797.86</v>
          </cell>
          <cell r="T443">
            <v>172797.86</v>
          </cell>
        </row>
        <row r="444">
          <cell r="A444" t="str">
            <v>F88720G</v>
          </cell>
          <cell r="B444" t="str">
            <v>CPM MAGNESUIM</v>
          </cell>
          <cell r="C444">
            <v>0</v>
          </cell>
          <cell r="F444">
            <v>14779.83</v>
          </cell>
          <cell r="G444">
            <v>19328.080000000002</v>
          </cell>
          <cell r="H444">
            <v>40891.49</v>
          </cell>
          <cell r="I444">
            <v>25483.66</v>
          </cell>
          <cell r="J444">
            <v>26110.31</v>
          </cell>
          <cell r="K444">
            <v>44730.37</v>
          </cell>
          <cell r="L444">
            <v>42145.42</v>
          </cell>
          <cell r="M444">
            <v>47102.17</v>
          </cell>
          <cell r="N444">
            <v>48660.19</v>
          </cell>
          <cell r="O444">
            <v>33586.019999999997</v>
          </cell>
          <cell r="P444">
            <v>342817.54</v>
          </cell>
          <cell r="R444" t="str">
            <v>F88720G</v>
          </cell>
          <cell r="S444">
            <v>342817.54</v>
          </cell>
          <cell r="T444">
            <v>342817.54</v>
          </cell>
        </row>
        <row r="445">
          <cell r="A445" t="str">
            <v>F88730G</v>
          </cell>
          <cell r="B445" t="str">
            <v>CPM 10% CP INSPECTION</v>
          </cell>
          <cell r="C445">
            <v>0</v>
          </cell>
          <cell r="F445">
            <v>59707.26</v>
          </cell>
          <cell r="G445">
            <v>43914.34</v>
          </cell>
          <cell r="H445">
            <v>49741.11</v>
          </cell>
          <cell r="I445">
            <v>47133.06</v>
          </cell>
          <cell r="J445">
            <v>46543.62</v>
          </cell>
          <cell r="K445">
            <v>61981.75</v>
          </cell>
          <cell r="L445">
            <v>46205.68</v>
          </cell>
          <cell r="M445">
            <v>48564.98</v>
          </cell>
          <cell r="N445">
            <v>52227.77</v>
          </cell>
          <cell r="O445">
            <v>36816.730000000003</v>
          </cell>
          <cell r="P445">
            <v>492836.3</v>
          </cell>
          <cell r="R445" t="str">
            <v>F88730G</v>
          </cell>
          <cell r="S445">
            <v>492836.3</v>
          </cell>
          <cell r="T445">
            <v>492836.3</v>
          </cell>
        </row>
        <row r="446">
          <cell r="A446" t="str">
            <v>F88740G</v>
          </cell>
          <cell r="B446" t="str">
            <v>MAINT OF MAINS</v>
          </cell>
          <cell r="C446">
            <v>0</v>
          </cell>
          <cell r="F446">
            <v>4075.13</v>
          </cell>
          <cell r="G446">
            <v>1723.45</v>
          </cell>
          <cell r="H446">
            <v>966.41</v>
          </cell>
          <cell r="I446">
            <v>9097.83</v>
          </cell>
          <cell r="J446">
            <v>2715.06</v>
          </cell>
          <cell r="K446">
            <v>2438.94</v>
          </cell>
          <cell r="L446">
            <v>2563.83</v>
          </cell>
          <cell r="M446">
            <v>1751.21</v>
          </cell>
          <cell r="N446">
            <v>4336.67</v>
          </cell>
          <cell r="O446">
            <v>18987.509999999998</v>
          </cell>
          <cell r="P446">
            <v>48656.039999999994</v>
          </cell>
          <cell r="R446" t="str">
            <v>F88740G</v>
          </cell>
          <cell r="S446">
            <v>48656.04</v>
          </cell>
          <cell r="T446">
            <v>48656.039999999994</v>
          </cell>
        </row>
        <row r="447">
          <cell r="A447" t="str">
            <v>F88760G</v>
          </cell>
          <cell r="B447" t="str">
            <v>MAINT OF MAINS</v>
          </cell>
          <cell r="C447">
            <v>0</v>
          </cell>
          <cell r="F447">
            <v>-576.35</v>
          </cell>
          <cell r="G447">
            <v>0</v>
          </cell>
          <cell r="P447">
            <v>-576.35</v>
          </cell>
          <cell r="R447" t="str">
            <v>F88760G</v>
          </cell>
          <cell r="S447">
            <v>-576.35</v>
          </cell>
          <cell r="T447">
            <v>-576.35</v>
          </cell>
        </row>
        <row r="448">
          <cell r="A448" t="str">
            <v>F88900G</v>
          </cell>
          <cell r="B448" t="str">
            <v>MAINTENANCE OF MEAS. AND REG. STA. EQUIP.-GENERAL</v>
          </cell>
          <cell r="C448">
            <v>77406.94</v>
          </cell>
          <cell r="D448">
            <v>6645.81</v>
          </cell>
          <cell r="E448">
            <v>2768.48</v>
          </cell>
          <cell r="F448">
            <v>2273.7800000000002</v>
          </cell>
          <cell r="G448">
            <v>1509.15</v>
          </cell>
          <cell r="H448">
            <v>2476.4499999999998</v>
          </cell>
          <cell r="I448">
            <v>1043.51</v>
          </cell>
          <cell r="J448">
            <v>1170.0999999999999</v>
          </cell>
          <cell r="K448">
            <v>6303.33</v>
          </cell>
          <cell r="L448">
            <v>5177.8</v>
          </cell>
          <cell r="M448">
            <v>7434.85</v>
          </cell>
          <cell r="N448">
            <v>3912.52</v>
          </cell>
          <cell r="O448">
            <v>1687.07</v>
          </cell>
          <cell r="P448">
            <v>42402.85</v>
          </cell>
          <cell r="R448" t="str">
            <v>F88900G</v>
          </cell>
          <cell r="S448">
            <v>42402.85</v>
          </cell>
          <cell r="T448">
            <v>119809.79000000001</v>
          </cell>
        </row>
        <row r="449">
          <cell r="A449" t="str">
            <v>F89200G</v>
          </cell>
          <cell r="B449" t="str">
            <v>MAINTENANCE OF SERVICES</v>
          </cell>
          <cell r="C449">
            <v>519640.08</v>
          </cell>
          <cell r="D449">
            <v>69838.11</v>
          </cell>
          <cell r="E449">
            <v>28263.19</v>
          </cell>
          <cell r="F449">
            <v>24969.66</v>
          </cell>
          <cell r="G449">
            <v>18055.849999999999</v>
          </cell>
          <cell r="H449">
            <v>17826.599999999999</v>
          </cell>
          <cell r="I449">
            <v>25724.98</v>
          </cell>
          <cell r="J449">
            <v>15983.44</v>
          </cell>
          <cell r="K449">
            <v>17860.439999999999</v>
          </cell>
          <cell r="L449">
            <v>15183.12</v>
          </cell>
          <cell r="M449">
            <v>13818.14</v>
          </cell>
          <cell r="N449">
            <v>40117.65</v>
          </cell>
          <cell r="O449">
            <v>26186.89</v>
          </cell>
          <cell r="P449">
            <v>313828.07000000007</v>
          </cell>
          <cell r="R449" t="str">
            <v>F89200G</v>
          </cell>
          <cell r="S449">
            <v>313828.07</v>
          </cell>
          <cell r="T449">
            <v>833468.15000000014</v>
          </cell>
        </row>
        <row r="450">
          <cell r="A450" t="str">
            <v>F89210G</v>
          </cell>
          <cell r="B450" t="str">
            <v>MAINT OF SERVICES</v>
          </cell>
          <cell r="C450">
            <v>0</v>
          </cell>
          <cell r="F450">
            <v>4412.8999999999996</v>
          </cell>
          <cell r="G450">
            <v>8284.59</v>
          </cell>
          <cell r="H450">
            <v>7446.79</v>
          </cell>
          <cell r="I450">
            <v>6885.93</v>
          </cell>
          <cell r="J450">
            <v>6714.93</v>
          </cell>
          <cell r="K450">
            <v>11357.98</v>
          </cell>
          <cell r="L450">
            <v>4545.42</v>
          </cell>
          <cell r="M450">
            <v>3796.2</v>
          </cell>
          <cell r="N450">
            <v>8285.94</v>
          </cell>
          <cell r="O450">
            <v>5049.8599999999997</v>
          </cell>
          <cell r="P450">
            <v>66780.539999999994</v>
          </cell>
          <cell r="R450" t="str">
            <v>F89210G</v>
          </cell>
          <cell r="S450">
            <v>66780.539999999994</v>
          </cell>
          <cell r="T450">
            <v>66780.539999999994</v>
          </cell>
        </row>
        <row r="451">
          <cell r="A451" t="str">
            <v>F89220G</v>
          </cell>
          <cell r="B451" t="str">
            <v>MAINT OF SERVICES</v>
          </cell>
          <cell r="C451">
            <v>0</v>
          </cell>
          <cell r="F451">
            <v>1041.8800000000001</v>
          </cell>
          <cell r="G451">
            <v>181.14</v>
          </cell>
          <cell r="J451">
            <v>145.30000000000001</v>
          </cell>
          <cell r="K451">
            <v>2630.71</v>
          </cell>
          <cell r="L451">
            <v>88.92</v>
          </cell>
          <cell r="M451">
            <v>0</v>
          </cell>
          <cell r="N451">
            <v>417.95</v>
          </cell>
          <cell r="O451">
            <v>174.85</v>
          </cell>
          <cell r="P451">
            <v>4680.75</v>
          </cell>
          <cell r="R451" t="str">
            <v>F89220G</v>
          </cell>
          <cell r="S451">
            <v>4680.75</v>
          </cell>
          <cell r="T451">
            <v>4680.75</v>
          </cell>
        </row>
        <row r="452">
          <cell r="A452" t="str">
            <v>F89230G</v>
          </cell>
          <cell r="B452" t="str">
            <v>MAINT OF SERVICES</v>
          </cell>
          <cell r="C452">
            <v>0</v>
          </cell>
          <cell r="F452">
            <v>13994.59</v>
          </cell>
          <cell r="G452">
            <v>7430.71</v>
          </cell>
          <cell r="H452">
            <v>5665.77</v>
          </cell>
          <cell r="I452">
            <v>3659.43</v>
          </cell>
          <cell r="J452">
            <v>6021.95</v>
          </cell>
          <cell r="K452">
            <v>6353.57</v>
          </cell>
          <cell r="L452">
            <v>3329.58</v>
          </cell>
          <cell r="M452">
            <v>941.32</v>
          </cell>
          <cell r="N452">
            <v>6962.58</v>
          </cell>
          <cell r="O452">
            <v>4177.2</v>
          </cell>
          <cell r="P452">
            <v>58536.7</v>
          </cell>
          <cell r="R452" t="str">
            <v>F89230G</v>
          </cell>
          <cell r="S452">
            <v>58536.7</v>
          </cell>
          <cell r="T452">
            <v>58536.7</v>
          </cell>
        </row>
        <row r="453">
          <cell r="A453" t="str">
            <v>F89300G</v>
          </cell>
          <cell r="B453" t="str">
            <v>MAINTENANCE OF METERS AND HOUSE REGULATORS</v>
          </cell>
          <cell r="C453">
            <v>508728.53</v>
          </cell>
          <cell r="D453">
            <v>55617.89</v>
          </cell>
          <cell r="E453">
            <v>35105.29</v>
          </cell>
          <cell r="F453">
            <v>5946.29</v>
          </cell>
          <cell r="G453">
            <v>6811.42</v>
          </cell>
          <cell r="H453">
            <v>152573.49</v>
          </cell>
          <cell r="I453">
            <v>15577.17</v>
          </cell>
          <cell r="J453">
            <v>7121.14</v>
          </cell>
          <cell r="K453">
            <v>45156.97</v>
          </cell>
          <cell r="L453">
            <v>29162.38</v>
          </cell>
          <cell r="M453">
            <v>27045.58</v>
          </cell>
          <cell r="N453">
            <v>23048.28</v>
          </cell>
          <cell r="O453">
            <v>17228.68</v>
          </cell>
          <cell r="P453">
            <v>420394.58</v>
          </cell>
          <cell r="R453" t="str">
            <v>F89300G</v>
          </cell>
          <cell r="S453">
            <v>420394.58</v>
          </cell>
          <cell r="T453">
            <v>929123.1100000001</v>
          </cell>
        </row>
        <row r="454">
          <cell r="A454" t="str">
            <v>F89310G</v>
          </cell>
          <cell r="B454" t="str">
            <v>MAINT OF METERS AND</v>
          </cell>
          <cell r="C454">
            <v>0</v>
          </cell>
          <cell r="F454">
            <v>12865.42</v>
          </cell>
          <cell r="G454">
            <v>11585.08</v>
          </cell>
          <cell r="H454">
            <v>12756.26</v>
          </cell>
          <cell r="I454">
            <v>17410.34</v>
          </cell>
          <cell r="J454">
            <v>12916.98</v>
          </cell>
          <cell r="K454">
            <v>16697.05</v>
          </cell>
          <cell r="L454">
            <v>10683.33</v>
          </cell>
          <cell r="M454">
            <v>11967.83</v>
          </cell>
          <cell r="N454">
            <v>15776.81</v>
          </cell>
          <cell r="O454">
            <v>3607.34</v>
          </cell>
          <cell r="P454">
            <v>126266.44</v>
          </cell>
          <cell r="R454" t="str">
            <v>F89310G</v>
          </cell>
          <cell r="S454">
            <v>126266.44</v>
          </cell>
          <cell r="T454">
            <v>126266.44</v>
          </cell>
        </row>
        <row r="455">
          <cell r="A455" t="str">
            <v>F89320G</v>
          </cell>
          <cell r="B455" t="str">
            <v>MAINT OF METERS AND</v>
          </cell>
          <cell r="C455">
            <v>0</v>
          </cell>
          <cell r="F455">
            <v>26933.97</v>
          </cell>
          <cell r="G455">
            <v>17732.259999999998</v>
          </cell>
          <cell r="H455">
            <v>20225.16</v>
          </cell>
          <cell r="I455">
            <v>19969.97</v>
          </cell>
          <cell r="J455">
            <v>14439.43</v>
          </cell>
          <cell r="K455">
            <v>21317.3</v>
          </cell>
          <cell r="L455">
            <v>10803.7</v>
          </cell>
          <cell r="M455">
            <v>12598.06</v>
          </cell>
          <cell r="N455">
            <v>12535.11</v>
          </cell>
          <cell r="O455">
            <v>16496.41</v>
          </cell>
          <cell r="P455">
            <v>173051.37000000002</v>
          </cell>
          <cell r="R455" t="str">
            <v>F89320G</v>
          </cell>
          <cell r="S455">
            <v>173051.37</v>
          </cell>
          <cell r="T455">
            <v>173051.37000000002</v>
          </cell>
        </row>
        <row r="456">
          <cell r="A456" t="str">
            <v>F89400G</v>
          </cell>
          <cell r="B456" t="str">
            <v>MAINTENANCE OF OTHER EQUIPMENT</v>
          </cell>
          <cell r="C456">
            <v>537494.73</v>
          </cell>
          <cell r="D456">
            <v>48688.480000000003</v>
          </cell>
          <cell r="E456">
            <v>24967.91</v>
          </cell>
          <cell r="F456">
            <v>38681.82</v>
          </cell>
          <cell r="G456">
            <v>28951.31</v>
          </cell>
          <cell r="H456">
            <v>30928.29</v>
          </cell>
          <cell r="I456">
            <v>26148.32</v>
          </cell>
          <cell r="J456">
            <v>63496.78</v>
          </cell>
          <cell r="K456">
            <v>58689.52</v>
          </cell>
          <cell r="L456">
            <v>44008.21</v>
          </cell>
          <cell r="M456">
            <v>61267.24</v>
          </cell>
          <cell r="N456">
            <v>54222.09</v>
          </cell>
          <cell r="O456">
            <v>77851.710000000006</v>
          </cell>
          <cell r="P456">
            <v>557901.67999999993</v>
          </cell>
          <cell r="R456" t="str">
            <v>F89400G</v>
          </cell>
          <cell r="S456">
            <v>557901.68000000005</v>
          </cell>
          <cell r="T456">
            <v>1095396.4099999999</v>
          </cell>
        </row>
        <row r="457">
          <cell r="A457" t="str">
            <v>F90100E</v>
          </cell>
          <cell r="B457" t="str">
            <v>SUPERVISION</v>
          </cell>
          <cell r="C457">
            <v>36.119999999999997</v>
          </cell>
          <cell r="F457">
            <v>-11544.34</v>
          </cell>
          <cell r="G457">
            <v>1227.94</v>
          </cell>
          <cell r="H457">
            <v>0</v>
          </cell>
          <cell r="I457">
            <v>30.61</v>
          </cell>
          <cell r="N457">
            <v>0</v>
          </cell>
          <cell r="O457">
            <v>377.46</v>
          </cell>
          <cell r="P457">
            <v>-9908.33</v>
          </cell>
          <cell r="R457" t="str">
            <v>F90100E</v>
          </cell>
          <cell r="S457">
            <v>-9908.33</v>
          </cell>
          <cell r="T457">
            <v>-9872.2099999999991</v>
          </cell>
        </row>
        <row r="458">
          <cell r="A458" t="str">
            <v>F90100G</v>
          </cell>
          <cell r="B458" t="str">
            <v>SUPERVISION</v>
          </cell>
          <cell r="C458">
            <v>19.43</v>
          </cell>
          <cell r="F458">
            <v>-6172.53</v>
          </cell>
          <cell r="G458">
            <v>656.51</v>
          </cell>
          <cell r="H458">
            <v>0</v>
          </cell>
          <cell r="I458">
            <v>16.38</v>
          </cell>
          <cell r="N458">
            <v>0</v>
          </cell>
          <cell r="O458">
            <v>201.82</v>
          </cell>
          <cell r="P458">
            <v>-5297.82</v>
          </cell>
          <cell r="R458" t="str">
            <v>F90100G</v>
          </cell>
          <cell r="S458">
            <v>-5297.82</v>
          </cell>
          <cell r="T458">
            <v>-5278.3899999999994</v>
          </cell>
        </row>
        <row r="459">
          <cell r="A459" t="str">
            <v>F90200E</v>
          </cell>
          <cell r="B459" t="str">
            <v>METER READING EXPENSES</v>
          </cell>
          <cell r="C459">
            <v>6275577.8499999996</v>
          </cell>
          <cell r="D459">
            <v>563347.01</v>
          </cell>
          <cell r="E459">
            <v>344506.02</v>
          </cell>
          <cell r="F459">
            <v>570942.01</v>
          </cell>
          <cell r="G459">
            <v>441519.98</v>
          </cell>
          <cell r="H459">
            <v>409323.15</v>
          </cell>
          <cell r="I459">
            <v>649514.42000000004</v>
          </cell>
          <cell r="J459">
            <v>411333.82</v>
          </cell>
          <cell r="K459">
            <v>622992.04</v>
          </cell>
          <cell r="L459">
            <v>441417.01</v>
          </cell>
          <cell r="M459">
            <v>507434.97</v>
          </cell>
          <cell r="N459">
            <v>510402.23</v>
          </cell>
          <cell r="O459">
            <v>787097.67</v>
          </cell>
          <cell r="P459">
            <v>6259830.3300000001</v>
          </cell>
          <cell r="R459" t="str">
            <v>F90200E</v>
          </cell>
          <cell r="S459">
            <v>6259830.3300000001</v>
          </cell>
          <cell r="T459">
            <v>12535408.18</v>
          </cell>
        </row>
        <row r="460">
          <cell r="A460" t="str">
            <v>F90200G</v>
          </cell>
          <cell r="B460" t="str">
            <v>METER READING EXPENSES</v>
          </cell>
          <cell r="C460">
            <v>3401037.53</v>
          </cell>
          <cell r="D460">
            <v>301254.67</v>
          </cell>
          <cell r="E460">
            <v>184249.99</v>
          </cell>
          <cell r="F460">
            <v>305317.26</v>
          </cell>
          <cell r="G460">
            <v>236108.12</v>
          </cell>
          <cell r="H460">
            <v>218822.2</v>
          </cell>
          <cell r="I460">
            <v>308110</v>
          </cell>
          <cell r="J460">
            <v>219305.39</v>
          </cell>
          <cell r="K460">
            <v>333358.83</v>
          </cell>
          <cell r="L460">
            <v>236018.31</v>
          </cell>
          <cell r="M460">
            <v>271354.77</v>
          </cell>
          <cell r="N460">
            <v>273116.86</v>
          </cell>
          <cell r="O460">
            <v>420918.51</v>
          </cell>
          <cell r="P460">
            <v>3307934.91</v>
          </cell>
          <cell r="R460" t="str">
            <v>F90200G</v>
          </cell>
          <cell r="S460">
            <v>3307934.91</v>
          </cell>
          <cell r="T460">
            <v>6708972.4399999995</v>
          </cell>
        </row>
        <row r="461">
          <cell r="A461" t="str">
            <v>F90210E</v>
          </cell>
          <cell r="B461" t="str">
            <v>METER READING EXPENSES</v>
          </cell>
          <cell r="C461">
            <v>0</v>
          </cell>
          <cell r="F461">
            <v>0</v>
          </cell>
          <cell r="G461">
            <v>55.1</v>
          </cell>
          <cell r="N461">
            <v>0</v>
          </cell>
          <cell r="O461">
            <v>1036.18</v>
          </cell>
          <cell r="P461">
            <v>1091.28</v>
          </cell>
          <cell r="R461" t="str">
            <v>F90210E</v>
          </cell>
          <cell r="S461">
            <v>1091.28</v>
          </cell>
          <cell r="T461">
            <v>1091.28</v>
          </cell>
        </row>
        <row r="462">
          <cell r="A462" t="str">
            <v>F90210G</v>
          </cell>
          <cell r="B462" t="str">
            <v>METER READING EXPENSES</v>
          </cell>
          <cell r="C462">
            <v>0</v>
          </cell>
          <cell r="F462">
            <v>0</v>
          </cell>
          <cell r="G462">
            <v>29.5</v>
          </cell>
          <cell r="N462">
            <v>0</v>
          </cell>
          <cell r="O462">
            <v>553.92999999999995</v>
          </cell>
          <cell r="P462">
            <v>583.42999999999995</v>
          </cell>
          <cell r="R462" t="str">
            <v>F90210G</v>
          </cell>
          <cell r="S462">
            <v>583.42999999999995</v>
          </cell>
          <cell r="T462">
            <v>583.42999999999995</v>
          </cell>
        </row>
        <row r="463">
          <cell r="A463" t="str">
            <v>F90300E</v>
          </cell>
          <cell r="B463" t="str">
            <v>CUSTOMER RECORDS AND COLLECTION EXPENSES</v>
          </cell>
          <cell r="C463">
            <v>35090497.049999997</v>
          </cell>
          <cell r="D463">
            <v>1883572.42</v>
          </cell>
          <cell r="E463">
            <v>2220263.56</v>
          </cell>
          <cell r="F463">
            <v>797067.93</v>
          </cell>
          <cell r="G463">
            <v>726698.4</v>
          </cell>
          <cell r="H463">
            <v>777293.14</v>
          </cell>
          <cell r="I463">
            <v>1026948.2</v>
          </cell>
          <cell r="J463">
            <v>846199.03</v>
          </cell>
          <cell r="K463">
            <v>1120550.8700000001</v>
          </cell>
          <cell r="L463">
            <v>917790.7</v>
          </cell>
          <cell r="M463">
            <v>1391049.69</v>
          </cell>
          <cell r="N463">
            <v>701735.16</v>
          </cell>
          <cell r="O463">
            <v>2775593.57</v>
          </cell>
          <cell r="P463">
            <v>15184762.67</v>
          </cell>
          <cell r="R463" t="str">
            <v>F90300E</v>
          </cell>
          <cell r="S463">
            <v>15184762.67</v>
          </cell>
          <cell r="T463">
            <v>50275259.719999999</v>
          </cell>
        </row>
        <row r="464">
          <cell r="A464" t="str">
            <v>F90300G</v>
          </cell>
          <cell r="B464" t="str">
            <v>CUSTOMER RECORDS AND COLLECTION EXPENSES</v>
          </cell>
          <cell r="C464">
            <v>17333070.02</v>
          </cell>
          <cell r="D464">
            <v>898711.67</v>
          </cell>
          <cell r="E464">
            <v>1114542.1000000001</v>
          </cell>
          <cell r="F464">
            <v>334830.71000000002</v>
          </cell>
          <cell r="G464">
            <v>243960.85</v>
          </cell>
          <cell r="H464">
            <v>279693.98</v>
          </cell>
          <cell r="I464">
            <v>393215.93</v>
          </cell>
          <cell r="J464">
            <v>259972.38</v>
          </cell>
          <cell r="K464">
            <v>471111.8</v>
          </cell>
          <cell r="L464">
            <v>412666.05</v>
          </cell>
          <cell r="M464">
            <v>690825.4</v>
          </cell>
          <cell r="N464">
            <v>315648.03000000003</v>
          </cell>
          <cell r="O464">
            <v>1431489.52</v>
          </cell>
          <cell r="P464">
            <v>6846668.4199999999</v>
          </cell>
          <cell r="R464" t="str">
            <v>F90300G</v>
          </cell>
          <cell r="S464">
            <v>6846668.4199999999</v>
          </cell>
          <cell r="T464">
            <v>24179738.439999998</v>
          </cell>
        </row>
        <row r="465">
          <cell r="A465" t="str">
            <v>F90310E</v>
          </cell>
          <cell r="B465" t="str">
            <v>CUSTOMER RECORDS AND</v>
          </cell>
          <cell r="C465">
            <v>0</v>
          </cell>
          <cell r="F465">
            <v>-36816.339999999997</v>
          </cell>
          <cell r="G465">
            <v>639429.62</v>
          </cell>
          <cell r="H465">
            <v>708902.48</v>
          </cell>
          <cell r="I465">
            <v>905342</v>
          </cell>
          <cell r="J465">
            <v>683872.93</v>
          </cell>
          <cell r="K465">
            <v>757964.88</v>
          </cell>
          <cell r="L465">
            <v>696930.32</v>
          </cell>
          <cell r="M465">
            <v>722148.79</v>
          </cell>
          <cell r="N465">
            <v>992514.2</v>
          </cell>
          <cell r="O465">
            <v>978641.99</v>
          </cell>
          <cell r="P465">
            <v>7048930.8700000001</v>
          </cell>
          <cell r="R465" t="str">
            <v>F90310E</v>
          </cell>
          <cell r="S465">
            <v>7048930.8700000001</v>
          </cell>
          <cell r="T465">
            <v>7048930.8700000001</v>
          </cell>
        </row>
        <row r="466">
          <cell r="A466" t="str">
            <v>F90310G</v>
          </cell>
          <cell r="B466" t="str">
            <v>CUSTOMER RECORDS AND</v>
          </cell>
          <cell r="C466">
            <v>0</v>
          </cell>
          <cell r="F466">
            <v>-46777.53</v>
          </cell>
          <cell r="G466">
            <v>332869.65000000002</v>
          </cell>
          <cell r="H466">
            <v>372178.06</v>
          </cell>
          <cell r="I466">
            <v>476460.75</v>
          </cell>
          <cell r="J466">
            <v>357844.54</v>
          </cell>
          <cell r="K466">
            <v>400400.42</v>
          </cell>
          <cell r="L466">
            <v>368065.77</v>
          </cell>
          <cell r="M466">
            <v>378875.61</v>
          </cell>
          <cell r="N466">
            <v>521450.56</v>
          </cell>
          <cell r="O466">
            <v>506522.6</v>
          </cell>
          <cell r="P466">
            <v>3667890.43</v>
          </cell>
          <cell r="R466" t="str">
            <v>F90310G</v>
          </cell>
          <cell r="S466">
            <v>3667890.43</v>
          </cell>
          <cell r="T466">
            <v>3667890.43</v>
          </cell>
        </row>
        <row r="467">
          <cell r="A467" t="str">
            <v>F90320E</v>
          </cell>
          <cell r="B467" t="str">
            <v>CUSTOMER RECORDS AND</v>
          </cell>
          <cell r="C467">
            <v>0</v>
          </cell>
          <cell r="F467">
            <v>54579.09</v>
          </cell>
          <cell r="G467">
            <v>8417.6200000000008</v>
          </cell>
          <cell r="H467">
            <v>6088.05</v>
          </cell>
          <cell r="I467">
            <v>8084.04</v>
          </cell>
          <cell r="J467">
            <v>7827.79</v>
          </cell>
          <cell r="K467">
            <v>9795.1200000000008</v>
          </cell>
          <cell r="L467">
            <v>7346.41</v>
          </cell>
          <cell r="M467">
            <v>6254.65</v>
          </cell>
          <cell r="N467">
            <v>9767.06</v>
          </cell>
          <cell r="O467">
            <v>7610.71</v>
          </cell>
          <cell r="P467">
            <v>125770.53999999998</v>
          </cell>
          <cell r="R467" t="str">
            <v>F90320E</v>
          </cell>
          <cell r="S467">
            <v>125770.54</v>
          </cell>
          <cell r="T467">
            <v>125770.53999999998</v>
          </cell>
        </row>
        <row r="468">
          <cell r="A468" t="str">
            <v>F90320G</v>
          </cell>
          <cell r="B468" t="str">
            <v>CUSTOMER RECORDS AND</v>
          </cell>
          <cell r="C468">
            <v>0</v>
          </cell>
          <cell r="F468">
            <v>29184.97</v>
          </cell>
          <cell r="G468">
            <v>4500.57</v>
          </cell>
          <cell r="H468">
            <v>3273.72</v>
          </cell>
          <cell r="I468">
            <v>4283.54</v>
          </cell>
          <cell r="J468">
            <v>4176.95</v>
          </cell>
          <cell r="K468">
            <v>5270.43</v>
          </cell>
          <cell r="L468">
            <v>3936.01</v>
          </cell>
          <cell r="M468">
            <v>3348.63</v>
          </cell>
          <cell r="N468">
            <v>5221.3900000000003</v>
          </cell>
          <cell r="O468">
            <v>4082.99</v>
          </cell>
          <cell r="P468">
            <v>67279.199999999997</v>
          </cell>
          <cell r="R468" t="str">
            <v>F90320G</v>
          </cell>
          <cell r="S468">
            <v>67279.199999999997</v>
          </cell>
          <cell r="T468">
            <v>67279.199999999997</v>
          </cell>
        </row>
        <row r="469">
          <cell r="A469" t="str">
            <v>F90330E</v>
          </cell>
          <cell r="B469" t="str">
            <v>CUSTOMER RECORDS AND</v>
          </cell>
          <cell r="C469">
            <v>0</v>
          </cell>
          <cell r="F469">
            <v>154533.59</v>
          </cell>
          <cell r="G469">
            <v>102873.58</v>
          </cell>
          <cell r="H469">
            <v>112943.59</v>
          </cell>
          <cell r="I469">
            <v>118981.21</v>
          </cell>
          <cell r="J469">
            <v>91580.53</v>
          </cell>
          <cell r="K469">
            <v>154343.76</v>
          </cell>
          <cell r="L469">
            <v>242926.92</v>
          </cell>
          <cell r="M469">
            <v>-5142.2299999999996</v>
          </cell>
          <cell r="N469">
            <v>132686.99</v>
          </cell>
          <cell r="O469">
            <v>119004.01</v>
          </cell>
          <cell r="P469">
            <v>1224731.95</v>
          </cell>
          <cell r="R469" t="str">
            <v>F90330E</v>
          </cell>
          <cell r="S469">
            <v>1224731.95</v>
          </cell>
          <cell r="T469">
            <v>1224731.95</v>
          </cell>
        </row>
        <row r="470">
          <cell r="A470" t="str">
            <v>F90330G</v>
          </cell>
          <cell r="B470" t="str">
            <v>CUSTOMER RECORDS AND</v>
          </cell>
          <cell r="C470">
            <v>0</v>
          </cell>
          <cell r="F470">
            <v>82638.720000000001</v>
          </cell>
          <cell r="G470">
            <v>55013.02</v>
          </cell>
          <cell r="H470">
            <v>60871.62</v>
          </cell>
          <cell r="I470">
            <v>63659.02</v>
          </cell>
          <cell r="J470">
            <v>48985.120000000003</v>
          </cell>
          <cell r="K470">
            <v>82565.41</v>
          </cell>
          <cell r="L470">
            <v>129935.08</v>
          </cell>
          <cell r="M470">
            <v>-2738.87</v>
          </cell>
          <cell r="N470">
            <v>71054.77</v>
          </cell>
          <cell r="O470">
            <v>63646.5</v>
          </cell>
          <cell r="P470">
            <v>655630.39</v>
          </cell>
          <cell r="R470" t="str">
            <v>F90330G</v>
          </cell>
          <cell r="S470">
            <v>655630.39</v>
          </cell>
          <cell r="T470">
            <v>655630.39</v>
          </cell>
        </row>
        <row r="471">
          <cell r="A471" t="str">
            <v>F90340E</v>
          </cell>
          <cell r="B471" t="str">
            <v>CUSTOMER RECORDS AND COLLECTION EXPENSES</v>
          </cell>
          <cell r="C471">
            <v>0</v>
          </cell>
          <cell r="F471">
            <v>43021.120000000003</v>
          </cell>
          <cell r="G471">
            <v>145484.1</v>
          </cell>
          <cell r="H471">
            <v>39840.07</v>
          </cell>
          <cell r="I471">
            <v>36721.61</v>
          </cell>
          <cell r="J471">
            <v>25219.62</v>
          </cell>
          <cell r="K471">
            <v>35037.46</v>
          </cell>
          <cell r="L471">
            <v>30133.41</v>
          </cell>
          <cell r="M471">
            <v>45995.13</v>
          </cell>
          <cell r="N471">
            <v>86455.48</v>
          </cell>
          <cell r="O471">
            <v>42186.02</v>
          </cell>
          <cell r="P471">
            <v>530094.02</v>
          </cell>
          <cell r="R471" t="str">
            <v>F90340E</v>
          </cell>
          <cell r="S471">
            <v>530094.02</v>
          </cell>
          <cell r="T471">
            <v>530094.02</v>
          </cell>
        </row>
        <row r="472">
          <cell r="A472" t="str">
            <v>F90340G</v>
          </cell>
          <cell r="B472" t="str">
            <v>CUSTOMER RECORDS AND</v>
          </cell>
          <cell r="C472">
            <v>0</v>
          </cell>
          <cell r="F472">
            <v>23006.75</v>
          </cell>
          <cell r="G472">
            <v>77798.97</v>
          </cell>
          <cell r="H472">
            <v>23343.99</v>
          </cell>
          <cell r="I472">
            <v>19717.96</v>
          </cell>
          <cell r="J472">
            <v>13676.63</v>
          </cell>
          <cell r="K472">
            <v>18858.439999999999</v>
          </cell>
          <cell r="L472">
            <v>16108.63</v>
          </cell>
          <cell r="M472">
            <v>24595.38</v>
          </cell>
          <cell r="N472">
            <v>46245.73</v>
          </cell>
          <cell r="O472">
            <v>22600.67</v>
          </cell>
          <cell r="P472">
            <v>285953.15000000002</v>
          </cell>
          <cell r="R472" t="str">
            <v>F90340G</v>
          </cell>
          <cell r="S472">
            <v>285953.15000000002</v>
          </cell>
          <cell r="T472">
            <v>285953.15000000002</v>
          </cell>
        </row>
        <row r="473">
          <cell r="A473" t="str">
            <v>F90350E</v>
          </cell>
          <cell r="B473" t="str">
            <v>CUSTOMER RECORDS AND</v>
          </cell>
          <cell r="C473">
            <v>0</v>
          </cell>
          <cell r="F473">
            <v>115777.48</v>
          </cell>
          <cell r="G473">
            <v>96199.17</v>
          </cell>
          <cell r="H473">
            <v>113166.99</v>
          </cell>
          <cell r="I473">
            <v>126065.03</v>
          </cell>
          <cell r="J473">
            <v>160740.32999999999</v>
          </cell>
          <cell r="K473">
            <v>131630.24</v>
          </cell>
          <cell r="L473">
            <v>103943.58</v>
          </cell>
          <cell r="M473">
            <v>155832.71</v>
          </cell>
          <cell r="N473">
            <v>164893.9</v>
          </cell>
          <cell r="O473">
            <v>-3398.5</v>
          </cell>
          <cell r="P473">
            <v>1164850.93</v>
          </cell>
          <cell r="R473" t="str">
            <v>F90350E</v>
          </cell>
          <cell r="S473">
            <v>1164850.93</v>
          </cell>
          <cell r="T473">
            <v>1164850.93</v>
          </cell>
        </row>
        <row r="474">
          <cell r="A474" t="str">
            <v>F90350G</v>
          </cell>
          <cell r="B474" t="str">
            <v>CUSTOMER RECORDS AND</v>
          </cell>
          <cell r="C474">
            <v>0</v>
          </cell>
          <cell r="F474">
            <v>57438.07</v>
          </cell>
          <cell r="G474">
            <v>47410.62</v>
          </cell>
          <cell r="H474">
            <v>55994.82</v>
          </cell>
          <cell r="I474">
            <v>61842.12</v>
          </cell>
          <cell r="J474">
            <v>81467.360000000001</v>
          </cell>
          <cell r="K474">
            <v>64317.58</v>
          </cell>
          <cell r="L474">
            <v>56154.2</v>
          </cell>
          <cell r="M474">
            <v>78743.350000000006</v>
          </cell>
          <cell r="N474">
            <v>80994.11</v>
          </cell>
          <cell r="O474">
            <v>-6527.54</v>
          </cell>
          <cell r="P474">
            <v>577834.68999999994</v>
          </cell>
          <cell r="R474" t="str">
            <v>F90350G</v>
          </cell>
          <cell r="S474">
            <v>577834.68999999994</v>
          </cell>
          <cell r="T474">
            <v>577834.68999999994</v>
          </cell>
        </row>
        <row r="475">
          <cell r="A475" t="str">
            <v>F90360E</v>
          </cell>
          <cell r="B475" t="str">
            <v>CUSTOMER RECORDS AND COLLECTION EXPENSES</v>
          </cell>
          <cell r="C475">
            <v>0</v>
          </cell>
          <cell r="F475">
            <v>-176127.77</v>
          </cell>
          <cell r="G475">
            <v>0</v>
          </cell>
          <cell r="P475">
            <v>-176127.77</v>
          </cell>
          <cell r="R475" t="str">
            <v>F90360E</v>
          </cell>
          <cell r="S475">
            <v>-176127.77</v>
          </cell>
          <cell r="T475">
            <v>-176127.77</v>
          </cell>
        </row>
        <row r="476">
          <cell r="A476" t="str">
            <v>F90360G</v>
          </cell>
          <cell r="B476" t="str">
            <v>CUSTOMER RECORDS AND</v>
          </cell>
          <cell r="C476">
            <v>0</v>
          </cell>
          <cell r="F476">
            <v>-94228.800000000003</v>
          </cell>
          <cell r="G476">
            <v>0</v>
          </cell>
          <cell r="P476">
            <v>-94228.800000000003</v>
          </cell>
          <cell r="R476" t="str">
            <v>F90360G</v>
          </cell>
          <cell r="S476">
            <v>-94228.800000000003</v>
          </cell>
          <cell r="T476">
            <v>-94228.800000000003</v>
          </cell>
        </row>
        <row r="477">
          <cell r="A477" t="str">
            <v>F90370E</v>
          </cell>
          <cell r="B477" t="str">
            <v>CUSTOMER RECORDS AND COLLECTION EXPENSES</v>
          </cell>
          <cell r="C477">
            <v>0</v>
          </cell>
          <cell r="F477">
            <v>12219.93</v>
          </cell>
          <cell r="G477">
            <v>4027.22</v>
          </cell>
          <cell r="H477">
            <v>50981.39</v>
          </cell>
          <cell r="I477">
            <v>3730.92</v>
          </cell>
          <cell r="J477">
            <v>7067.65</v>
          </cell>
          <cell r="K477">
            <v>0</v>
          </cell>
          <cell r="P477">
            <v>78027.109999999986</v>
          </cell>
          <cell r="R477" t="str">
            <v>F90370E</v>
          </cell>
          <cell r="S477">
            <v>78027.11</v>
          </cell>
          <cell r="T477">
            <v>78027.109999999986</v>
          </cell>
        </row>
        <row r="478">
          <cell r="A478" t="str">
            <v>F90370G</v>
          </cell>
          <cell r="B478" t="str">
            <v>CUSTOMER RECORDS AND COLLECTION EXPENSES</v>
          </cell>
          <cell r="C478">
            <v>0</v>
          </cell>
          <cell r="F478">
            <v>6529.96</v>
          </cell>
          <cell r="G478">
            <v>2153.5100000000002</v>
          </cell>
          <cell r="H478">
            <v>27255.17</v>
          </cell>
          <cell r="I478">
            <v>1995.11</v>
          </cell>
          <cell r="J478">
            <v>3779.5</v>
          </cell>
          <cell r="K478">
            <v>0</v>
          </cell>
          <cell r="P478">
            <v>41713.25</v>
          </cell>
          <cell r="R478" t="str">
            <v>F90370G</v>
          </cell>
          <cell r="S478">
            <v>41713.25</v>
          </cell>
          <cell r="T478">
            <v>41713.25</v>
          </cell>
        </row>
        <row r="479">
          <cell r="A479" t="str">
            <v>F90380E</v>
          </cell>
          <cell r="B479" t="str">
            <v>CUSTOMER RECORDS AND</v>
          </cell>
          <cell r="C479">
            <v>0</v>
          </cell>
          <cell r="F479">
            <v>20115.349999999999</v>
          </cell>
          <cell r="G479">
            <v>17152.580000000002</v>
          </cell>
          <cell r="H479">
            <v>18324.22</v>
          </cell>
          <cell r="I479">
            <v>21314.9</v>
          </cell>
          <cell r="J479">
            <v>16476.54</v>
          </cell>
          <cell r="K479">
            <v>23995.919999999998</v>
          </cell>
          <cell r="L479">
            <v>15355.56</v>
          </cell>
          <cell r="M479">
            <v>16537.89</v>
          </cell>
          <cell r="N479">
            <v>17820.939999999999</v>
          </cell>
          <cell r="O479">
            <v>18405.8</v>
          </cell>
          <cell r="P479">
            <v>185499.7</v>
          </cell>
          <cell r="R479" t="str">
            <v>F90380E</v>
          </cell>
          <cell r="S479">
            <v>185499.7</v>
          </cell>
          <cell r="T479">
            <v>185499.7</v>
          </cell>
        </row>
        <row r="480">
          <cell r="A480" t="str">
            <v>F90380G</v>
          </cell>
          <cell r="B480" t="str">
            <v>CUSTOMER RECORDS AND</v>
          </cell>
          <cell r="C480">
            <v>0</v>
          </cell>
          <cell r="F480">
            <v>10756.7</v>
          </cell>
          <cell r="G480">
            <v>9172.3799999999992</v>
          </cell>
          <cell r="H480">
            <v>9803.81</v>
          </cell>
          <cell r="I480">
            <v>11401.32</v>
          </cell>
          <cell r="J480">
            <v>8815.75</v>
          </cell>
          <cell r="K480">
            <v>12837.38</v>
          </cell>
          <cell r="L480">
            <v>8218.2999999999993</v>
          </cell>
          <cell r="M480">
            <v>8844.31</v>
          </cell>
          <cell r="N480">
            <v>9532.76</v>
          </cell>
          <cell r="O480">
            <v>9845.15</v>
          </cell>
          <cell r="P480">
            <v>99227.859999999986</v>
          </cell>
          <cell r="R480" t="str">
            <v>F90380G</v>
          </cell>
          <cell r="S480">
            <v>99227.86</v>
          </cell>
          <cell r="T480">
            <v>99227.859999999986</v>
          </cell>
        </row>
        <row r="481">
          <cell r="A481" t="str">
            <v>F90390E</v>
          </cell>
          <cell r="B481" t="str">
            <v>CUSTOMER RECORDS AND COLLECTION EXPENSES</v>
          </cell>
          <cell r="C481">
            <v>0</v>
          </cell>
          <cell r="F481">
            <v>6591.09</v>
          </cell>
          <cell r="G481">
            <v>1811.07</v>
          </cell>
          <cell r="H481">
            <v>1260.83</v>
          </cell>
          <cell r="I481">
            <v>0</v>
          </cell>
          <cell r="P481">
            <v>9662.99</v>
          </cell>
          <cell r="R481" t="str">
            <v>F90390E</v>
          </cell>
          <cell r="S481">
            <v>9662.99</v>
          </cell>
          <cell r="T481">
            <v>9662.99</v>
          </cell>
        </row>
        <row r="482">
          <cell r="A482" t="str">
            <v>F90400E</v>
          </cell>
          <cell r="B482" t="str">
            <v>UNCOLLECTIBLE ACCOUNTS</v>
          </cell>
          <cell r="C482">
            <v>5932795.8399999999</v>
          </cell>
          <cell r="D482">
            <v>305480.09000000003</v>
          </cell>
          <cell r="E482">
            <v>324373.45</v>
          </cell>
          <cell r="F482">
            <v>-3513.63</v>
          </cell>
          <cell r="G482">
            <v>444008.86</v>
          </cell>
          <cell r="H482">
            <v>238777.37</v>
          </cell>
          <cell r="I482">
            <v>63768.87</v>
          </cell>
          <cell r="J482">
            <v>340905</v>
          </cell>
          <cell r="K482">
            <v>313335.01</v>
          </cell>
          <cell r="L482">
            <v>358711.44</v>
          </cell>
          <cell r="M482">
            <v>240837</v>
          </cell>
          <cell r="N482">
            <v>185515.2</v>
          </cell>
          <cell r="O482">
            <v>-338719</v>
          </cell>
          <cell r="P482">
            <v>2473479.6600000006</v>
          </cell>
          <cell r="R482" t="str">
            <v>F90400E</v>
          </cell>
          <cell r="S482">
            <v>2473479.66</v>
          </cell>
          <cell r="T482">
            <v>8406275.5</v>
          </cell>
        </row>
        <row r="483">
          <cell r="A483" t="str">
            <v>F90400G</v>
          </cell>
          <cell r="B483" t="str">
            <v>UNCOLLECTIBLE ACCOUNTS</v>
          </cell>
          <cell r="C483">
            <v>1294289.21</v>
          </cell>
          <cell r="D483">
            <v>66369.14</v>
          </cell>
          <cell r="E483">
            <v>74999.92</v>
          </cell>
          <cell r="F483">
            <v>240584</v>
          </cell>
          <cell r="G483">
            <v>-145469</v>
          </cell>
          <cell r="H483">
            <v>47649.09</v>
          </cell>
          <cell r="I483">
            <v>286657.63</v>
          </cell>
          <cell r="J483">
            <v>75508</v>
          </cell>
          <cell r="K483">
            <v>68109.23</v>
          </cell>
          <cell r="L483">
            <v>-194186</v>
          </cell>
          <cell r="M483">
            <v>53361</v>
          </cell>
          <cell r="N483">
            <v>38310.74</v>
          </cell>
          <cell r="O483">
            <v>1</v>
          </cell>
          <cell r="P483">
            <v>611894.75</v>
          </cell>
          <cell r="R483" t="str">
            <v>F90400G</v>
          </cell>
          <cell r="S483">
            <v>611894.75</v>
          </cell>
          <cell r="T483">
            <v>1906183.96</v>
          </cell>
        </row>
        <row r="484">
          <cell r="A484" t="str">
            <v>F90500E</v>
          </cell>
          <cell r="B484" t="str">
            <v>MISCELLANEOUS CUSTOMER ACCOUNTS EXPENSES</v>
          </cell>
          <cell r="C484">
            <v>8594.06</v>
          </cell>
          <cell r="D484">
            <v>17.37</v>
          </cell>
          <cell r="E484">
            <v>0</v>
          </cell>
          <cell r="F484">
            <v>3028.1</v>
          </cell>
          <cell r="G484">
            <v>189.59</v>
          </cell>
          <cell r="H484">
            <v>63020.58</v>
          </cell>
          <cell r="I484">
            <v>2708.77</v>
          </cell>
          <cell r="J484">
            <v>1653.91</v>
          </cell>
          <cell r="K484">
            <v>1624.16</v>
          </cell>
          <cell r="L484">
            <v>-41203.93</v>
          </cell>
          <cell r="M484">
            <v>366.01</v>
          </cell>
          <cell r="N484">
            <v>0</v>
          </cell>
          <cell r="O484">
            <v>16536.77</v>
          </cell>
          <cell r="P484">
            <v>47941.330000000009</v>
          </cell>
          <cell r="R484" t="str">
            <v>F90500E</v>
          </cell>
          <cell r="S484">
            <v>47941.33</v>
          </cell>
          <cell r="T484">
            <v>56535.390000000007</v>
          </cell>
        </row>
        <row r="485">
          <cell r="A485" t="str">
            <v>F90500G</v>
          </cell>
          <cell r="B485" t="str">
            <v>MISCELLANEOUS CUSTOMER ACCOUNTS EXPENSES</v>
          </cell>
          <cell r="C485">
            <v>47.88</v>
          </cell>
          <cell r="F485">
            <v>1619.42</v>
          </cell>
          <cell r="G485">
            <v>101.38</v>
          </cell>
          <cell r="H485">
            <v>33700.720000000001</v>
          </cell>
          <cell r="I485">
            <v>1448.84</v>
          </cell>
          <cell r="J485">
            <v>884.44</v>
          </cell>
          <cell r="K485">
            <v>868.11</v>
          </cell>
          <cell r="L485">
            <v>-22034.29</v>
          </cell>
          <cell r="M485">
            <v>195.68</v>
          </cell>
          <cell r="N485">
            <v>0</v>
          </cell>
          <cell r="O485">
            <v>1641.72</v>
          </cell>
          <cell r="P485">
            <v>18426.020000000004</v>
          </cell>
          <cell r="R485" t="str">
            <v>F90500G</v>
          </cell>
          <cell r="S485">
            <v>18426.02</v>
          </cell>
          <cell r="T485">
            <v>18473.900000000005</v>
          </cell>
        </row>
        <row r="486">
          <cell r="A486" t="str">
            <v>F90700C</v>
          </cell>
          <cell r="B486" t="str">
            <v>SUPERVISION</v>
          </cell>
          <cell r="C486">
            <v>0</v>
          </cell>
          <cell r="F486">
            <v>4944.83</v>
          </cell>
          <cell r="G486">
            <v>-193.99</v>
          </cell>
          <cell r="H486">
            <v>-0.01</v>
          </cell>
          <cell r="I486">
            <v>1380.7</v>
          </cell>
          <cell r="J486">
            <v>390.31</v>
          </cell>
          <cell r="K486">
            <v>119.35</v>
          </cell>
          <cell r="L486">
            <v>151.66</v>
          </cell>
          <cell r="M486">
            <v>-221.32</v>
          </cell>
          <cell r="N486">
            <v>1019.49</v>
          </cell>
          <cell r="O486">
            <v>2626.94</v>
          </cell>
          <cell r="P486">
            <v>10217.960000000001</v>
          </cell>
          <cell r="R486" t="str">
            <v>F90700C</v>
          </cell>
          <cell r="S486">
            <v>10217.959999999999</v>
          </cell>
          <cell r="T486">
            <v>10217.960000000001</v>
          </cell>
        </row>
        <row r="487">
          <cell r="A487" t="str">
            <v>F90700E</v>
          </cell>
          <cell r="B487" t="str">
            <v>SUPERVISION</v>
          </cell>
          <cell r="C487">
            <v>481090.61</v>
          </cell>
          <cell r="D487">
            <v>23850.720000000001</v>
          </cell>
          <cell r="E487">
            <v>19386.099999999999</v>
          </cell>
          <cell r="F487">
            <v>9997</v>
          </cell>
          <cell r="G487">
            <v>-8242.69</v>
          </cell>
          <cell r="H487">
            <v>24661.13</v>
          </cell>
          <cell r="I487">
            <v>32036.93</v>
          </cell>
          <cell r="J487">
            <v>9017.9</v>
          </cell>
          <cell r="K487">
            <v>7662.31</v>
          </cell>
          <cell r="L487">
            <v>18837.11</v>
          </cell>
          <cell r="M487">
            <v>14999.38</v>
          </cell>
          <cell r="N487">
            <v>14011.93</v>
          </cell>
          <cell r="O487">
            <v>42715.74</v>
          </cell>
          <cell r="P487">
            <v>208933.56</v>
          </cell>
          <cell r="R487" t="str">
            <v>F90700E</v>
          </cell>
          <cell r="S487">
            <v>208933.56</v>
          </cell>
          <cell r="T487">
            <v>690024.16999999993</v>
          </cell>
        </row>
        <row r="488">
          <cell r="A488" t="str">
            <v>F90700G</v>
          </cell>
          <cell r="B488" t="str">
            <v>SUPERVISION</v>
          </cell>
          <cell r="C488">
            <v>89397.03</v>
          </cell>
          <cell r="D488">
            <v>4206.0600000000004</v>
          </cell>
          <cell r="E488">
            <v>3200.9</v>
          </cell>
          <cell r="F488">
            <v>3023.34</v>
          </cell>
          <cell r="G488">
            <v>652.11</v>
          </cell>
          <cell r="H488">
            <v>20647.240000000002</v>
          </cell>
          <cell r="I488">
            <v>29578.83</v>
          </cell>
          <cell r="J488">
            <v>9017.76</v>
          </cell>
          <cell r="K488">
            <v>13457.98</v>
          </cell>
          <cell r="L488">
            <v>13929.93</v>
          </cell>
          <cell r="M488">
            <v>15295.73</v>
          </cell>
          <cell r="N488">
            <v>14011.86</v>
          </cell>
          <cell r="O488">
            <v>21409.73</v>
          </cell>
          <cell r="P488">
            <v>148431.47</v>
          </cell>
          <cell r="R488" t="str">
            <v>F90700G</v>
          </cell>
          <cell r="S488">
            <v>148431.47</v>
          </cell>
          <cell r="T488">
            <v>237828.5</v>
          </cell>
        </row>
        <row r="489">
          <cell r="A489" t="str">
            <v>F90710C</v>
          </cell>
          <cell r="B489" t="str">
            <v>SUPERVISION</v>
          </cell>
          <cell r="F489">
            <v>0</v>
          </cell>
          <cell r="G489">
            <v>212.06</v>
          </cell>
          <cell r="H489">
            <v>0</v>
          </cell>
          <cell r="I489">
            <v>56.3</v>
          </cell>
          <cell r="J489">
            <v>394.24</v>
          </cell>
          <cell r="K489">
            <v>98.56</v>
          </cell>
          <cell r="P489">
            <v>761.16000000000008</v>
          </cell>
          <cell r="R489" t="str">
            <v>F90710C</v>
          </cell>
          <cell r="S489">
            <v>761.16</v>
          </cell>
          <cell r="T489">
            <v>761.16000000000008</v>
          </cell>
        </row>
        <row r="490">
          <cell r="A490" t="str">
            <v>F90800C</v>
          </cell>
          <cell r="B490" t="str">
            <v>CUSTOMER ASSISTANCE EXPENSES</v>
          </cell>
          <cell r="F490">
            <v>12724.68</v>
          </cell>
          <cell r="G490">
            <v>105805.71</v>
          </cell>
          <cell r="H490">
            <v>797.88</v>
          </cell>
          <cell r="I490">
            <v>19653.7</v>
          </cell>
          <cell r="J490">
            <v>6457.78</v>
          </cell>
          <cell r="K490">
            <v>-1458.2</v>
          </cell>
          <cell r="L490">
            <v>5445.55</v>
          </cell>
          <cell r="M490">
            <v>-110609.71</v>
          </cell>
          <cell r="N490">
            <v>1690.39</v>
          </cell>
          <cell r="O490">
            <v>-29039.200000000001</v>
          </cell>
          <cell r="P490">
            <v>11468.579999999998</v>
          </cell>
          <cell r="R490" t="str">
            <v>F90800C</v>
          </cell>
          <cell r="S490">
            <v>11468.58</v>
          </cell>
          <cell r="T490">
            <v>11468.579999999998</v>
          </cell>
        </row>
        <row r="491">
          <cell r="A491" t="str">
            <v>F90800E</v>
          </cell>
          <cell r="B491" t="str">
            <v>CUSTOMER ASSISTANCE EXPENSES</v>
          </cell>
          <cell r="C491">
            <v>21466113.23</v>
          </cell>
          <cell r="D491">
            <v>363834.25</v>
          </cell>
          <cell r="E491">
            <v>188751.34</v>
          </cell>
          <cell r="F491">
            <v>51101.13</v>
          </cell>
          <cell r="G491">
            <v>668867.56999999995</v>
          </cell>
          <cell r="H491">
            <v>519131.06</v>
          </cell>
          <cell r="I491">
            <v>-461146.36</v>
          </cell>
          <cell r="J491">
            <v>2242883.21</v>
          </cell>
          <cell r="K491">
            <v>1221700.78</v>
          </cell>
          <cell r="L491">
            <v>1140108.8600000001</v>
          </cell>
          <cell r="M491">
            <v>1163753.97</v>
          </cell>
          <cell r="N491">
            <v>2726713.73</v>
          </cell>
          <cell r="O491">
            <v>10424407.470000001</v>
          </cell>
          <cell r="P491">
            <v>20250107.010000002</v>
          </cell>
          <cell r="R491" t="str">
            <v>F90800E</v>
          </cell>
          <cell r="S491">
            <v>20250107.010000002</v>
          </cell>
          <cell r="T491">
            <v>41716220.240000002</v>
          </cell>
        </row>
        <row r="492">
          <cell r="A492" t="str">
            <v>F90800G</v>
          </cell>
          <cell r="B492" t="str">
            <v>CUSTOMER ASSISTANCE EXPENSES</v>
          </cell>
          <cell r="C492">
            <v>7266986.3799999999</v>
          </cell>
          <cell r="D492">
            <v>109918.56</v>
          </cell>
          <cell r="E492">
            <v>119820.71</v>
          </cell>
          <cell r="F492">
            <v>428176.41</v>
          </cell>
          <cell r="G492">
            <v>373790.83</v>
          </cell>
          <cell r="H492">
            <v>407465.84</v>
          </cell>
          <cell r="I492">
            <v>394274.91</v>
          </cell>
          <cell r="J492">
            <v>351163.41</v>
          </cell>
          <cell r="K492">
            <v>600059.1</v>
          </cell>
          <cell r="L492">
            <v>613744.67000000004</v>
          </cell>
          <cell r="M492">
            <v>621267.26</v>
          </cell>
          <cell r="N492">
            <v>651476.06000000006</v>
          </cell>
          <cell r="O492">
            <v>3563284.63</v>
          </cell>
          <cell r="P492">
            <v>8234442.3899999997</v>
          </cell>
          <cell r="R492" t="str">
            <v>F90800G</v>
          </cell>
          <cell r="S492">
            <v>8234442.3899999997</v>
          </cell>
          <cell r="T492">
            <v>15501428.77</v>
          </cell>
        </row>
        <row r="493">
          <cell r="A493" t="str">
            <v>F90900C</v>
          </cell>
          <cell r="B493" t="str">
            <v>INFORMATIONAL AND INSTRUCTIONAL EXPENSES</v>
          </cell>
          <cell r="F493">
            <v>19.2</v>
          </cell>
          <cell r="G493">
            <v>0</v>
          </cell>
          <cell r="P493">
            <v>19.2</v>
          </cell>
          <cell r="R493" t="str">
            <v>F90900C</v>
          </cell>
          <cell r="S493">
            <v>19.2</v>
          </cell>
          <cell r="T493">
            <v>19.2</v>
          </cell>
        </row>
        <row r="494">
          <cell r="A494" t="str">
            <v>F90900E</v>
          </cell>
          <cell r="B494" t="str">
            <v>INFORMATIONAL AND INSTRUCTIONAL EXPENSE</v>
          </cell>
          <cell r="C494">
            <v>51355.01</v>
          </cell>
          <cell r="P494">
            <v>0</v>
          </cell>
          <cell r="T494">
            <v>51355.01</v>
          </cell>
        </row>
        <row r="495">
          <cell r="A495" t="str">
            <v>F90900G</v>
          </cell>
          <cell r="B495" t="str">
            <v>INFORMATIONAL AND INSTRUCTIONAL EXPENSE</v>
          </cell>
          <cell r="C495">
            <v>12663.35</v>
          </cell>
          <cell r="P495">
            <v>0</v>
          </cell>
          <cell r="T495">
            <v>12663.35</v>
          </cell>
        </row>
        <row r="496">
          <cell r="A496" t="str">
            <v>F91000C</v>
          </cell>
          <cell r="B496" t="str">
            <v>MISCELLANEOUS CUSTOMER SERV AND INFORMATIONAL EXPE</v>
          </cell>
          <cell r="F496">
            <v>26504.22</v>
          </cell>
          <cell r="G496">
            <v>-567.29</v>
          </cell>
          <cell r="H496">
            <v>1126.81</v>
          </cell>
          <cell r="I496">
            <v>402.07</v>
          </cell>
          <cell r="J496">
            <v>381.5</v>
          </cell>
          <cell r="K496">
            <v>-12177.68</v>
          </cell>
          <cell r="L496">
            <v>112.13</v>
          </cell>
          <cell r="M496">
            <v>-439.49</v>
          </cell>
          <cell r="N496">
            <v>147.84</v>
          </cell>
          <cell r="O496">
            <v>881.44</v>
          </cell>
          <cell r="P496">
            <v>16371.550000000001</v>
          </cell>
          <cell r="R496" t="str">
            <v>F91000C</v>
          </cell>
          <cell r="S496">
            <v>16371.55</v>
          </cell>
          <cell r="T496">
            <v>16371.550000000001</v>
          </cell>
        </row>
        <row r="497">
          <cell r="A497" t="str">
            <v>F91000E</v>
          </cell>
          <cell r="B497" t="str">
            <v>MISCELLANEOUS CUSTOMER SERV AND INFORMATIONAL EXPE</v>
          </cell>
          <cell r="C497">
            <v>8774716.3800000008</v>
          </cell>
          <cell r="D497">
            <v>659207.65</v>
          </cell>
          <cell r="E497">
            <v>290040.76</v>
          </cell>
          <cell r="F497">
            <v>205548.79999999999</v>
          </cell>
          <cell r="G497">
            <v>394073.8</v>
          </cell>
          <cell r="H497">
            <v>267918.61</v>
          </cell>
          <cell r="I497">
            <v>383028.94</v>
          </cell>
          <cell r="J497">
            <v>320220.77</v>
          </cell>
          <cell r="K497">
            <v>1369243.49</v>
          </cell>
          <cell r="L497">
            <v>-696241.78</v>
          </cell>
          <cell r="M497">
            <v>253704.5</v>
          </cell>
          <cell r="N497">
            <v>184378.28</v>
          </cell>
          <cell r="O497">
            <v>1222025.07</v>
          </cell>
          <cell r="P497">
            <v>4853148.8899999997</v>
          </cell>
          <cell r="R497" t="str">
            <v>F91000E</v>
          </cell>
          <cell r="S497">
            <v>4853148.8899999997</v>
          </cell>
          <cell r="T497">
            <v>13627865.27</v>
          </cell>
        </row>
        <row r="498">
          <cell r="A498" t="str">
            <v>F91000G</v>
          </cell>
          <cell r="B498" t="str">
            <v>MISCELLANEOUS CUSTOMER SERV AND INFORMATIONAL EXPE</v>
          </cell>
          <cell r="C498">
            <v>782254.7</v>
          </cell>
          <cell r="D498">
            <v>117325.38</v>
          </cell>
          <cell r="E498">
            <v>17444.63</v>
          </cell>
          <cell r="F498">
            <v>45231.99</v>
          </cell>
          <cell r="G498">
            <v>163496.4</v>
          </cell>
          <cell r="H498">
            <v>75840.320000000007</v>
          </cell>
          <cell r="I498">
            <v>44929.22</v>
          </cell>
          <cell r="J498">
            <v>86066.73</v>
          </cell>
          <cell r="K498">
            <v>26489.26</v>
          </cell>
          <cell r="L498">
            <v>21326.15</v>
          </cell>
          <cell r="M498">
            <v>31573.5</v>
          </cell>
          <cell r="N498">
            <v>38490.480000000003</v>
          </cell>
          <cell r="O498">
            <v>230864.83</v>
          </cell>
          <cell r="P498">
            <v>899078.89</v>
          </cell>
          <cell r="R498" t="str">
            <v>F91000G</v>
          </cell>
          <cell r="S498">
            <v>899078.89</v>
          </cell>
          <cell r="T498">
            <v>1681333.5899999999</v>
          </cell>
        </row>
        <row r="499">
          <cell r="A499" t="str">
            <v>F91020C</v>
          </cell>
          <cell r="B499" t="str">
            <v>MISCELLANEOUS CUSTOMER SERV AND INFORMATIONAL EXPE</v>
          </cell>
          <cell r="F499">
            <v>832.58</v>
          </cell>
          <cell r="G499">
            <v>550.19000000000005</v>
          </cell>
          <cell r="H499">
            <v>109.12</v>
          </cell>
          <cell r="I499">
            <v>0</v>
          </cell>
          <cell r="N499">
            <v>363.44</v>
          </cell>
          <cell r="O499">
            <v>476.26</v>
          </cell>
          <cell r="P499">
            <v>2331.59</v>
          </cell>
          <cell r="R499" t="str">
            <v>F91020C</v>
          </cell>
          <cell r="S499">
            <v>2331.59</v>
          </cell>
          <cell r="T499">
            <v>2331.59</v>
          </cell>
        </row>
        <row r="500">
          <cell r="A500" t="str">
            <v>F91020E</v>
          </cell>
          <cell r="B500" t="str">
            <v>MISC CUSTOMER SERVIC</v>
          </cell>
          <cell r="C500">
            <v>0</v>
          </cell>
          <cell r="F500">
            <v>18765.29</v>
          </cell>
          <cell r="G500">
            <v>11083.19</v>
          </cell>
          <cell r="H500">
            <v>-7565.93</v>
          </cell>
          <cell r="I500">
            <v>2367.16</v>
          </cell>
          <cell r="J500">
            <v>-1262.1300000000001</v>
          </cell>
          <cell r="K500">
            <v>3154</v>
          </cell>
          <cell r="L500">
            <v>4169.24</v>
          </cell>
          <cell r="M500">
            <v>3755.77</v>
          </cell>
          <cell r="N500">
            <v>0</v>
          </cell>
          <cell r="O500">
            <v>4166.05</v>
          </cell>
          <cell r="P500">
            <v>38632.639999999999</v>
          </cell>
          <cell r="R500" t="str">
            <v>F91020E</v>
          </cell>
          <cell r="S500">
            <v>38632.639999999999</v>
          </cell>
          <cell r="T500">
            <v>38632.639999999999</v>
          </cell>
        </row>
        <row r="501">
          <cell r="A501" t="str">
            <v>F91020G</v>
          </cell>
          <cell r="B501" t="str">
            <v>MISC CUSTOMER SERVIC</v>
          </cell>
          <cell r="C501">
            <v>0</v>
          </cell>
          <cell r="P501">
            <v>0</v>
          </cell>
          <cell r="T501">
            <v>0</v>
          </cell>
        </row>
        <row r="502">
          <cell r="A502" t="str">
            <v>F91080E</v>
          </cell>
          <cell r="B502" t="str">
            <v>MISCELLANEOUS CUSTOMER SERV AND INFORMATIONAL EXPE</v>
          </cell>
          <cell r="C502">
            <v>0</v>
          </cell>
          <cell r="H502">
            <v>420.27</v>
          </cell>
          <cell r="I502">
            <v>43.5</v>
          </cell>
          <cell r="L502">
            <v>14.03</v>
          </cell>
          <cell r="M502">
            <v>0</v>
          </cell>
          <cell r="N502">
            <v>232.14</v>
          </cell>
          <cell r="O502">
            <v>130.57</v>
          </cell>
          <cell r="P502">
            <v>840.51</v>
          </cell>
          <cell r="R502" t="str">
            <v>F91080E</v>
          </cell>
          <cell r="S502">
            <v>840.51</v>
          </cell>
          <cell r="T502">
            <v>840.51</v>
          </cell>
        </row>
        <row r="503">
          <cell r="A503" t="str">
            <v>F91200C</v>
          </cell>
          <cell r="B503" t="str">
            <v>DEMONSTRATING AND SELLING EXPENSES</v>
          </cell>
          <cell r="N503">
            <v>0</v>
          </cell>
          <cell r="O503">
            <v>91.64</v>
          </cell>
          <cell r="P503">
            <v>91.64</v>
          </cell>
          <cell r="R503" t="str">
            <v>F91200C</v>
          </cell>
          <cell r="S503">
            <v>91.64</v>
          </cell>
          <cell r="T503">
            <v>91.64</v>
          </cell>
        </row>
        <row r="504">
          <cell r="A504" t="str">
            <v>F91200E</v>
          </cell>
          <cell r="B504" t="str">
            <v>DEMONSTRATING AND SELLING EXPENSES</v>
          </cell>
          <cell r="C504">
            <v>20336.189999999999</v>
          </cell>
          <cell r="D504">
            <v>0</v>
          </cell>
          <cell r="E504">
            <v>0</v>
          </cell>
          <cell r="J504">
            <v>8338.4699999999993</v>
          </cell>
          <cell r="K504">
            <v>0</v>
          </cell>
          <cell r="P504">
            <v>8338.4699999999993</v>
          </cell>
          <cell r="R504" t="str">
            <v>F91200E</v>
          </cell>
          <cell r="S504">
            <v>8338.4699999999993</v>
          </cell>
          <cell r="T504">
            <v>28674.659999999996</v>
          </cell>
        </row>
        <row r="505">
          <cell r="A505" t="str">
            <v>F91200G</v>
          </cell>
          <cell r="B505" t="str">
            <v>DEMONSTRATING AND SELLING EXPENSES</v>
          </cell>
          <cell r="C505">
            <v>6842.01</v>
          </cell>
          <cell r="P505">
            <v>0</v>
          </cell>
          <cell r="T505">
            <v>6842.01</v>
          </cell>
        </row>
        <row r="506">
          <cell r="A506" t="str">
            <v>F91300C</v>
          </cell>
          <cell r="B506" t="str">
            <v>ADVERTISING EXPENSES</v>
          </cell>
          <cell r="F506">
            <v>3312.39</v>
          </cell>
          <cell r="G506">
            <v>33359.21</v>
          </cell>
          <cell r="H506">
            <v>445.57</v>
          </cell>
          <cell r="I506">
            <v>0</v>
          </cell>
          <cell r="J506">
            <v>0</v>
          </cell>
          <cell r="K506">
            <v>-3412.57</v>
          </cell>
          <cell r="L506">
            <v>333.9</v>
          </cell>
          <cell r="M506">
            <v>418.67</v>
          </cell>
          <cell r="N506">
            <v>0</v>
          </cell>
          <cell r="O506">
            <v>465.43</v>
          </cell>
          <cell r="P506">
            <v>34922.6</v>
          </cell>
          <cell r="R506" t="str">
            <v>F91300C</v>
          </cell>
          <cell r="S506">
            <v>34922.6</v>
          </cell>
          <cell r="T506">
            <v>34922.6</v>
          </cell>
        </row>
        <row r="507">
          <cell r="A507" t="str">
            <v>F91600E</v>
          </cell>
          <cell r="B507" t="str">
            <v>MISCELLANEOUS SALES EXPENSES</v>
          </cell>
          <cell r="C507">
            <v>12547.48</v>
          </cell>
          <cell r="J507">
            <v>-107000</v>
          </cell>
          <cell r="K507">
            <v>0</v>
          </cell>
          <cell r="P507">
            <v>-107000</v>
          </cell>
          <cell r="R507" t="str">
            <v>F91600E</v>
          </cell>
          <cell r="S507">
            <v>-107000</v>
          </cell>
          <cell r="T507">
            <v>-94452.52</v>
          </cell>
        </row>
        <row r="508">
          <cell r="A508" t="str">
            <v>F91600G</v>
          </cell>
          <cell r="B508" t="str">
            <v>MISCELLANEOUS SALES EXPENSES</v>
          </cell>
          <cell r="C508">
            <v>3094.09</v>
          </cell>
          <cell r="P508">
            <v>0</v>
          </cell>
          <cell r="T508">
            <v>3094.09</v>
          </cell>
        </row>
        <row r="509">
          <cell r="A509" t="str">
            <v>F92000C</v>
          </cell>
          <cell r="B509" t="str">
            <v>ADMINISTRATIVE AND GENERAL SALARIES</v>
          </cell>
          <cell r="C509">
            <v>0</v>
          </cell>
          <cell r="F509">
            <v>375843.72</v>
          </cell>
          <cell r="G509">
            <v>2740702.28</v>
          </cell>
          <cell r="H509">
            <v>-3098844</v>
          </cell>
          <cell r="I509">
            <v>31603.01</v>
          </cell>
          <cell r="J509">
            <v>-1616.4</v>
          </cell>
          <cell r="K509">
            <v>1116</v>
          </cell>
          <cell r="L509">
            <v>-31405.18</v>
          </cell>
          <cell r="M509">
            <v>85935</v>
          </cell>
          <cell r="N509">
            <v>-88359.92</v>
          </cell>
          <cell r="O509">
            <v>317412.19</v>
          </cell>
          <cell r="P509">
            <v>332386.7</v>
          </cell>
          <cell r="R509" t="str">
            <v>F92000C</v>
          </cell>
          <cell r="S509">
            <v>332386.7</v>
          </cell>
          <cell r="T509">
            <v>332386.7</v>
          </cell>
        </row>
        <row r="510">
          <cell r="A510" t="str">
            <v>F92000E</v>
          </cell>
          <cell r="B510" t="str">
            <v>ADMINISTRATIVE AND GENERAL SALARIES</v>
          </cell>
          <cell r="C510">
            <v>25902828.16</v>
          </cell>
          <cell r="D510">
            <v>616230.93000000005</v>
          </cell>
          <cell r="E510">
            <v>544377.25</v>
          </cell>
          <cell r="F510">
            <v>698674.84</v>
          </cell>
          <cell r="G510">
            <v>380449.1</v>
          </cell>
          <cell r="H510">
            <v>1090591.76</v>
          </cell>
          <cell r="I510">
            <v>777040.46</v>
          </cell>
          <cell r="J510">
            <v>638931.67000000004</v>
          </cell>
          <cell r="K510">
            <v>278504.55</v>
          </cell>
          <cell r="L510">
            <v>2144394.98</v>
          </cell>
          <cell r="M510">
            <v>396858.7</v>
          </cell>
          <cell r="N510">
            <v>831782.67</v>
          </cell>
          <cell r="O510">
            <v>1438823.35</v>
          </cell>
          <cell r="P510">
            <v>9836660.2599999998</v>
          </cell>
          <cell r="R510" t="str">
            <v>F92000E</v>
          </cell>
          <cell r="S510">
            <v>9836660.2599999998</v>
          </cell>
          <cell r="T510">
            <v>35739488.420000002</v>
          </cell>
        </row>
        <row r="511">
          <cell r="A511" t="str">
            <v>F92000G</v>
          </cell>
          <cell r="B511" t="str">
            <v>ADMINISTRATIVE AND GENERAL SALARIES</v>
          </cell>
          <cell r="C511">
            <v>9100378.2300000004</v>
          </cell>
          <cell r="D511">
            <v>197348.99</v>
          </cell>
          <cell r="E511">
            <v>173884.02</v>
          </cell>
          <cell r="F511">
            <v>220239.59</v>
          </cell>
          <cell r="G511">
            <v>120412.31</v>
          </cell>
          <cell r="H511">
            <v>188905.68</v>
          </cell>
          <cell r="I511">
            <v>242418.47</v>
          </cell>
          <cell r="J511">
            <v>182549.5</v>
          </cell>
          <cell r="K511">
            <v>244247.86</v>
          </cell>
          <cell r="L511">
            <v>224005.85</v>
          </cell>
          <cell r="M511">
            <v>214058.13</v>
          </cell>
          <cell r="N511">
            <v>267405.11</v>
          </cell>
          <cell r="O511">
            <v>311281.84000000003</v>
          </cell>
          <cell r="P511">
            <v>2586757.3499999996</v>
          </cell>
          <cell r="R511" t="str">
            <v>F92000G</v>
          </cell>
          <cell r="S511">
            <v>2586757.35</v>
          </cell>
          <cell r="T511">
            <v>11687135.58</v>
          </cell>
        </row>
        <row r="512">
          <cell r="A512" t="str">
            <v>F92090E</v>
          </cell>
          <cell r="B512" t="str">
            <v>ADMINISTRATIVE AND GENERAL SALARIES</v>
          </cell>
          <cell r="F512">
            <v>748040.67</v>
          </cell>
          <cell r="G512">
            <v>0</v>
          </cell>
          <cell r="P512">
            <v>748040.67</v>
          </cell>
          <cell r="R512" t="str">
            <v>F92090E</v>
          </cell>
          <cell r="S512">
            <v>748040.67</v>
          </cell>
          <cell r="T512">
            <v>748040.67</v>
          </cell>
        </row>
        <row r="513">
          <cell r="A513" t="str">
            <v>F92090G</v>
          </cell>
          <cell r="B513" t="str">
            <v>ADMINISTRATIVE AND G</v>
          </cell>
          <cell r="F513">
            <v>241153.73</v>
          </cell>
          <cell r="G513">
            <v>0</v>
          </cell>
          <cell r="P513">
            <v>241153.73</v>
          </cell>
          <cell r="R513" t="str">
            <v>F92090G</v>
          </cell>
          <cell r="S513">
            <v>241153.73</v>
          </cell>
          <cell r="T513">
            <v>241153.73</v>
          </cell>
        </row>
        <row r="514">
          <cell r="A514" t="str">
            <v>F92100C</v>
          </cell>
          <cell r="B514" t="str">
            <v>OFFICE SUPPLIES AND EXPENSES</v>
          </cell>
          <cell r="C514">
            <v>0</v>
          </cell>
          <cell r="F514">
            <v>-864333.49</v>
          </cell>
          <cell r="G514">
            <v>2231082.5699999998</v>
          </cell>
          <cell r="H514">
            <v>-1078122.78</v>
          </cell>
          <cell r="I514">
            <v>362256.05</v>
          </cell>
          <cell r="J514">
            <v>-748988.62</v>
          </cell>
          <cell r="K514">
            <v>105716.72</v>
          </cell>
          <cell r="L514">
            <v>120444.1</v>
          </cell>
          <cell r="M514">
            <v>4063.9</v>
          </cell>
          <cell r="N514">
            <v>10202.969999999999</v>
          </cell>
          <cell r="O514">
            <v>3890638.03</v>
          </cell>
          <cell r="P514">
            <v>4032959.4499999997</v>
          </cell>
          <cell r="R514" t="str">
            <v>F92100C</v>
          </cell>
          <cell r="S514">
            <v>4032959.45</v>
          </cell>
          <cell r="T514">
            <v>4032959.4499999997</v>
          </cell>
        </row>
        <row r="515">
          <cell r="A515" t="str">
            <v>F92100E</v>
          </cell>
          <cell r="B515" t="str">
            <v>OFFICE SUPPLIES AND EXPENSES</v>
          </cell>
          <cell r="C515">
            <v>41231468.329999998</v>
          </cell>
          <cell r="D515">
            <v>3212243.85</v>
          </cell>
          <cell r="E515">
            <v>3782252.42</v>
          </cell>
          <cell r="F515">
            <v>5354095.47</v>
          </cell>
          <cell r="G515">
            <v>5170306.3</v>
          </cell>
          <cell r="H515">
            <v>5167270.25</v>
          </cell>
          <cell r="I515">
            <v>6317278.1900000004</v>
          </cell>
          <cell r="J515">
            <v>5635084.5999999996</v>
          </cell>
          <cell r="K515">
            <v>3833513.17</v>
          </cell>
          <cell r="L515">
            <v>4956096.96</v>
          </cell>
          <cell r="M515">
            <v>5456176.1299999999</v>
          </cell>
          <cell r="N515">
            <v>4594454.9400000004</v>
          </cell>
          <cell r="O515">
            <v>2510695.6</v>
          </cell>
          <cell r="P515">
            <v>55989467.880000003</v>
          </cell>
          <cell r="R515" t="str">
            <v>F92100E</v>
          </cell>
          <cell r="S515">
            <v>55989467.879999995</v>
          </cell>
          <cell r="T515">
            <v>97220936.210000008</v>
          </cell>
        </row>
        <row r="516">
          <cell r="A516" t="str">
            <v>F92100G</v>
          </cell>
          <cell r="B516" t="str">
            <v>OFFICE SUPPLIES AND EXPENSES</v>
          </cell>
          <cell r="C516">
            <v>14502012.380000001</v>
          </cell>
          <cell r="D516">
            <v>1034862.53</v>
          </cell>
          <cell r="E516">
            <v>1215119.22</v>
          </cell>
          <cell r="F516">
            <v>1719863.25</v>
          </cell>
          <cell r="G516">
            <v>1661150</v>
          </cell>
          <cell r="H516">
            <v>1674678.45</v>
          </cell>
          <cell r="I516">
            <v>2035769.75</v>
          </cell>
          <cell r="J516">
            <v>1815402.63</v>
          </cell>
          <cell r="K516">
            <v>1236272.99</v>
          </cell>
          <cell r="L516">
            <v>1597040.75</v>
          </cell>
          <cell r="M516">
            <v>1754564.68</v>
          </cell>
          <cell r="N516">
            <v>1444929.44</v>
          </cell>
          <cell r="O516">
            <v>721874.94</v>
          </cell>
          <cell r="P516">
            <v>17911528.629999999</v>
          </cell>
          <cell r="R516" t="str">
            <v>F92100G</v>
          </cell>
          <cell r="S516">
            <v>17911528.630000003</v>
          </cell>
          <cell r="T516">
            <v>32413541.009999998</v>
          </cell>
        </row>
        <row r="517">
          <cell r="A517" t="str">
            <v>F92101C</v>
          </cell>
          <cell r="B517" t="str">
            <v>OFFICE SUPPLIES AND EXPENSES - FLOW ADJ</v>
          </cell>
          <cell r="F517">
            <v>-468251.4</v>
          </cell>
          <cell r="G517">
            <v>-667.39</v>
          </cell>
          <cell r="H517">
            <v>0.6</v>
          </cell>
          <cell r="I517">
            <v>-0.04</v>
          </cell>
          <cell r="J517">
            <v>-6</v>
          </cell>
          <cell r="K517">
            <v>20319.98</v>
          </cell>
          <cell r="L517">
            <v>-20.329999999999998</v>
          </cell>
          <cell r="M517">
            <v>-2247.7800000000002</v>
          </cell>
          <cell r="N517">
            <v>9958.2800000000007</v>
          </cell>
          <cell r="O517">
            <v>-7633.43</v>
          </cell>
          <cell r="P517">
            <v>-448547.51000000007</v>
          </cell>
          <cell r="R517" t="str">
            <v>F92101C</v>
          </cell>
          <cell r="S517">
            <v>-448547.51</v>
          </cell>
          <cell r="T517">
            <v>-448547.51000000007</v>
          </cell>
        </row>
        <row r="518">
          <cell r="A518" t="str">
            <v>F92120E</v>
          </cell>
          <cell r="B518" t="str">
            <v>OFFICE SUPPLIES AND EXPENSES</v>
          </cell>
          <cell r="C518">
            <v>0</v>
          </cell>
          <cell r="F518">
            <v>26315.9</v>
          </cell>
          <cell r="G518">
            <v>55.77</v>
          </cell>
          <cell r="H518">
            <v>0</v>
          </cell>
          <cell r="I518">
            <v>2344.61</v>
          </cell>
          <cell r="J518">
            <v>46.21</v>
          </cell>
          <cell r="K518">
            <v>476.69</v>
          </cell>
          <cell r="L518">
            <v>-64419.42</v>
          </cell>
          <cell r="M518">
            <v>307.02999999999997</v>
          </cell>
          <cell r="N518">
            <v>0</v>
          </cell>
          <cell r="O518">
            <v>207.22</v>
          </cell>
          <cell r="P518">
            <v>-34665.99</v>
          </cell>
          <cell r="R518" t="str">
            <v>F92120E</v>
          </cell>
          <cell r="S518">
            <v>-34665.99</v>
          </cell>
          <cell r="T518">
            <v>-34665.99</v>
          </cell>
        </row>
        <row r="519">
          <cell r="A519" t="str">
            <v>F92120G</v>
          </cell>
          <cell r="B519" t="str">
            <v>OFFICE SUPPLIES AND</v>
          </cell>
          <cell r="C519">
            <v>0</v>
          </cell>
          <cell r="F519">
            <v>8484.4699999999993</v>
          </cell>
          <cell r="G519">
            <v>17.98</v>
          </cell>
          <cell r="H519">
            <v>0</v>
          </cell>
          <cell r="I519">
            <v>765.5</v>
          </cell>
          <cell r="J519">
            <v>14.89</v>
          </cell>
          <cell r="K519">
            <v>153.68</v>
          </cell>
          <cell r="L519">
            <v>-20764.68</v>
          </cell>
          <cell r="M519">
            <v>98.98</v>
          </cell>
          <cell r="N519">
            <v>0</v>
          </cell>
          <cell r="O519">
            <v>66.81</v>
          </cell>
          <cell r="P519">
            <v>-11162.370000000003</v>
          </cell>
          <cell r="R519" t="str">
            <v>F92120G</v>
          </cell>
          <cell r="S519">
            <v>-11162.37</v>
          </cell>
          <cell r="T519">
            <v>-11162.370000000003</v>
          </cell>
        </row>
        <row r="520">
          <cell r="A520" t="str">
            <v>F92140E</v>
          </cell>
          <cell r="B520" t="str">
            <v>OFFICE SUPPLIES AND EXPENSES</v>
          </cell>
          <cell r="C520">
            <v>0</v>
          </cell>
          <cell r="F520">
            <v>-325835.18</v>
          </cell>
          <cell r="G520">
            <v>-795257.27</v>
          </cell>
          <cell r="H520">
            <v>921013.07</v>
          </cell>
          <cell r="I520">
            <v>360597.76000000001</v>
          </cell>
          <cell r="J520">
            <v>24517</v>
          </cell>
          <cell r="K520">
            <v>-314064.49</v>
          </cell>
          <cell r="L520">
            <v>-864919.2</v>
          </cell>
          <cell r="M520">
            <v>-741219.94</v>
          </cell>
          <cell r="N520">
            <v>-412551.19</v>
          </cell>
          <cell r="O520">
            <v>352765.21</v>
          </cell>
          <cell r="P520">
            <v>-1794954.23</v>
          </cell>
          <cell r="R520" t="str">
            <v>F92140E</v>
          </cell>
          <cell r="S520">
            <v>-1794954.23</v>
          </cell>
          <cell r="T520">
            <v>-1794954.23</v>
          </cell>
        </row>
        <row r="521">
          <cell r="A521" t="str">
            <v>F92140G</v>
          </cell>
          <cell r="B521" t="str">
            <v>OFFICE SUPPLIES AND</v>
          </cell>
          <cell r="C521">
            <v>0</v>
          </cell>
          <cell r="F521">
            <v>182211.93</v>
          </cell>
          <cell r="G521">
            <v>592980.81000000006</v>
          </cell>
          <cell r="H521">
            <v>569320.66</v>
          </cell>
          <cell r="I521">
            <v>217447.99</v>
          </cell>
          <cell r="J521">
            <v>259637.35</v>
          </cell>
          <cell r="K521">
            <v>184567.87</v>
          </cell>
          <cell r="L521">
            <v>-1157787.93</v>
          </cell>
          <cell r="M521">
            <v>-2022412.11</v>
          </cell>
          <cell r="N521">
            <v>-283214.5</v>
          </cell>
          <cell r="O521">
            <v>123591.1</v>
          </cell>
          <cell r="P521">
            <v>-1333656.83</v>
          </cell>
          <cell r="R521" t="str">
            <v>F92140G</v>
          </cell>
          <cell r="S521">
            <v>-1333656.83</v>
          </cell>
          <cell r="T521">
            <v>-1333656.83</v>
          </cell>
        </row>
        <row r="522">
          <cell r="A522" t="str">
            <v>F92190E</v>
          </cell>
          <cell r="B522" t="str">
            <v>OFFICE SUPPLIES AND EXPENSES-OFFSET ADJS</v>
          </cell>
          <cell r="F522">
            <v>-1310445.55</v>
          </cell>
          <cell r="G522">
            <v>0</v>
          </cell>
          <cell r="H522">
            <v>0</v>
          </cell>
          <cell r="I522">
            <v>-589390</v>
          </cell>
          <cell r="L522">
            <v>0</v>
          </cell>
          <cell r="M522">
            <v>50816.18</v>
          </cell>
          <cell r="P522">
            <v>-1849019.37</v>
          </cell>
          <cell r="R522" t="str">
            <v>F92190E</v>
          </cell>
          <cell r="S522">
            <v>-1849019.37</v>
          </cell>
          <cell r="T522">
            <v>-1849019.37</v>
          </cell>
        </row>
        <row r="523">
          <cell r="A523" t="str">
            <v>F92190G</v>
          </cell>
          <cell r="B523" t="str">
            <v>OFFICE SUPPLIES AND EXPENSES-OFFSET ADJS</v>
          </cell>
          <cell r="F523">
            <v>-422482.45</v>
          </cell>
          <cell r="G523">
            <v>0</v>
          </cell>
          <cell r="H523">
            <v>0</v>
          </cell>
          <cell r="I523">
            <v>-190010</v>
          </cell>
          <cell r="L523">
            <v>0</v>
          </cell>
          <cell r="M523">
            <v>16359.41</v>
          </cell>
          <cell r="P523">
            <v>-596133.03999999992</v>
          </cell>
          <cell r="R523" t="str">
            <v>F92190G</v>
          </cell>
          <cell r="S523">
            <v>-596133.04</v>
          </cell>
          <cell r="T523">
            <v>-596133.03999999992</v>
          </cell>
        </row>
        <row r="524">
          <cell r="A524" t="str">
            <v>F92200C</v>
          </cell>
          <cell r="B524" t="str">
            <v>ADMINISTRATIVE EXPENSES TRANSFERRED-CREDIT</v>
          </cell>
          <cell r="C524">
            <v>0</v>
          </cell>
          <cell r="F524">
            <v>-620527.24</v>
          </cell>
          <cell r="G524">
            <v>620526.07999999996</v>
          </cell>
          <cell r="P524">
            <v>-1.1600000000325963</v>
          </cell>
          <cell r="R524" t="str">
            <v>F92200C</v>
          </cell>
          <cell r="S524">
            <v>-1.1599999999999999</v>
          </cell>
          <cell r="T524">
            <v>-1.1600000000325963</v>
          </cell>
        </row>
        <row r="525">
          <cell r="A525" t="str">
            <v>F92200E</v>
          </cell>
          <cell r="B525" t="str">
            <v>ADMINISTRATIVE EXPENSES TRANSFERRED-CREDIT</v>
          </cell>
          <cell r="C525">
            <v>-13090367.91</v>
          </cell>
          <cell r="D525">
            <v>-1983158.8</v>
          </cell>
          <cell r="E525">
            <v>-709348.12</v>
          </cell>
          <cell r="F525">
            <v>-2853.84</v>
          </cell>
          <cell r="G525">
            <v>-469247.73</v>
          </cell>
          <cell r="H525">
            <v>-563281.15</v>
          </cell>
          <cell r="I525">
            <v>0</v>
          </cell>
          <cell r="L525">
            <v>0</v>
          </cell>
          <cell r="M525">
            <v>3488.29</v>
          </cell>
          <cell r="P525">
            <v>-3724401.3499999996</v>
          </cell>
          <cell r="R525" t="str">
            <v>F92200E</v>
          </cell>
          <cell r="S525">
            <v>-3724401.35</v>
          </cell>
          <cell r="T525">
            <v>-16814769.259999998</v>
          </cell>
        </row>
        <row r="526">
          <cell r="A526" t="str">
            <v>F92200G</v>
          </cell>
          <cell r="B526" t="str">
            <v>ADMINISTRATIVE EXPENSES TRANSFERRED-CREDIT</v>
          </cell>
          <cell r="C526">
            <v>-4919904.0599999996</v>
          </cell>
          <cell r="D526">
            <v>-662372.17000000004</v>
          </cell>
          <cell r="E526">
            <v>-226550.06</v>
          </cell>
          <cell r="F526">
            <v>0</v>
          </cell>
          <cell r="G526">
            <v>-151279.26999999999</v>
          </cell>
          <cell r="H526">
            <v>-181590.37</v>
          </cell>
          <cell r="I526">
            <v>0</v>
          </cell>
          <cell r="L526">
            <v>0</v>
          </cell>
          <cell r="M526">
            <v>1124.54</v>
          </cell>
          <cell r="P526">
            <v>-1220667.33</v>
          </cell>
          <cell r="R526" t="str">
            <v>F92200G</v>
          </cell>
          <cell r="S526">
            <v>-1220667.33</v>
          </cell>
          <cell r="T526">
            <v>-6140571.3899999997</v>
          </cell>
        </row>
        <row r="527">
          <cell r="A527" t="str">
            <v>F92300C</v>
          </cell>
          <cell r="B527" t="str">
            <v>OUTSIDE SERVICES EMPLOYED</v>
          </cell>
          <cell r="C527">
            <v>0</v>
          </cell>
          <cell r="P527">
            <v>0</v>
          </cell>
          <cell r="T527">
            <v>0</v>
          </cell>
        </row>
        <row r="528">
          <cell r="A528" t="str">
            <v>F92300E</v>
          </cell>
          <cell r="B528" t="str">
            <v>OUTSIDE SERVICES EMPLOYED</v>
          </cell>
          <cell r="C528">
            <v>19519350.920000002</v>
          </cell>
          <cell r="D528">
            <v>-86212.5</v>
          </cell>
          <cell r="E528">
            <v>114173.67</v>
          </cell>
          <cell r="F528">
            <v>42450.95</v>
          </cell>
          <cell r="G528">
            <v>281662.21999999997</v>
          </cell>
          <cell r="H528">
            <v>80664.14</v>
          </cell>
          <cell r="I528">
            <v>177962.81</v>
          </cell>
          <cell r="J528">
            <v>401856.33</v>
          </cell>
          <cell r="K528">
            <v>176884.89</v>
          </cell>
          <cell r="L528">
            <v>62534.76</v>
          </cell>
          <cell r="M528">
            <v>75534.62</v>
          </cell>
          <cell r="N528">
            <v>39327.07</v>
          </cell>
          <cell r="O528">
            <v>120343.73</v>
          </cell>
          <cell r="P528">
            <v>1487182.6900000002</v>
          </cell>
          <cell r="R528" t="str">
            <v>F92300E</v>
          </cell>
          <cell r="S528">
            <v>1487182.69</v>
          </cell>
          <cell r="T528">
            <v>21006533.610000003</v>
          </cell>
        </row>
        <row r="529">
          <cell r="A529" t="str">
            <v>F92300G</v>
          </cell>
          <cell r="B529" t="str">
            <v>OUTSIDE SERVICES EMPLOYED</v>
          </cell>
          <cell r="C529">
            <v>6794315.3099999996</v>
          </cell>
          <cell r="D529">
            <v>-27498.53</v>
          </cell>
          <cell r="E529">
            <v>42160.94</v>
          </cell>
          <cell r="F529">
            <v>35271.78</v>
          </cell>
          <cell r="G529">
            <v>93312.71</v>
          </cell>
          <cell r="H529">
            <v>101275.32</v>
          </cell>
          <cell r="I529">
            <v>163982.92000000001</v>
          </cell>
          <cell r="J529">
            <v>168771.49</v>
          </cell>
          <cell r="K529">
            <v>-149.85</v>
          </cell>
          <cell r="L529">
            <v>23271.32</v>
          </cell>
          <cell r="M529">
            <v>27028.06</v>
          </cell>
          <cell r="N529">
            <v>20899.509999999998</v>
          </cell>
          <cell r="O529">
            <v>11284.72</v>
          </cell>
          <cell r="P529">
            <v>659610.39</v>
          </cell>
          <cell r="R529" t="str">
            <v>F92300G</v>
          </cell>
          <cell r="S529">
            <v>659610.39</v>
          </cell>
          <cell r="T529">
            <v>7453925.6999999993</v>
          </cell>
        </row>
        <row r="530">
          <cell r="A530" t="str">
            <v>F92400C</v>
          </cell>
          <cell r="B530" t="str">
            <v>PROPERTY INSURANCE</v>
          </cell>
          <cell r="C530">
            <v>0</v>
          </cell>
          <cell r="F530">
            <v>-402660.13</v>
          </cell>
          <cell r="G530">
            <v>401958.27</v>
          </cell>
          <cell r="H530">
            <v>709.31</v>
          </cell>
          <cell r="I530">
            <v>0</v>
          </cell>
          <cell r="P530">
            <v>7.4500000000139153</v>
          </cell>
          <cell r="R530" t="str">
            <v>F92400C</v>
          </cell>
          <cell r="S530">
            <v>7.45</v>
          </cell>
          <cell r="T530">
            <v>7.4500000000139153</v>
          </cell>
        </row>
        <row r="531">
          <cell r="A531" t="str">
            <v>F92400E</v>
          </cell>
          <cell r="B531" t="str">
            <v>PROPERTY INSURANCE</v>
          </cell>
          <cell r="C531">
            <v>-234569.81</v>
          </cell>
          <cell r="D531">
            <v>145948.31</v>
          </cell>
          <cell r="E531">
            <v>116213.53</v>
          </cell>
          <cell r="F531">
            <v>116213.17</v>
          </cell>
          <cell r="G531">
            <v>-2574374.36</v>
          </cell>
          <cell r="H531">
            <v>87420.479999999996</v>
          </cell>
          <cell r="I531">
            <v>324467.02</v>
          </cell>
          <cell r="J531">
            <v>262825.32</v>
          </cell>
          <cell r="K531">
            <v>153608.84</v>
          </cell>
          <cell r="L531">
            <v>87867.11</v>
          </cell>
          <cell r="M531">
            <v>113042.52</v>
          </cell>
          <cell r="N531">
            <v>77041.070000000007</v>
          </cell>
          <cell r="O531">
            <v>117153.1</v>
          </cell>
          <cell r="P531">
            <v>-972573.88999999978</v>
          </cell>
          <cell r="R531" t="str">
            <v>F92400E</v>
          </cell>
          <cell r="S531">
            <v>-972573.89</v>
          </cell>
          <cell r="T531">
            <v>-1207143.6999999997</v>
          </cell>
        </row>
        <row r="532">
          <cell r="A532" t="str">
            <v>F92400G</v>
          </cell>
          <cell r="B532" t="str">
            <v>PROPERTY INSURANCE</v>
          </cell>
          <cell r="C532">
            <v>125433.48</v>
          </cell>
          <cell r="D532">
            <v>8628.5300000000007</v>
          </cell>
          <cell r="E532">
            <v>6167.47</v>
          </cell>
          <cell r="F532">
            <v>6167.83</v>
          </cell>
          <cell r="G532">
            <v>8628.7099999999991</v>
          </cell>
          <cell r="H532">
            <v>6167.83</v>
          </cell>
          <cell r="I532">
            <v>12558.95</v>
          </cell>
          <cell r="J532">
            <v>61471.73</v>
          </cell>
          <cell r="K532">
            <v>31329.65</v>
          </cell>
          <cell r="L532">
            <v>5064.9399999999996</v>
          </cell>
          <cell r="M532">
            <v>13181.54</v>
          </cell>
          <cell r="N532">
            <v>-967.6</v>
          </cell>
          <cell r="O532">
            <v>2321.3200000000002</v>
          </cell>
          <cell r="P532">
            <v>160720.90000000002</v>
          </cell>
          <cell r="R532" t="str">
            <v>F92400G</v>
          </cell>
          <cell r="S532">
            <v>160720.9</v>
          </cell>
          <cell r="T532">
            <v>286154.38</v>
          </cell>
        </row>
        <row r="533">
          <cell r="A533" t="str">
            <v>F92500C</v>
          </cell>
          <cell r="B533" t="str">
            <v>INJURIES AND DAMAGES</v>
          </cell>
          <cell r="C533">
            <v>0</v>
          </cell>
          <cell r="F533">
            <v>0</v>
          </cell>
          <cell r="G533">
            <v>-34304.300000000003</v>
          </cell>
          <cell r="H533">
            <v>34312.74</v>
          </cell>
          <cell r="I533">
            <v>0</v>
          </cell>
          <cell r="N533">
            <v>0</v>
          </cell>
          <cell r="O533">
            <v>-549858.67000000004</v>
          </cell>
          <cell r="P533">
            <v>-549850.2300000001</v>
          </cell>
          <cell r="R533" t="str">
            <v>F92500C</v>
          </cell>
          <cell r="S533">
            <v>-549850.23</v>
          </cell>
          <cell r="T533">
            <v>-549850.2300000001</v>
          </cell>
        </row>
        <row r="534">
          <cell r="A534" t="str">
            <v>F92500E</v>
          </cell>
          <cell r="B534" t="str">
            <v>INJURIES AND DAMAGES</v>
          </cell>
          <cell r="C534">
            <v>4794814.16</v>
          </cell>
          <cell r="D534">
            <v>503357.47</v>
          </cell>
          <cell r="E534">
            <v>275641.24</v>
          </cell>
          <cell r="F534">
            <v>355509.33</v>
          </cell>
          <cell r="G534">
            <v>337584.25</v>
          </cell>
          <cell r="H534">
            <v>252262.47</v>
          </cell>
          <cell r="I534">
            <v>217081.94</v>
          </cell>
          <cell r="J534">
            <v>64574</v>
          </cell>
          <cell r="K534">
            <v>230034.65</v>
          </cell>
          <cell r="L534">
            <v>93290.43</v>
          </cell>
          <cell r="M534">
            <v>210512.99</v>
          </cell>
          <cell r="N534">
            <v>214218.33</v>
          </cell>
          <cell r="O534">
            <v>356464.93</v>
          </cell>
          <cell r="P534">
            <v>3110532.0300000007</v>
          </cell>
          <cell r="R534" t="str">
            <v>F92500E</v>
          </cell>
          <cell r="S534">
            <v>3110532.03</v>
          </cell>
          <cell r="T534">
            <v>7905346.1900000013</v>
          </cell>
        </row>
        <row r="535">
          <cell r="A535" t="str">
            <v>F92500G</v>
          </cell>
          <cell r="B535" t="str">
            <v>INJURIES AND DAMAGES</v>
          </cell>
          <cell r="C535">
            <v>2087041</v>
          </cell>
          <cell r="D535">
            <v>234646.71</v>
          </cell>
          <cell r="E535">
            <v>115886.25</v>
          </cell>
          <cell r="F535">
            <v>143882.15</v>
          </cell>
          <cell r="G535">
            <v>140732.24</v>
          </cell>
          <cell r="H535">
            <v>107033.38</v>
          </cell>
          <cell r="I535">
            <v>89371.62</v>
          </cell>
          <cell r="J535">
            <v>23944.46</v>
          </cell>
          <cell r="K535">
            <v>91992.79</v>
          </cell>
          <cell r="L535">
            <v>46305.2</v>
          </cell>
          <cell r="M535">
            <v>86453.53</v>
          </cell>
          <cell r="N535">
            <v>87381.41</v>
          </cell>
          <cell r="O535">
            <v>172533.6</v>
          </cell>
          <cell r="P535">
            <v>1340163.3399999999</v>
          </cell>
          <cell r="R535" t="str">
            <v>F92500G</v>
          </cell>
          <cell r="S535">
            <v>1340163.3400000001</v>
          </cell>
          <cell r="T535">
            <v>3427204.34</v>
          </cell>
        </row>
        <row r="536">
          <cell r="A536" t="str">
            <v>F92510C</v>
          </cell>
          <cell r="B536" t="str">
            <v>INJURIES AND DAMAGES - PLPD</v>
          </cell>
          <cell r="F536">
            <v>72708.67</v>
          </cell>
          <cell r="G536">
            <v>67249.789999999994</v>
          </cell>
          <cell r="H536">
            <v>59096.77</v>
          </cell>
          <cell r="I536">
            <v>84456.21</v>
          </cell>
          <cell r="J536">
            <v>56167.7</v>
          </cell>
          <cell r="K536">
            <v>74596.929999999993</v>
          </cell>
          <cell r="L536">
            <v>91191.95</v>
          </cell>
          <cell r="M536">
            <v>52427.03</v>
          </cell>
          <cell r="N536">
            <v>72734.100000000006</v>
          </cell>
          <cell r="O536">
            <v>81019.37</v>
          </cell>
          <cell r="P536">
            <v>711648.52</v>
          </cell>
          <cell r="R536" t="str">
            <v>F92510C</v>
          </cell>
          <cell r="S536">
            <v>711648.52</v>
          </cell>
          <cell r="T536">
            <v>711648.52</v>
          </cell>
        </row>
        <row r="537">
          <cell r="A537" t="str">
            <v>F92510E</v>
          </cell>
          <cell r="B537" t="str">
            <v>INJURIES AND DAMAGES</v>
          </cell>
          <cell r="C537">
            <v>0</v>
          </cell>
          <cell r="F537">
            <v>137641.81</v>
          </cell>
          <cell r="G537">
            <v>119476.85</v>
          </cell>
          <cell r="H537">
            <v>113739.13</v>
          </cell>
          <cell r="I537">
            <v>114063.93</v>
          </cell>
          <cell r="J537">
            <v>110186.77</v>
          </cell>
          <cell r="K537">
            <v>119487.15</v>
          </cell>
          <cell r="L537">
            <v>135888.57999999999</v>
          </cell>
          <cell r="M537">
            <v>151003.28</v>
          </cell>
          <cell r="N537">
            <v>158440.85</v>
          </cell>
          <cell r="O537">
            <v>133814.43</v>
          </cell>
          <cell r="P537">
            <v>1293742.78</v>
          </cell>
          <cell r="R537" t="str">
            <v>F92510E</v>
          </cell>
          <cell r="S537">
            <v>1293742.78</v>
          </cell>
          <cell r="T537">
            <v>1293742.78</v>
          </cell>
        </row>
        <row r="538">
          <cell r="A538" t="str">
            <v>F92510G</v>
          </cell>
          <cell r="B538" t="str">
            <v>INJURIES AND DAMAGES</v>
          </cell>
          <cell r="C538">
            <v>0</v>
          </cell>
          <cell r="F538">
            <v>30991.78</v>
          </cell>
          <cell r="G538">
            <v>39056.410000000003</v>
          </cell>
          <cell r="H538">
            <v>36592.089999999997</v>
          </cell>
          <cell r="I538">
            <v>36692.82</v>
          </cell>
          <cell r="J538">
            <v>41708.57</v>
          </cell>
          <cell r="K538">
            <v>45610.73</v>
          </cell>
          <cell r="L538">
            <v>52697.5</v>
          </cell>
          <cell r="M538">
            <v>59199.38</v>
          </cell>
          <cell r="N538">
            <v>42142.36</v>
          </cell>
          <cell r="O538">
            <v>47758.42</v>
          </cell>
          <cell r="P538">
            <v>432450.06</v>
          </cell>
          <cell r="R538" t="str">
            <v>F92510G</v>
          </cell>
          <cell r="S538">
            <v>432450.06</v>
          </cell>
          <cell r="T538">
            <v>432450.06</v>
          </cell>
        </row>
        <row r="539">
          <cell r="A539" t="str">
            <v>F92520E</v>
          </cell>
          <cell r="B539" t="str">
            <v>INJURIES AND DAMAGES</v>
          </cell>
          <cell r="C539">
            <v>0</v>
          </cell>
          <cell r="F539">
            <v>16992.95</v>
          </cell>
          <cell r="G539">
            <v>17957.009999999998</v>
          </cell>
          <cell r="H539">
            <v>15624.57</v>
          </cell>
          <cell r="I539">
            <v>17461.88</v>
          </cell>
          <cell r="J539">
            <v>18457.78</v>
          </cell>
          <cell r="K539">
            <v>18562.490000000002</v>
          </cell>
          <cell r="L539">
            <v>13967.21</v>
          </cell>
          <cell r="M539">
            <v>30323.21</v>
          </cell>
          <cell r="N539">
            <v>144523.51</v>
          </cell>
          <cell r="O539">
            <v>-95396.49</v>
          </cell>
          <cell r="P539">
            <v>198474.12</v>
          </cell>
          <cell r="R539" t="str">
            <v>F92520E</v>
          </cell>
          <cell r="S539">
            <v>198474.12</v>
          </cell>
          <cell r="T539">
            <v>198474.12</v>
          </cell>
        </row>
        <row r="540">
          <cell r="A540" t="str">
            <v>F92520G</v>
          </cell>
          <cell r="B540" t="str">
            <v>INJURIES AND DAMAGES</v>
          </cell>
          <cell r="C540">
            <v>0</v>
          </cell>
          <cell r="F540">
            <v>0</v>
          </cell>
          <cell r="G540">
            <v>19.5</v>
          </cell>
          <cell r="H540">
            <v>0</v>
          </cell>
          <cell r="I540">
            <v>16.36</v>
          </cell>
          <cell r="J540">
            <v>46.09</v>
          </cell>
          <cell r="K540">
            <v>24.94</v>
          </cell>
          <cell r="L540">
            <v>18.760000000000002</v>
          </cell>
          <cell r="M540">
            <v>28.34</v>
          </cell>
          <cell r="N540">
            <v>313.41000000000003</v>
          </cell>
          <cell r="O540">
            <v>64.48</v>
          </cell>
          <cell r="P540">
            <v>531.88</v>
          </cell>
          <cell r="R540" t="str">
            <v>F92520G</v>
          </cell>
          <cell r="S540">
            <v>531.88</v>
          </cell>
          <cell r="T540">
            <v>531.88</v>
          </cell>
        </row>
        <row r="541">
          <cell r="A541" t="str">
            <v>F92600C</v>
          </cell>
          <cell r="B541" t="str">
            <v>EMPLOYEE PENSIONS AND BENEFITS</v>
          </cell>
          <cell r="C541">
            <v>0</v>
          </cell>
          <cell r="F541">
            <v>2974564.9</v>
          </cell>
          <cell r="G541">
            <v>-3270708.05</v>
          </cell>
          <cell r="H541">
            <v>1460851.46</v>
          </cell>
          <cell r="I541">
            <v>-1265973.46</v>
          </cell>
          <cell r="J541">
            <v>4644676.66</v>
          </cell>
          <cell r="K541">
            <v>-762943.43</v>
          </cell>
          <cell r="L541">
            <v>450281.97</v>
          </cell>
          <cell r="M541">
            <v>-232.5</v>
          </cell>
          <cell r="N541">
            <v>393227.23</v>
          </cell>
          <cell r="O541">
            <v>3259442.21</v>
          </cell>
          <cell r="P541">
            <v>7883186.9899999993</v>
          </cell>
          <cell r="R541" t="str">
            <v>F92600C</v>
          </cell>
          <cell r="S541">
            <v>7883186.9900000002</v>
          </cell>
          <cell r="T541">
            <v>7883186.9899999993</v>
          </cell>
        </row>
        <row r="542">
          <cell r="A542" t="str">
            <v>F92600E</v>
          </cell>
          <cell r="B542" t="str">
            <v>EMPLOYEE PENSIONS AND BENEFITS</v>
          </cell>
          <cell r="C542">
            <v>21417769.120000001</v>
          </cell>
          <cell r="D542">
            <v>410868.5</v>
          </cell>
          <cell r="E542">
            <v>714832.62</v>
          </cell>
          <cell r="F542">
            <v>-506457.72</v>
          </cell>
          <cell r="G542">
            <v>-159965.51</v>
          </cell>
          <cell r="H542">
            <v>-152816.76999999999</v>
          </cell>
          <cell r="I542">
            <v>799986.78</v>
          </cell>
          <cell r="J542">
            <v>-417551.59</v>
          </cell>
          <cell r="K542">
            <v>-662652.75</v>
          </cell>
          <cell r="L542">
            <v>88659.62</v>
          </cell>
          <cell r="M542">
            <v>406490.31</v>
          </cell>
          <cell r="N542">
            <v>615954.59</v>
          </cell>
          <cell r="O542">
            <v>472481.1</v>
          </cell>
          <cell r="P542">
            <v>1609829.1800000002</v>
          </cell>
          <cell r="R542" t="str">
            <v>F92600E</v>
          </cell>
          <cell r="S542">
            <v>1609829.18</v>
          </cell>
          <cell r="T542">
            <v>23027598.300000001</v>
          </cell>
        </row>
        <row r="543">
          <cell r="A543" t="str">
            <v>F92600G</v>
          </cell>
          <cell r="B543" t="str">
            <v>EMPLOYEE PENSIONS AND BENEFITS</v>
          </cell>
          <cell r="C543">
            <v>8639691.4399999995</v>
          </cell>
          <cell r="D543">
            <v>143505.17000000001</v>
          </cell>
          <cell r="E543">
            <v>285969.07</v>
          </cell>
          <cell r="F543">
            <v>-203209.51</v>
          </cell>
          <cell r="G543">
            <v>-64580.35</v>
          </cell>
          <cell r="H543">
            <v>-60658.02</v>
          </cell>
          <cell r="I543">
            <v>319862.48</v>
          </cell>
          <cell r="J543">
            <v>-168973.18</v>
          </cell>
          <cell r="K543">
            <v>-265898.84999999998</v>
          </cell>
          <cell r="L543">
            <v>34631.589999999997</v>
          </cell>
          <cell r="M543">
            <v>162995.01</v>
          </cell>
          <cell r="N543">
            <v>246118.65</v>
          </cell>
          <cell r="O543">
            <v>188745.39</v>
          </cell>
          <cell r="P543">
            <v>618507.44999999995</v>
          </cell>
          <cell r="R543" t="str">
            <v>F92600G</v>
          </cell>
          <cell r="S543">
            <v>618507.44999999995</v>
          </cell>
          <cell r="T543">
            <v>9258198.8899999987</v>
          </cell>
        </row>
        <row r="544">
          <cell r="A544" t="str">
            <v>F92700C</v>
          </cell>
          <cell r="B544" t="str">
            <v>FRANCHISE REQUIREMENTS</v>
          </cell>
          <cell r="N544">
            <v>0</v>
          </cell>
          <cell r="O544">
            <v>43.64</v>
          </cell>
          <cell r="P544">
            <v>43.64</v>
          </cell>
          <cell r="R544" t="str">
            <v>F92700C</v>
          </cell>
          <cell r="S544">
            <v>43.64</v>
          </cell>
          <cell r="T544">
            <v>43.64</v>
          </cell>
        </row>
        <row r="545">
          <cell r="A545" t="str">
            <v>F92700E</v>
          </cell>
          <cell r="B545" t="str">
            <v>FRANCHISE REQUIREMENTS</v>
          </cell>
          <cell r="C545">
            <v>32097061.809999999</v>
          </cell>
          <cell r="D545">
            <v>2370449.29</v>
          </cell>
          <cell r="E545">
            <v>2310454.46</v>
          </cell>
          <cell r="F545">
            <v>1458510.44</v>
          </cell>
          <cell r="G545">
            <v>2194046</v>
          </cell>
          <cell r="H545">
            <v>2208038.19</v>
          </cell>
          <cell r="I545">
            <v>2539141.96</v>
          </cell>
          <cell r="J545">
            <v>2892786</v>
          </cell>
          <cell r="K545">
            <v>2736389</v>
          </cell>
          <cell r="L545">
            <v>2905010.19</v>
          </cell>
          <cell r="M545">
            <v>3136764.34</v>
          </cell>
          <cell r="N545">
            <v>2632151.2799999998</v>
          </cell>
          <cell r="O545">
            <v>2352180</v>
          </cell>
          <cell r="P545">
            <v>29735921.150000002</v>
          </cell>
          <cell r="R545" t="str">
            <v>F92700E</v>
          </cell>
          <cell r="S545">
            <v>29735921.149999999</v>
          </cell>
          <cell r="T545">
            <v>61832982.960000001</v>
          </cell>
        </row>
        <row r="546">
          <cell r="A546" t="str">
            <v>F92700G</v>
          </cell>
          <cell r="B546" t="str">
            <v>FRANCHISE REQUIREMENTS</v>
          </cell>
          <cell r="C546">
            <v>7926269.1600000001</v>
          </cell>
          <cell r="D546">
            <v>1101937.71</v>
          </cell>
          <cell r="E546">
            <v>1068351.3799999999</v>
          </cell>
          <cell r="F546">
            <v>840542.86</v>
          </cell>
          <cell r="G546">
            <v>863708</v>
          </cell>
          <cell r="H546">
            <v>644232.09</v>
          </cell>
          <cell r="I546">
            <v>546885.02</v>
          </cell>
          <cell r="J546">
            <v>482532</v>
          </cell>
          <cell r="K546">
            <v>425957</v>
          </cell>
          <cell r="L546">
            <v>507006.09</v>
          </cell>
          <cell r="M546">
            <v>458477.21</v>
          </cell>
          <cell r="N546">
            <v>571012</v>
          </cell>
          <cell r="O546">
            <v>933872</v>
          </cell>
          <cell r="P546">
            <v>8444513.3599999994</v>
          </cell>
          <cell r="R546" t="str">
            <v>F92700G</v>
          </cell>
          <cell r="S546">
            <v>8444513.3599999994</v>
          </cell>
          <cell r="T546">
            <v>16370782.52</v>
          </cell>
        </row>
        <row r="547">
          <cell r="A547" t="str">
            <v>F92800E</v>
          </cell>
          <cell r="B547" t="str">
            <v>REGULATORY COMMISSION EXPENSES</v>
          </cell>
          <cell r="C547">
            <v>6887080.7999999998</v>
          </cell>
          <cell r="D547">
            <v>366549.94</v>
          </cell>
          <cell r="E547">
            <v>492912.79</v>
          </cell>
          <cell r="F547">
            <v>364602.72</v>
          </cell>
          <cell r="G547">
            <v>330198.02</v>
          </cell>
          <cell r="H547">
            <v>489844.96</v>
          </cell>
          <cell r="I547">
            <v>789987.58</v>
          </cell>
          <cell r="J547">
            <v>368357.82</v>
          </cell>
          <cell r="K547">
            <v>878102.97</v>
          </cell>
          <cell r="L547">
            <v>538998.47</v>
          </cell>
          <cell r="M547">
            <v>537708.68000000005</v>
          </cell>
          <cell r="N547">
            <v>704554.7</v>
          </cell>
          <cell r="O547">
            <v>511601.13</v>
          </cell>
          <cell r="P547">
            <v>6373419.7799999993</v>
          </cell>
          <cell r="R547" t="str">
            <v>F92800E</v>
          </cell>
          <cell r="S547">
            <v>6373419.7799999993</v>
          </cell>
          <cell r="T547">
            <v>13260500.579999998</v>
          </cell>
        </row>
        <row r="548">
          <cell r="A548" t="str">
            <v>F92800G</v>
          </cell>
          <cell r="B548" t="str">
            <v>REGULATORY COMMISSION EXPENSES</v>
          </cell>
          <cell r="C548">
            <v>2020219.71</v>
          </cell>
          <cell r="D548">
            <v>170141.55</v>
          </cell>
          <cell r="E548">
            <v>190506.62</v>
          </cell>
          <cell r="F548">
            <v>196856.83</v>
          </cell>
          <cell r="G548">
            <v>140957.04999999999</v>
          </cell>
          <cell r="H548">
            <v>177104.94</v>
          </cell>
          <cell r="I548">
            <v>288886.37</v>
          </cell>
          <cell r="J548">
            <v>158691.81</v>
          </cell>
          <cell r="K548">
            <v>194395.43</v>
          </cell>
          <cell r="L548">
            <v>14099.73</v>
          </cell>
          <cell r="M548">
            <v>161539.12</v>
          </cell>
          <cell r="N548">
            <v>256973.36</v>
          </cell>
          <cell r="O548">
            <v>234305.46</v>
          </cell>
          <cell r="P548">
            <v>2184458.2699999996</v>
          </cell>
          <cell r="R548" t="str">
            <v>F92800G</v>
          </cell>
          <cell r="S548">
            <v>2184458.27</v>
          </cell>
          <cell r="T548">
            <v>4204677.9799999995</v>
          </cell>
        </row>
        <row r="549">
          <cell r="A549" t="str">
            <v>F92850E</v>
          </cell>
          <cell r="B549" t="str">
            <v>REGULATORY COMMISSION EXPENSES</v>
          </cell>
          <cell r="C549">
            <v>0</v>
          </cell>
          <cell r="F549">
            <v>0</v>
          </cell>
          <cell r="G549">
            <v>18625</v>
          </cell>
          <cell r="L549">
            <v>0</v>
          </cell>
          <cell r="M549">
            <v>3992</v>
          </cell>
          <cell r="P549">
            <v>22617</v>
          </cell>
          <cell r="R549" t="str">
            <v>F92850E</v>
          </cell>
          <cell r="S549">
            <v>22617</v>
          </cell>
          <cell r="T549">
            <v>22617</v>
          </cell>
        </row>
        <row r="550">
          <cell r="A550" t="str">
            <v>F92850G</v>
          </cell>
          <cell r="B550" t="str">
            <v>REGULATORY COMMISSION EXPENSES</v>
          </cell>
          <cell r="C550">
            <v>0</v>
          </cell>
          <cell r="L550">
            <v>0</v>
          </cell>
          <cell r="M550">
            <v>1287</v>
          </cell>
          <cell r="P550">
            <v>1287</v>
          </cell>
          <cell r="R550" t="str">
            <v>F92850G</v>
          </cell>
          <cell r="S550">
            <v>1287</v>
          </cell>
          <cell r="T550">
            <v>1287</v>
          </cell>
        </row>
        <row r="551">
          <cell r="A551" t="str">
            <v>F92900E</v>
          </cell>
          <cell r="B551" t="str">
            <v>DUPLICATE CHARGES-CR.</v>
          </cell>
          <cell r="C551">
            <v>-831505.22</v>
          </cell>
          <cell r="D551">
            <v>-186679.24</v>
          </cell>
          <cell r="E551">
            <v>0</v>
          </cell>
          <cell r="J551">
            <v>0</v>
          </cell>
          <cell r="K551">
            <v>-377337.2</v>
          </cell>
          <cell r="L551">
            <v>-87469.45</v>
          </cell>
          <cell r="M551">
            <v>31537.13</v>
          </cell>
          <cell r="N551">
            <v>-49450.48</v>
          </cell>
          <cell r="O551">
            <v>-71730.179999999993</v>
          </cell>
          <cell r="P551">
            <v>-741129.41999999993</v>
          </cell>
          <cell r="R551" t="str">
            <v>F92900E</v>
          </cell>
          <cell r="S551">
            <v>-741129.42</v>
          </cell>
          <cell r="T551">
            <v>-1572634.64</v>
          </cell>
        </row>
        <row r="552">
          <cell r="A552" t="str">
            <v>F93010E</v>
          </cell>
          <cell r="B552" t="str">
            <v>GENERAL ADVERTISING EXPENSES</v>
          </cell>
          <cell r="C552">
            <v>3935312.95</v>
          </cell>
          <cell r="D552">
            <v>7.0000000000000007E-2</v>
          </cell>
          <cell r="E552">
            <v>551.78</v>
          </cell>
          <cell r="F552">
            <v>0</v>
          </cell>
          <cell r="G552">
            <v>786.25</v>
          </cell>
          <cell r="H552">
            <v>2595.77</v>
          </cell>
          <cell r="I552">
            <v>777.96</v>
          </cell>
          <cell r="J552">
            <v>789.15</v>
          </cell>
          <cell r="K552">
            <v>16.91</v>
          </cell>
          <cell r="L552">
            <v>966.26</v>
          </cell>
          <cell r="M552">
            <v>4610.3599999999997</v>
          </cell>
          <cell r="N552">
            <v>7.94</v>
          </cell>
          <cell r="O552">
            <v>217653.18</v>
          </cell>
          <cell r="P552">
            <v>228755.63</v>
          </cell>
          <cell r="R552" t="str">
            <v>F93010E</v>
          </cell>
          <cell r="S552">
            <v>228755.63</v>
          </cell>
          <cell r="T552">
            <v>4164068.58</v>
          </cell>
        </row>
        <row r="553">
          <cell r="A553" t="str">
            <v>F93010G</v>
          </cell>
          <cell r="B553" t="str">
            <v>GENERAL ADVERTISING EXPENSES</v>
          </cell>
          <cell r="C553">
            <v>19278.009999999998</v>
          </cell>
          <cell r="D553">
            <v>0</v>
          </cell>
          <cell r="E553">
            <v>177.92</v>
          </cell>
          <cell r="F553">
            <v>0</v>
          </cell>
          <cell r="G553">
            <v>253.48</v>
          </cell>
          <cell r="H553">
            <v>836.87</v>
          </cell>
          <cell r="I553">
            <v>250.79</v>
          </cell>
          <cell r="J553">
            <v>254.4</v>
          </cell>
          <cell r="K553">
            <v>5.45</v>
          </cell>
          <cell r="L553">
            <v>299.77</v>
          </cell>
          <cell r="M553">
            <v>2099.23</v>
          </cell>
          <cell r="N553">
            <v>2.56</v>
          </cell>
          <cell r="O553">
            <v>92269.38</v>
          </cell>
          <cell r="P553">
            <v>96449.85</v>
          </cell>
          <cell r="R553" t="str">
            <v>F93010G</v>
          </cell>
          <cell r="S553">
            <v>96449.85</v>
          </cell>
          <cell r="T553">
            <v>115727.86</v>
          </cell>
        </row>
        <row r="554">
          <cell r="A554" t="str">
            <v>F93020C</v>
          </cell>
          <cell r="B554" t="str">
            <v>MISCELLANEOUS GENERAL EXPENSES</v>
          </cell>
          <cell r="C554">
            <v>-10.02</v>
          </cell>
          <cell r="F554">
            <v>-300001.13</v>
          </cell>
          <cell r="G554">
            <v>-7930054.7800000003</v>
          </cell>
          <cell r="H554">
            <v>8720109.1600000001</v>
          </cell>
          <cell r="I554">
            <v>-687445.87</v>
          </cell>
          <cell r="J554">
            <v>197367.19</v>
          </cell>
          <cell r="K554">
            <v>0</v>
          </cell>
          <cell r="P554">
            <v>-25.429999999993015</v>
          </cell>
          <cell r="R554" t="str">
            <v>F93020C</v>
          </cell>
          <cell r="S554">
            <v>-25.43</v>
          </cell>
          <cell r="T554">
            <v>-35.449999999993011</v>
          </cell>
        </row>
        <row r="555">
          <cell r="A555" t="str">
            <v>F93020E</v>
          </cell>
          <cell r="B555" t="str">
            <v>MISCELLANEOUS GENERAL EXPENSES</v>
          </cell>
          <cell r="C555">
            <v>28919384.84</v>
          </cell>
          <cell r="D555">
            <v>374154.26</v>
          </cell>
          <cell r="E555">
            <v>168169.98</v>
          </cell>
          <cell r="F555">
            <v>4971954.93</v>
          </cell>
          <cell r="G555">
            <v>13305320.939999999</v>
          </cell>
          <cell r="H555">
            <v>-5148769.62</v>
          </cell>
          <cell r="I555">
            <v>3137090.91</v>
          </cell>
          <cell r="J555">
            <v>3025219.29</v>
          </cell>
          <cell r="K555">
            <v>1868776.23</v>
          </cell>
          <cell r="L555">
            <v>4480075.21</v>
          </cell>
          <cell r="M555">
            <v>337091.79</v>
          </cell>
          <cell r="N555">
            <v>-216847.29</v>
          </cell>
          <cell r="O555">
            <v>3327447.27</v>
          </cell>
          <cell r="P555">
            <v>29629683.899999999</v>
          </cell>
          <cell r="R555" t="str">
            <v>F93020E</v>
          </cell>
          <cell r="S555">
            <v>29629683.899999999</v>
          </cell>
          <cell r="T555">
            <v>58549068.739999995</v>
          </cell>
        </row>
        <row r="556">
          <cell r="A556" t="str">
            <v>F93020G</v>
          </cell>
          <cell r="B556" t="str">
            <v>MISCELLANEOUS GENERAL EXPENSES</v>
          </cell>
          <cell r="C556">
            <v>1887422.99</v>
          </cell>
          <cell r="D556">
            <v>70897.91</v>
          </cell>
          <cell r="E556">
            <v>54224.22</v>
          </cell>
          <cell r="F556">
            <v>29521.200000000001</v>
          </cell>
          <cell r="G556">
            <v>1864037.52</v>
          </cell>
          <cell r="H556">
            <v>-1934379.14</v>
          </cell>
          <cell r="I556">
            <v>-895059.2</v>
          </cell>
          <cell r="J556">
            <v>42936.91</v>
          </cell>
          <cell r="K556">
            <v>620735.03</v>
          </cell>
          <cell r="L556">
            <v>65600.67</v>
          </cell>
          <cell r="M556">
            <v>90673.23</v>
          </cell>
          <cell r="N556">
            <v>-58829.41</v>
          </cell>
          <cell r="O556">
            <v>673603.96</v>
          </cell>
          <cell r="P556">
            <v>623962.90000000026</v>
          </cell>
          <cell r="R556" t="str">
            <v>F93020G</v>
          </cell>
          <cell r="S556">
            <v>623962.9</v>
          </cell>
          <cell r="T556">
            <v>2511385.89</v>
          </cell>
        </row>
        <row r="557">
          <cell r="A557" t="str">
            <v>F93021C</v>
          </cell>
          <cell r="B557" t="str">
            <v>MISCELLANEOUS GENERAL EXPENSES - ADJ</v>
          </cell>
          <cell r="C557">
            <v>0</v>
          </cell>
          <cell r="P557">
            <v>0</v>
          </cell>
          <cell r="T557">
            <v>0</v>
          </cell>
        </row>
        <row r="558">
          <cell r="A558" t="str">
            <v>F93022C</v>
          </cell>
          <cell r="B558" t="str">
            <v>MISCELLANEOUS GENERAL EXPENSES-V&amp;S ADJUSTMENTS</v>
          </cell>
          <cell r="C558">
            <v>0</v>
          </cell>
          <cell r="H558">
            <v>92456.85</v>
          </cell>
          <cell r="I558">
            <v>203891.54</v>
          </cell>
          <cell r="J558">
            <v>167024.98000000001</v>
          </cell>
          <cell r="K558">
            <v>232023.79</v>
          </cell>
          <cell r="L558">
            <v>183864</v>
          </cell>
          <cell r="M558">
            <v>91082.75</v>
          </cell>
          <cell r="N558">
            <v>119542.91</v>
          </cell>
          <cell r="O558">
            <v>63859.17</v>
          </cell>
          <cell r="P558">
            <v>1153745.99</v>
          </cell>
          <cell r="R558" t="str">
            <v>F93022C</v>
          </cell>
          <cell r="S558">
            <v>1153745.99</v>
          </cell>
          <cell r="T558">
            <v>1153745.99</v>
          </cell>
        </row>
        <row r="559">
          <cell r="A559" t="str">
            <v>F93030E</v>
          </cell>
          <cell r="B559" t="str">
            <v>MISC GENERAL EXP-AFFIL. BILLING</v>
          </cell>
          <cell r="F559">
            <v>809045.2</v>
          </cell>
          <cell r="G559">
            <v>-390843.52</v>
          </cell>
          <cell r="H559">
            <v>94785.66</v>
          </cell>
          <cell r="I559">
            <v>183997.15</v>
          </cell>
          <cell r="J559">
            <v>-402975.67</v>
          </cell>
          <cell r="K559">
            <v>-274680.51</v>
          </cell>
          <cell r="L559">
            <v>340.09</v>
          </cell>
          <cell r="M559">
            <v>254.02</v>
          </cell>
          <cell r="N559">
            <v>0</v>
          </cell>
          <cell r="O559">
            <v>1233.9000000000001</v>
          </cell>
          <cell r="P559">
            <v>21156.32</v>
          </cell>
          <cell r="R559" t="str">
            <v>F93030E</v>
          </cell>
          <cell r="S559">
            <v>21156.32</v>
          </cell>
          <cell r="T559">
            <v>21156.32</v>
          </cell>
        </row>
        <row r="560">
          <cell r="A560" t="str">
            <v>F93100C</v>
          </cell>
          <cell r="B560" t="str">
            <v>RENTS</v>
          </cell>
          <cell r="C560">
            <v>0</v>
          </cell>
          <cell r="P560">
            <v>0</v>
          </cell>
          <cell r="T560">
            <v>0</v>
          </cell>
        </row>
        <row r="561">
          <cell r="A561" t="str">
            <v>F93100E</v>
          </cell>
          <cell r="B561" t="str">
            <v>RENTS</v>
          </cell>
          <cell r="C561">
            <v>2488001.11</v>
          </cell>
          <cell r="D561">
            <v>42895.94</v>
          </cell>
          <cell r="E561">
            <v>193188.18</v>
          </cell>
          <cell r="F561">
            <v>222833.61</v>
          </cell>
          <cell r="G561">
            <v>101396.71</v>
          </cell>
          <cell r="H561">
            <v>183986.93</v>
          </cell>
          <cell r="I561">
            <v>437042.72</v>
          </cell>
          <cell r="J561">
            <v>39492.129999999997</v>
          </cell>
          <cell r="K561">
            <v>273611.98</v>
          </cell>
          <cell r="L561">
            <v>183592.71</v>
          </cell>
          <cell r="M561">
            <v>324299.06</v>
          </cell>
          <cell r="N561">
            <v>686330.46</v>
          </cell>
          <cell r="O561">
            <v>157518.35999999999</v>
          </cell>
          <cell r="P561">
            <v>2846188.7899999996</v>
          </cell>
          <cell r="R561" t="str">
            <v>F93100E</v>
          </cell>
          <cell r="S561">
            <v>2846188.79</v>
          </cell>
          <cell r="T561">
            <v>5334189.8999999994</v>
          </cell>
        </row>
        <row r="562">
          <cell r="A562" t="str">
            <v>F93100G</v>
          </cell>
          <cell r="B562" t="str">
            <v>RENTS</v>
          </cell>
          <cell r="C562">
            <v>786097.5</v>
          </cell>
          <cell r="D562">
            <v>13338.95</v>
          </cell>
          <cell r="E562">
            <v>0</v>
          </cell>
          <cell r="F562">
            <v>133098.17000000001</v>
          </cell>
          <cell r="G562">
            <v>33890.269999999997</v>
          </cell>
          <cell r="H562">
            <v>59536.82</v>
          </cell>
          <cell r="I562">
            <v>141326.12</v>
          </cell>
          <cell r="J562">
            <v>12736.71</v>
          </cell>
          <cell r="K562">
            <v>82362.649999999994</v>
          </cell>
          <cell r="L562">
            <v>59336.71</v>
          </cell>
          <cell r="M562">
            <v>104164.72</v>
          </cell>
          <cell r="N562">
            <v>221377.51</v>
          </cell>
          <cell r="O562">
            <v>51434.92</v>
          </cell>
          <cell r="P562">
            <v>912603.55</v>
          </cell>
          <cell r="R562" t="str">
            <v>F93100G</v>
          </cell>
          <cell r="S562">
            <v>912603.55</v>
          </cell>
          <cell r="T562">
            <v>1698701.05</v>
          </cell>
        </row>
        <row r="563">
          <cell r="A563" t="str">
            <v>F93500E</v>
          </cell>
          <cell r="B563" t="str">
            <v>MAINTENANCE OF GENERAL PLANT</v>
          </cell>
          <cell r="C563">
            <v>5018017.12</v>
          </cell>
          <cell r="D563">
            <v>125291.37</v>
          </cell>
          <cell r="E563">
            <v>89285.17</v>
          </cell>
          <cell r="F563">
            <v>3635084.78</v>
          </cell>
          <cell r="G563">
            <v>494649.57</v>
          </cell>
          <cell r="H563">
            <v>672578.08</v>
          </cell>
          <cell r="I563">
            <v>692889.57</v>
          </cell>
          <cell r="J563">
            <v>289067.52000000002</v>
          </cell>
          <cell r="K563">
            <v>636367.35</v>
          </cell>
          <cell r="L563">
            <v>-140635.29</v>
          </cell>
          <cell r="M563">
            <v>143542.07</v>
          </cell>
          <cell r="N563">
            <v>3252618.79</v>
          </cell>
          <cell r="O563">
            <v>-326422.36</v>
          </cell>
          <cell r="P563">
            <v>9564316.620000001</v>
          </cell>
          <cell r="R563" t="str">
            <v>F93500E</v>
          </cell>
          <cell r="S563">
            <v>9564316.6199999992</v>
          </cell>
          <cell r="T563">
            <v>14582333.740000002</v>
          </cell>
        </row>
        <row r="564">
          <cell r="A564" t="str">
            <v>F93500G</v>
          </cell>
          <cell r="B564" t="str">
            <v>MAINTENANCE OF GENERAL PLANT</v>
          </cell>
          <cell r="C564">
            <v>1861855.11</v>
          </cell>
          <cell r="D564">
            <v>46390</v>
          </cell>
          <cell r="E564">
            <v>33560.17</v>
          </cell>
          <cell r="F564">
            <v>1187562.75</v>
          </cell>
          <cell r="G564">
            <v>158916.20000000001</v>
          </cell>
          <cell r="H564">
            <v>221785.15</v>
          </cell>
          <cell r="I564">
            <v>221930.54</v>
          </cell>
          <cell r="J564">
            <v>106467.22</v>
          </cell>
          <cell r="K564">
            <v>210263.18</v>
          </cell>
          <cell r="L564">
            <v>-18078.38</v>
          </cell>
          <cell r="M564">
            <v>98597.18</v>
          </cell>
          <cell r="N564">
            <v>1050179.77</v>
          </cell>
          <cell r="O564">
            <v>-114230.36</v>
          </cell>
          <cell r="P564">
            <v>3203343.4200000004</v>
          </cell>
          <cell r="R564" t="str">
            <v>F93500G</v>
          </cell>
          <cell r="S564">
            <v>3203343.42</v>
          </cell>
          <cell r="T564">
            <v>5065198.53</v>
          </cell>
        </row>
        <row r="565">
          <cell r="A565" t="str">
            <v>F93510E</v>
          </cell>
          <cell r="B565" t="str">
            <v>MAINT OF GENERAL PLA</v>
          </cell>
          <cell r="C565">
            <v>0</v>
          </cell>
          <cell r="F565">
            <v>139892.78</v>
          </cell>
          <cell r="G565">
            <v>134200.25</v>
          </cell>
          <cell r="H565">
            <v>153760.20000000001</v>
          </cell>
          <cell r="I565">
            <v>146266.37</v>
          </cell>
          <cell r="J565">
            <v>79686.990000000005</v>
          </cell>
          <cell r="K565">
            <v>195200.63</v>
          </cell>
          <cell r="L565">
            <v>130239.07</v>
          </cell>
          <cell r="M565">
            <v>180744.7</v>
          </cell>
          <cell r="N565">
            <v>162236.26</v>
          </cell>
          <cell r="O565">
            <v>-155937.66</v>
          </cell>
          <cell r="P565">
            <v>1166289.5900000001</v>
          </cell>
          <cell r="R565" t="str">
            <v>F93510E</v>
          </cell>
          <cell r="S565">
            <v>1166289.5900000001</v>
          </cell>
          <cell r="T565">
            <v>1166289.5900000001</v>
          </cell>
        </row>
        <row r="566">
          <cell r="A566" t="str">
            <v>F93510G</v>
          </cell>
          <cell r="B566" t="str">
            <v>MAINT OF GENERAL PLA</v>
          </cell>
          <cell r="C566">
            <v>0</v>
          </cell>
          <cell r="F566">
            <v>54439.31</v>
          </cell>
          <cell r="G566">
            <v>59369.97</v>
          </cell>
          <cell r="H566">
            <v>70337.25</v>
          </cell>
          <cell r="I566">
            <v>71869</v>
          </cell>
          <cell r="J566">
            <v>40833.839999999997</v>
          </cell>
          <cell r="K566">
            <v>70927.759999999995</v>
          </cell>
          <cell r="L566">
            <v>47789.81</v>
          </cell>
          <cell r="M566">
            <v>67969.53</v>
          </cell>
          <cell r="N566">
            <v>63412.05</v>
          </cell>
          <cell r="O566">
            <v>-44119.46</v>
          </cell>
          <cell r="P566">
            <v>502829.06</v>
          </cell>
          <cell r="R566" t="str">
            <v>F93510G</v>
          </cell>
          <cell r="S566">
            <v>502829.06</v>
          </cell>
          <cell r="T566">
            <v>502829.06</v>
          </cell>
        </row>
        <row r="567">
          <cell r="A567" t="str">
            <v>F99970C</v>
          </cell>
          <cell r="B567" t="str">
            <v>NEGATIVE ADJUSTMENTS - DEBITS</v>
          </cell>
          <cell r="C567">
            <v>157431529.81</v>
          </cell>
          <cell r="P567">
            <v>0</v>
          </cell>
          <cell r="T567">
            <v>157431529.81</v>
          </cell>
        </row>
        <row r="568">
          <cell r="A568" t="str">
            <v>F99980C</v>
          </cell>
          <cell r="B568" t="str">
            <v>NEGATIVE ADJUSTMENTS - CREDITS</v>
          </cell>
          <cell r="C568">
            <v>-157431530.09999999</v>
          </cell>
          <cell r="P568">
            <v>0</v>
          </cell>
          <cell r="T568">
            <v>-157431530.09999999</v>
          </cell>
        </row>
        <row r="569">
          <cell r="A569" t="str">
            <v>F99990C</v>
          </cell>
          <cell r="B569" t="str">
            <v>PROFIT AND LOSS OFFSET ACCOUNT</v>
          </cell>
          <cell r="C569">
            <v>-2301782163.4099998</v>
          </cell>
          <cell r="D569">
            <v>-157155358.80000001</v>
          </cell>
          <cell r="E569">
            <v>-138626620.53999999</v>
          </cell>
          <cell r="F569">
            <v>-74626079.819999993</v>
          </cell>
          <cell r="G569">
            <v>-153404742.99000001</v>
          </cell>
          <cell r="H569">
            <v>-126048660.31999999</v>
          </cell>
          <cell r="I569">
            <v>-144184757.47999999</v>
          </cell>
          <cell r="J569">
            <v>-69436746.409999996</v>
          </cell>
          <cell r="K569">
            <v>-53674350.009999998</v>
          </cell>
          <cell r="L569">
            <v>-59345004.729999997</v>
          </cell>
          <cell r="M569">
            <v>-52801201.560000002</v>
          </cell>
          <cell r="N569">
            <v>-60007801.289999999</v>
          </cell>
          <cell r="O569">
            <v>-84630818.980000004</v>
          </cell>
          <cell r="P569">
            <v>-1173942142.9300001</v>
          </cell>
          <cell r="R569" t="str">
            <v>F99990C</v>
          </cell>
          <cell r="S569">
            <v>-1173942142.9300001</v>
          </cell>
          <cell r="T569">
            <v>-3475724306.3400002</v>
          </cell>
        </row>
        <row r="570">
          <cell r="A570" t="str">
            <v>FERROR1</v>
          </cell>
          <cell r="B570" t="str">
            <v>FERC FLOW OF COSTS TRACE ERRORS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-2192.92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-2192.92</v>
          </cell>
          <cell r="R570" t="str">
            <v>FERROR1</v>
          </cell>
          <cell r="S570">
            <v>-2192.92</v>
          </cell>
          <cell r="T570">
            <v>-2192.92</v>
          </cell>
        </row>
      </sheetData>
      <sheetData sheetId="2">
        <row r="4">
          <cell r="A4" t="str">
            <v>F10000C</v>
          </cell>
          <cell r="B4" t="str">
            <v>PLANT IN SERVICE</v>
          </cell>
          <cell r="C4">
            <v>12.3</v>
          </cell>
          <cell r="P4">
            <v>0</v>
          </cell>
          <cell r="Q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4359063000.5500002</v>
          </cell>
          <cell r="D5">
            <v>8923054.1300000008</v>
          </cell>
          <cell r="E5">
            <v>17813255.18</v>
          </cell>
          <cell r="F5">
            <v>8531101.6099999994</v>
          </cell>
          <cell r="G5">
            <v>13896487.060000001</v>
          </cell>
          <cell r="H5">
            <v>6394441.9500000002</v>
          </cell>
          <cell r="I5">
            <v>17478135.719999999</v>
          </cell>
          <cell r="J5">
            <v>9358646.8000000007</v>
          </cell>
          <cell r="K5">
            <v>26825246.260000002</v>
          </cell>
          <cell r="L5">
            <v>14427979.560000001</v>
          </cell>
          <cell r="M5">
            <v>18699728.23</v>
          </cell>
          <cell r="N5">
            <v>11167739.59</v>
          </cell>
          <cell r="O5">
            <v>14124147.59</v>
          </cell>
          <cell r="P5">
            <v>167639963.68000001</v>
          </cell>
          <cell r="Q5">
            <v>4526702964.2300014</v>
          </cell>
        </row>
        <row r="6">
          <cell r="A6" t="str">
            <v>F10100G</v>
          </cell>
          <cell r="B6" t="str">
            <v>PLANT IN SERVICE</v>
          </cell>
          <cell r="C6">
            <v>902673914.84000003</v>
          </cell>
          <cell r="D6">
            <v>1939195.87</v>
          </cell>
          <cell r="E6">
            <v>1388389.44</v>
          </cell>
          <cell r="F6">
            <v>1356332.8</v>
          </cell>
          <cell r="G6">
            <v>991225.63</v>
          </cell>
          <cell r="H6">
            <v>224725.35</v>
          </cell>
          <cell r="I6">
            <v>2398526.91</v>
          </cell>
          <cell r="J6">
            <v>1351132.22</v>
          </cell>
          <cell r="K6">
            <v>2463206.71</v>
          </cell>
          <cell r="L6">
            <v>2028097.12</v>
          </cell>
          <cell r="M6">
            <v>3120780.29</v>
          </cell>
          <cell r="N6">
            <v>746946.87</v>
          </cell>
          <cell r="O6">
            <v>4243717.04</v>
          </cell>
          <cell r="P6">
            <v>22252276.25</v>
          </cell>
          <cell r="Q6">
            <v>924926191.09000003</v>
          </cell>
        </row>
        <row r="7">
          <cell r="A7" t="str">
            <v>F10200E</v>
          </cell>
          <cell r="B7" t="str">
            <v>PLANT PURCHASED OR SOLD</v>
          </cell>
          <cell r="C7">
            <v>247503.86</v>
          </cell>
          <cell r="D7">
            <v>687.09</v>
          </cell>
          <cell r="E7">
            <v>73.06</v>
          </cell>
          <cell r="F7">
            <v>-929.25</v>
          </cell>
          <cell r="G7">
            <v>0</v>
          </cell>
          <cell r="H7">
            <v>-749197.14</v>
          </cell>
          <cell r="I7">
            <v>2589.69</v>
          </cell>
          <cell r="J7">
            <v>3680.99</v>
          </cell>
          <cell r="K7">
            <v>-22367623.649999999</v>
          </cell>
          <cell r="L7">
            <v>22831316.41</v>
          </cell>
          <cell r="M7">
            <v>182.06</v>
          </cell>
          <cell r="N7">
            <v>-15615.16</v>
          </cell>
          <cell r="O7">
            <v>37100</v>
          </cell>
          <cell r="P7">
            <v>-257735.899999997</v>
          </cell>
          <cell r="Q7">
            <v>-10232.039999997614</v>
          </cell>
        </row>
        <row r="8">
          <cell r="A8" t="str">
            <v>F10500C</v>
          </cell>
          <cell r="B8" t="str">
            <v>HELD FOR FUTURE USE</v>
          </cell>
          <cell r="C8">
            <v>206638.57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1534.23</v>
          </cell>
          <cell r="M8">
            <v>-113435.26</v>
          </cell>
          <cell r="N8">
            <v>0</v>
          </cell>
          <cell r="O8">
            <v>0</v>
          </cell>
          <cell r="P8">
            <v>-111901.03</v>
          </cell>
          <cell r="Q8">
            <v>94737.540000000023</v>
          </cell>
        </row>
        <row r="9">
          <cell r="A9" t="str">
            <v>F10700C</v>
          </cell>
          <cell r="B9" t="str">
            <v>CONSTRUCTION WORK IN PROGRESS</v>
          </cell>
          <cell r="C9">
            <v>66752772.450000003</v>
          </cell>
          <cell r="D9">
            <v>761013.92</v>
          </cell>
          <cell r="E9">
            <v>17269.04</v>
          </cell>
          <cell r="F9">
            <v>14264266.609999999</v>
          </cell>
          <cell r="G9">
            <v>2948685.23</v>
          </cell>
          <cell r="H9">
            <v>15601202.970000001</v>
          </cell>
          <cell r="I9">
            <v>-143217.17000000001</v>
          </cell>
          <cell r="J9">
            <v>3850803.64</v>
          </cell>
          <cell r="K9">
            <v>-10003226</v>
          </cell>
          <cell r="L9">
            <v>965109.75</v>
          </cell>
          <cell r="M9">
            <v>354685</v>
          </cell>
          <cell r="N9">
            <v>10810061.42</v>
          </cell>
          <cell r="O9">
            <v>16604262.539999999</v>
          </cell>
          <cell r="P9">
            <v>56030916.950000003</v>
          </cell>
          <cell r="Q9">
            <v>122783689.40000001</v>
          </cell>
        </row>
        <row r="10">
          <cell r="A10" t="str">
            <v>F10700E</v>
          </cell>
          <cell r="B10" t="str">
            <v>CONSTRUCTION WORK IN PROGRESS</v>
          </cell>
          <cell r="C10">
            <v>-16004409.15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3.21</v>
          </cell>
          <cell r="N10">
            <v>0</v>
          </cell>
          <cell r="O10">
            <v>0</v>
          </cell>
          <cell r="P10">
            <v>3.21</v>
          </cell>
          <cell r="Q10">
            <v>-16004405.939999999</v>
          </cell>
        </row>
        <row r="11">
          <cell r="A11" t="str">
            <v>F10700G</v>
          </cell>
          <cell r="B11" t="str">
            <v>CONSTRUCTION WORK IN PROGRESS</v>
          </cell>
          <cell r="C11">
            <v>-647290.03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0.31</v>
          </cell>
          <cell r="N11">
            <v>0</v>
          </cell>
          <cell r="O11">
            <v>0</v>
          </cell>
          <cell r="P11">
            <v>0.31</v>
          </cell>
          <cell r="Q11">
            <v>-647289.72</v>
          </cell>
        </row>
        <row r="12">
          <cell r="A12" t="str">
            <v>F10800E</v>
          </cell>
          <cell r="B12" t="str">
            <v>ACCUMULATED PROVISION FOR DEPRECIATION</v>
          </cell>
          <cell r="C12">
            <v>-2866821116.1799998</v>
          </cell>
          <cell r="D12">
            <v>-9798776.4700000007</v>
          </cell>
          <cell r="E12">
            <v>1013513.3</v>
          </cell>
          <cell r="F12">
            <v>11551869.58</v>
          </cell>
          <cell r="G12">
            <v>-9164383.7100000009</v>
          </cell>
          <cell r="H12">
            <v>-8904699.5099999998</v>
          </cell>
          <cell r="I12">
            <v>-34655621.270000003</v>
          </cell>
          <cell r="J12">
            <v>-8008746.7300000004</v>
          </cell>
          <cell r="K12">
            <v>-9019727.5800000001</v>
          </cell>
          <cell r="L12">
            <v>-33334542.34</v>
          </cell>
          <cell r="M12">
            <v>-8733974.4499999993</v>
          </cell>
          <cell r="N12">
            <v>-10257706.539999999</v>
          </cell>
          <cell r="O12">
            <v>24287451.600000001</v>
          </cell>
          <cell r="P12">
            <v>-95025344.120000005</v>
          </cell>
          <cell r="Q12">
            <v>-2961846460.2999997</v>
          </cell>
        </row>
        <row r="13">
          <cell r="A13" t="str">
            <v>F10800G</v>
          </cell>
          <cell r="B13" t="str">
            <v>ACCUMULATED PROVISION FOR DEPRECIATION</v>
          </cell>
          <cell r="C13">
            <v>-456825922.41000003</v>
          </cell>
          <cell r="D13">
            <v>-2626024.7400000002</v>
          </cell>
          <cell r="E13">
            <v>-2523023.62</v>
          </cell>
          <cell r="F13">
            <v>-2540057.65</v>
          </cell>
          <cell r="G13">
            <v>-2695305.39</v>
          </cell>
          <cell r="H13">
            <v>-2377155.85</v>
          </cell>
          <cell r="I13">
            <v>-2762115.41</v>
          </cell>
          <cell r="J13">
            <v>-2585614.27</v>
          </cell>
          <cell r="K13">
            <v>-2266329.7200000002</v>
          </cell>
          <cell r="L13">
            <v>-2482727.8199999998</v>
          </cell>
          <cell r="M13">
            <v>-2570901.35</v>
          </cell>
          <cell r="N13">
            <v>-2654328.46</v>
          </cell>
          <cell r="O13">
            <v>-2704259.29</v>
          </cell>
          <cell r="P13">
            <v>-30787843.57</v>
          </cell>
          <cell r="Q13">
            <v>-487613765.98000008</v>
          </cell>
        </row>
        <row r="14">
          <cell r="A14" t="str">
            <v>F11100C</v>
          </cell>
          <cell r="B14" t="str">
            <v>ACCUMULATED PROVISION FOR AMORTIZATION</v>
          </cell>
          <cell r="C14">
            <v>-61685746.5</v>
          </cell>
          <cell r="D14">
            <v>-597489.42000000004</v>
          </cell>
          <cell r="E14">
            <v>-598012.42000000004</v>
          </cell>
          <cell r="F14">
            <v>-629271.6</v>
          </cell>
          <cell r="G14">
            <v>-562359.01</v>
          </cell>
          <cell r="H14">
            <v>-615542.79</v>
          </cell>
          <cell r="I14">
            <v>-674864.88</v>
          </cell>
          <cell r="J14">
            <v>-623899.72</v>
          </cell>
          <cell r="K14">
            <v>-621363.39</v>
          </cell>
          <cell r="L14">
            <v>-653528.67000000004</v>
          </cell>
          <cell r="M14">
            <v>-621294.76</v>
          </cell>
          <cell r="N14">
            <v>-623335.02</v>
          </cell>
          <cell r="O14">
            <v>-499147.55</v>
          </cell>
          <cell r="P14">
            <v>-7320109.2299999995</v>
          </cell>
          <cell r="Q14">
            <v>-69005855.730000004</v>
          </cell>
        </row>
        <row r="15">
          <cell r="A15" t="str">
            <v>F11100E</v>
          </cell>
          <cell r="B15" t="str">
            <v>ACCUMULATED PROVISION FOR AMORTIZATION</v>
          </cell>
          <cell r="C15">
            <v>210561.22</v>
          </cell>
          <cell r="D15">
            <v>111939.58</v>
          </cell>
          <cell r="E15">
            <v>-140951.81</v>
          </cell>
          <cell r="F15">
            <v>-141824.57999999999</v>
          </cell>
          <cell r="G15">
            <v>-141110.73000000001</v>
          </cell>
          <cell r="H15">
            <v>-142078.81</v>
          </cell>
          <cell r="I15">
            <v>-7523.69</v>
          </cell>
          <cell r="J15">
            <v>-19962.14</v>
          </cell>
          <cell r="K15">
            <v>-178017.89</v>
          </cell>
          <cell r="L15">
            <v>-168546.78</v>
          </cell>
          <cell r="M15">
            <v>-172993.87</v>
          </cell>
          <cell r="N15">
            <v>-172560.01</v>
          </cell>
          <cell r="O15">
            <v>-186988.38</v>
          </cell>
          <cell r="P15">
            <v>-1360619.1099999999</v>
          </cell>
          <cell r="Q15">
            <v>-1150057.8900000001</v>
          </cell>
        </row>
        <row r="16">
          <cell r="A16" t="str">
            <v>F11100G</v>
          </cell>
          <cell r="B16" t="str">
            <v>ACCUMULATED PROVISION FOR AMORTIZATION</v>
          </cell>
          <cell r="C16">
            <v>-430624.83</v>
          </cell>
          <cell r="D16">
            <v>-27590.11</v>
          </cell>
          <cell r="E16">
            <v>-24985.360000000001</v>
          </cell>
          <cell r="F16">
            <v>-24992.85</v>
          </cell>
          <cell r="G16">
            <v>-25000.83</v>
          </cell>
          <cell r="H16">
            <v>-24802.94</v>
          </cell>
          <cell r="I16">
            <v>-17290.32</v>
          </cell>
          <cell r="J16">
            <v>-23688.07</v>
          </cell>
          <cell r="K16">
            <v>-23713.52</v>
          </cell>
          <cell r="L16">
            <v>-23609.98</v>
          </cell>
          <cell r="M16">
            <v>-23569.03</v>
          </cell>
          <cell r="N16">
            <v>-22604.720000000001</v>
          </cell>
          <cell r="O16">
            <v>-23579.14</v>
          </cell>
          <cell r="P16">
            <v>-285426.87</v>
          </cell>
          <cell r="Q16">
            <v>-716051.69999999984</v>
          </cell>
        </row>
        <row r="17">
          <cell r="A17" t="str">
            <v>F11800C</v>
          </cell>
          <cell r="B17" t="str">
            <v>OTHER UTILITY PLANT</v>
          </cell>
          <cell r="C17">
            <v>244763183.05000001</v>
          </cell>
          <cell r="D17">
            <v>92080.01</v>
          </cell>
          <cell r="E17">
            <v>411453.67</v>
          </cell>
          <cell r="F17">
            <v>298140.98</v>
          </cell>
          <cell r="G17">
            <v>2449109.6</v>
          </cell>
          <cell r="H17">
            <v>4288574.07</v>
          </cell>
          <cell r="I17">
            <v>-4585901.1500000004</v>
          </cell>
          <cell r="J17">
            <v>878611.26</v>
          </cell>
          <cell r="K17">
            <v>-6324026.4699999997</v>
          </cell>
          <cell r="L17">
            <v>1714721.6</v>
          </cell>
          <cell r="M17">
            <v>340822.77</v>
          </cell>
          <cell r="N17">
            <v>3236775.56</v>
          </cell>
          <cell r="O17">
            <v>926198.83</v>
          </cell>
          <cell r="P17">
            <v>3726560.73</v>
          </cell>
          <cell r="Q17">
            <v>248489743.77999997</v>
          </cell>
        </row>
        <row r="18">
          <cell r="A18" t="str">
            <v>F11830C</v>
          </cell>
          <cell r="B18" t="str">
            <v>OTHER UTILITY PLANT CWIP</v>
          </cell>
          <cell r="C18">
            <v>15903683.93</v>
          </cell>
          <cell r="D18">
            <v>-1019664.18</v>
          </cell>
          <cell r="E18">
            <v>1406995.99</v>
          </cell>
          <cell r="F18">
            <v>-1584503.24</v>
          </cell>
          <cell r="G18">
            <v>-465984.68</v>
          </cell>
          <cell r="H18">
            <v>-3263945.76</v>
          </cell>
          <cell r="I18">
            <v>318575.42</v>
          </cell>
          <cell r="J18">
            <v>680306.91</v>
          </cell>
          <cell r="K18">
            <v>3425953.75</v>
          </cell>
          <cell r="L18">
            <v>1101268.92</v>
          </cell>
          <cell r="M18">
            <v>3345797.53</v>
          </cell>
          <cell r="N18">
            <v>388504.22</v>
          </cell>
          <cell r="O18">
            <v>10188753.220000001</v>
          </cell>
          <cell r="P18">
            <v>14522058.100000001</v>
          </cell>
          <cell r="Q18">
            <v>30425742.030000001</v>
          </cell>
        </row>
        <row r="19">
          <cell r="A19" t="str">
            <v>F11900C</v>
          </cell>
          <cell r="B19" t="str">
            <v>ACCUM AMORT-OTHER UTILITY PLANT</v>
          </cell>
          <cell r="C19">
            <v>-53177678.810000002</v>
          </cell>
          <cell r="D19">
            <v>-1135913.29</v>
          </cell>
          <cell r="E19">
            <v>-1173581.0900000001</v>
          </cell>
          <cell r="F19">
            <v>-1143937.54</v>
          </cell>
          <cell r="G19">
            <v>-1095291.1100000001</v>
          </cell>
          <cell r="H19">
            <v>-1151424.31</v>
          </cell>
          <cell r="I19">
            <v>3954321.8</v>
          </cell>
          <cell r="J19">
            <v>-1054294.51</v>
          </cell>
          <cell r="K19">
            <v>4221699.32</v>
          </cell>
          <cell r="L19">
            <v>-1060514.44</v>
          </cell>
          <cell r="M19">
            <v>-945869.54</v>
          </cell>
          <cell r="N19">
            <v>-1111430.3</v>
          </cell>
          <cell r="O19">
            <v>-1012637.88</v>
          </cell>
          <cell r="P19">
            <v>-2708872.8899999997</v>
          </cell>
          <cell r="Q19">
            <v>-55886551.700000003</v>
          </cell>
        </row>
        <row r="20">
          <cell r="A20" t="str">
            <v>F12060E</v>
          </cell>
          <cell r="B20" t="str">
            <v>NUCLEAR FUEL UNDER CAPITAL LEASES-ACC D</v>
          </cell>
          <cell r="C20">
            <v>-24440227</v>
          </cell>
          <cell r="D20">
            <v>-1093835</v>
          </cell>
          <cell r="E20">
            <v>-1157053</v>
          </cell>
          <cell r="F20">
            <v>-1237987</v>
          </cell>
          <cell r="G20">
            <v>-1310349</v>
          </cell>
          <cell r="H20">
            <v>-1358569</v>
          </cell>
          <cell r="I20">
            <v>-1308365</v>
          </cell>
          <cell r="J20">
            <v>-1353460</v>
          </cell>
          <cell r="K20">
            <v>-1352868</v>
          </cell>
          <cell r="L20">
            <v>-1307734</v>
          </cell>
          <cell r="M20">
            <v>-636332.72</v>
          </cell>
          <cell r="N20">
            <v>-776685</v>
          </cell>
          <cell r="O20">
            <v>-1025568.2</v>
          </cell>
          <cell r="P20">
            <v>-13918805.92</v>
          </cell>
          <cell r="Q20">
            <v>-38359032.920000002</v>
          </cell>
        </row>
        <row r="21">
          <cell r="A21" t="str">
            <v>F12061E</v>
          </cell>
          <cell r="B21" t="str">
            <v>NUCLEAR FUEL UNDER CAPITAL LEASES-CWIP</v>
          </cell>
          <cell r="C21">
            <v>2920333.64</v>
          </cell>
          <cell r="D21">
            <v>766899.28</v>
          </cell>
          <cell r="E21">
            <v>-11884.86</v>
          </cell>
          <cell r="F21">
            <v>33742.47</v>
          </cell>
          <cell r="G21">
            <v>474067.19</v>
          </cell>
          <cell r="H21">
            <v>-3081772.66</v>
          </cell>
          <cell r="I21">
            <v>-2850416.28</v>
          </cell>
          <cell r="J21">
            <v>4801.8100000000004</v>
          </cell>
          <cell r="K21">
            <v>394036.66</v>
          </cell>
          <cell r="L21">
            <v>5697365.1699999999</v>
          </cell>
          <cell r="M21">
            <v>12127.62</v>
          </cell>
          <cell r="N21">
            <v>1710073.62</v>
          </cell>
          <cell r="O21">
            <v>-379206.82</v>
          </cell>
          <cell r="P21">
            <v>2769833.2000000007</v>
          </cell>
          <cell r="Q21">
            <v>5690166.8399999999</v>
          </cell>
        </row>
        <row r="22">
          <cell r="A22" t="str">
            <v>F12063E</v>
          </cell>
          <cell r="B22" t="str">
            <v>NUCLEAR FUEL UNDER CAPITAL LEASES-PLANT</v>
          </cell>
          <cell r="C22">
            <v>44120401.020000003</v>
          </cell>
          <cell r="D22">
            <v>1089782.51</v>
          </cell>
          <cell r="E22">
            <v>0</v>
          </cell>
          <cell r="F22">
            <v>0</v>
          </cell>
          <cell r="G22">
            <v>0</v>
          </cell>
          <cell r="H22">
            <v>3085653.59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6786176.9500000002</v>
          </cell>
          <cell r="P22">
            <v>10961613.050000001</v>
          </cell>
          <cell r="Q22">
            <v>55082014.070000008</v>
          </cell>
        </row>
        <row r="23">
          <cell r="A23" t="str">
            <v>F12100C</v>
          </cell>
          <cell r="B23" t="str">
            <v>NONUTILITY PROPERTY</v>
          </cell>
          <cell r="C23">
            <v>2197421.36</v>
          </cell>
          <cell r="D23">
            <v>-867846.7</v>
          </cell>
          <cell r="E23">
            <v>1722909.7</v>
          </cell>
          <cell r="F23">
            <v>-615306.54</v>
          </cell>
          <cell r="G23">
            <v>-749341.07</v>
          </cell>
          <cell r="H23">
            <v>1191134.8400000001</v>
          </cell>
          <cell r="I23">
            <v>-18534.169999999998</v>
          </cell>
          <cell r="J23">
            <v>87195.95</v>
          </cell>
          <cell r="K23">
            <v>-257816.55</v>
          </cell>
          <cell r="L23">
            <v>943.61</v>
          </cell>
          <cell r="M23">
            <v>-6395.83</v>
          </cell>
          <cell r="N23">
            <v>-58759.86</v>
          </cell>
          <cell r="O23">
            <v>2316.5300000000002</v>
          </cell>
          <cell r="P23">
            <v>430499.91000000003</v>
          </cell>
          <cell r="Q23">
            <v>2627921.27</v>
          </cell>
        </row>
        <row r="24">
          <cell r="A24" t="str">
            <v>F12200C</v>
          </cell>
          <cell r="B24" t="str">
            <v>ACCUM. PROV. FOR DEPR. AND AMORT.</v>
          </cell>
          <cell r="C24">
            <v>-308210.62</v>
          </cell>
          <cell r="D24">
            <v>-12720.57</v>
          </cell>
          <cell r="E24">
            <v>4029.42</v>
          </cell>
          <cell r="F24">
            <v>-12720.57</v>
          </cell>
          <cell r="G24">
            <v>-12863.22</v>
          </cell>
          <cell r="H24">
            <v>-12756.23</v>
          </cell>
          <cell r="I24">
            <v>-12756.25</v>
          </cell>
          <cell r="J24">
            <v>-12756.22</v>
          </cell>
          <cell r="K24">
            <v>-12756.23</v>
          </cell>
          <cell r="L24">
            <v>-12756.24</v>
          </cell>
          <cell r="M24">
            <v>-12756.23</v>
          </cell>
          <cell r="N24">
            <v>-12756.24</v>
          </cell>
          <cell r="O24">
            <v>-12756.23</v>
          </cell>
          <cell r="P24">
            <v>-136324.81</v>
          </cell>
          <cell r="Q24">
            <v>-444535.42999999988</v>
          </cell>
        </row>
        <row r="25">
          <cell r="A25" t="str">
            <v>F12310C</v>
          </cell>
          <cell r="B25" t="str">
            <v>INVESTMENT IN SUBSIDIARY COMPANIES</v>
          </cell>
          <cell r="C25">
            <v>3290000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3290000</v>
          </cell>
        </row>
        <row r="26">
          <cell r="A26" t="str">
            <v>F12400C</v>
          </cell>
          <cell r="B26" t="str">
            <v>OTHER INVESTMENTS</v>
          </cell>
          <cell r="C26">
            <v>2516379.9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-2505425</v>
          </cell>
          <cell r="P26">
            <v>-2505425</v>
          </cell>
          <cell r="Q26">
            <v>10954.899999999907</v>
          </cell>
        </row>
        <row r="27">
          <cell r="A27" t="str">
            <v>F12810C</v>
          </cell>
          <cell r="B27" t="str">
            <v>OTHER SPECIAL FUNDS-DEFERRED CHARGES</v>
          </cell>
          <cell r="C27">
            <v>-491331.27</v>
          </cell>
          <cell r="D27">
            <v>98267</v>
          </cell>
          <cell r="E27">
            <v>98267</v>
          </cell>
          <cell r="F27">
            <v>98267</v>
          </cell>
          <cell r="G27">
            <v>98267</v>
          </cell>
          <cell r="H27">
            <v>98267</v>
          </cell>
          <cell r="I27">
            <v>0</v>
          </cell>
          <cell r="J27">
            <v>227576</v>
          </cell>
          <cell r="K27">
            <v>-1241400.8999999999</v>
          </cell>
          <cell r="L27">
            <v>112647</v>
          </cell>
          <cell r="M27">
            <v>112647</v>
          </cell>
          <cell r="N27">
            <v>112647</v>
          </cell>
          <cell r="O27">
            <v>640471.92000000004</v>
          </cell>
          <cell r="P27">
            <v>455923.02000000014</v>
          </cell>
          <cell r="Q27">
            <v>-35408.249999999884</v>
          </cell>
        </row>
        <row r="28">
          <cell r="A28" t="str">
            <v>F12820C</v>
          </cell>
          <cell r="B28" t="str">
            <v>OTHER SPECIAL FUNDS-SONGS DECOMM</v>
          </cell>
          <cell r="C28">
            <v>551317114</v>
          </cell>
          <cell r="D28">
            <v>411400</v>
          </cell>
          <cell r="E28">
            <v>410600</v>
          </cell>
          <cell r="F28">
            <v>-7198128</v>
          </cell>
          <cell r="G28">
            <v>410600</v>
          </cell>
          <cell r="H28">
            <v>410600</v>
          </cell>
          <cell r="I28">
            <v>5454586</v>
          </cell>
          <cell r="J28">
            <v>410600</v>
          </cell>
          <cell r="K28">
            <v>410600</v>
          </cell>
          <cell r="L28">
            <v>25933831.25</v>
          </cell>
          <cell r="M28">
            <v>410600</v>
          </cell>
          <cell r="N28">
            <v>410600</v>
          </cell>
          <cell r="O28">
            <v>-36039277.490000002</v>
          </cell>
          <cell r="P28">
            <v>-8563388.2400000021</v>
          </cell>
          <cell r="Q28">
            <v>542753725.75999999</v>
          </cell>
        </row>
        <row r="29">
          <cell r="A29" t="str">
            <v>F13100C</v>
          </cell>
          <cell r="B29" t="str">
            <v>CASH</v>
          </cell>
          <cell r="C29">
            <v>7366610.4699999997</v>
          </cell>
          <cell r="D29">
            <v>-376541.68</v>
          </cell>
          <cell r="E29">
            <v>491170.8</v>
          </cell>
          <cell r="F29">
            <v>-2530904.48</v>
          </cell>
          <cell r="G29">
            <v>-1489912.73</v>
          </cell>
          <cell r="H29">
            <v>5774736.0999999996</v>
          </cell>
          <cell r="I29">
            <v>-3433165.36</v>
          </cell>
          <cell r="J29">
            <v>-5501409.2000000002</v>
          </cell>
          <cell r="K29">
            <v>30583.54</v>
          </cell>
          <cell r="L29">
            <v>-204862.21</v>
          </cell>
          <cell r="M29">
            <v>136916.25</v>
          </cell>
          <cell r="N29">
            <v>833530.23</v>
          </cell>
          <cell r="O29">
            <v>1379452.11</v>
          </cell>
          <cell r="P29">
            <v>-4890406.63</v>
          </cell>
          <cell r="Q29">
            <v>2476203.8399999989</v>
          </cell>
        </row>
        <row r="30">
          <cell r="A30" t="str">
            <v>F13400C</v>
          </cell>
          <cell r="B30" t="str">
            <v>OTHER SPECIAL DEPOSITS</v>
          </cell>
          <cell r="C30">
            <v>187391.68</v>
          </cell>
          <cell r="D30">
            <v>7911412.7800000003</v>
          </cell>
          <cell r="E30">
            <v>8220660.7800000003</v>
          </cell>
          <cell r="F30">
            <v>-16281465.24</v>
          </cell>
          <cell r="G30">
            <v>7803819.4699999997</v>
          </cell>
          <cell r="H30">
            <v>7904989.0999999996</v>
          </cell>
          <cell r="I30">
            <v>-14523571.43</v>
          </cell>
          <cell r="J30">
            <v>6427968.3300000001</v>
          </cell>
          <cell r="K30">
            <v>-7896384.1699999999</v>
          </cell>
          <cell r="L30">
            <v>1115081.6499999999</v>
          </cell>
          <cell r="M30">
            <v>-361485</v>
          </cell>
          <cell r="N30">
            <v>1653141.76</v>
          </cell>
          <cell r="O30">
            <v>-2017842.54</v>
          </cell>
          <cell r="P30">
            <v>-43674.509999999078</v>
          </cell>
          <cell r="Q30">
            <v>143717.17000000086</v>
          </cell>
        </row>
        <row r="31">
          <cell r="A31" t="str">
            <v>F13500C</v>
          </cell>
          <cell r="B31" t="str">
            <v>WORKING FUND</v>
          </cell>
          <cell r="C31">
            <v>89840</v>
          </cell>
          <cell r="D31">
            <v>2800</v>
          </cell>
          <cell r="E31">
            <v>0</v>
          </cell>
          <cell r="F31">
            <v>-200</v>
          </cell>
          <cell r="G31">
            <v>-6000</v>
          </cell>
          <cell r="H31">
            <v>-2300</v>
          </cell>
          <cell r="I31">
            <v>-2500</v>
          </cell>
          <cell r="J31">
            <v>0</v>
          </cell>
          <cell r="K31">
            <v>0</v>
          </cell>
          <cell r="L31">
            <v>-3000</v>
          </cell>
          <cell r="M31">
            <v>0</v>
          </cell>
          <cell r="N31">
            <v>-850</v>
          </cell>
          <cell r="O31">
            <v>0</v>
          </cell>
          <cell r="P31">
            <v>-12050</v>
          </cell>
          <cell r="Q31">
            <v>77790</v>
          </cell>
        </row>
        <row r="32">
          <cell r="A32" t="str">
            <v>F13600C</v>
          </cell>
          <cell r="B32" t="str">
            <v>TEMPORARY CASH INVESTMENTS</v>
          </cell>
          <cell r="C32">
            <v>329288846.31999999</v>
          </cell>
          <cell r="D32">
            <v>-16765950.800000001</v>
          </cell>
          <cell r="E32">
            <v>465864812.97000003</v>
          </cell>
          <cell r="F32">
            <v>-428002647.16000003</v>
          </cell>
          <cell r="G32">
            <v>-7713984.6100000003</v>
          </cell>
          <cell r="H32">
            <v>18844996.309999999</v>
          </cell>
          <cell r="I32">
            <v>-59890810.810000002</v>
          </cell>
          <cell r="J32">
            <v>3004411.2</v>
          </cell>
          <cell r="K32">
            <v>-65726376.530000001</v>
          </cell>
          <cell r="L32">
            <v>-29524131.940000001</v>
          </cell>
          <cell r="M32">
            <v>-11554656.42</v>
          </cell>
          <cell r="N32">
            <v>-27366456.329999998</v>
          </cell>
          <cell r="O32">
            <v>82733476.920000002</v>
          </cell>
          <cell r="P32">
            <v>-76097317.200000003</v>
          </cell>
          <cell r="Q32">
            <v>253191529.12</v>
          </cell>
        </row>
        <row r="33">
          <cell r="A33" t="str">
            <v>F14200C</v>
          </cell>
          <cell r="B33" t="str">
            <v>CUSTOMER ACCOUNTS RECEIVABLE</v>
          </cell>
          <cell r="C33">
            <v>126186839.44</v>
          </cell>
          <cell r="D33">
            <v>4939984.05</v>
          </cell>
          <cell r="E33">
            <v>-203980.78</v>
          </cell>
          <cell r="F33">
            <v>-11153787.98</v>
          </cell>
          <cell r="G33">
            <v>-2078701.59</v>
          </cell>
          <cell r="H33">
            <v>-3852516.82</v>
          </cell>
          <cell r="I33">
            <v>26912612.82</v>
          </cell>
          <cell r="J33">
            <v>108806791.45999999</v>
          </cell>
          <cell r="K33">
            <v>15921394.880000001</v>
          </cell>
          <cell r="L33">
            <v>-23253804.18</v>
          </cell>
          <cell r="M33">
            <v>-55446763.479999997</v>
          </cell>
          <cell r="N33">
            <v>-175162604.78999999</v>
          </cell>
          <cell r="O33">
            <v>146011784.43000001</v>
          </cell>
          <cell r="P33">
            <v>31440408.020000011</v>
          </cell>
          <cell r="Q33">
            <v>157627247.45999998</v>
          </cell>
        </row>
        <row r="34">
          <cell r="A34" t="str">
            <v>F14300C</v>
          </cell>
          <cell r="B34" t="str">
            <v>OTHER ACCOUNTS RECEIVABLE</v>
          </cell>
          <cell r="C34">
            <v>12792775.060000001</v>
          </cell>
          <cell r="D34">
            <v>7458145.71</v>
          </cell>
          <cell r="E34">
            <v>3401176.95</v>
          </cell>
          <cell r="F34">
            <v>-3221584.91</v>
          </cell>
          <cell r="G34">
            <v>-593913.34</v>
          </cell>
          <cell r="H34">
            <v>-3154296.87</v>
          </cell>
          <cell r="I34">
            <v>4273524.0199999996</v>
          </cell>
          <cell r="J34">
            <v>-3161633.27</v>
          </cell>
          <cell r="K34">
            <v>-2842075.91</v>
          </cell>
          <cell r="L34">
            <v>865825.8</v>
          </cell>
          <cell r="M34">
            <v>806393.83</v>
          </cell>
          <cell r="N34">
            <v>8493392.5199999996</v>
          </cell>
          <cell r="O34">
            <v>19406864.969999999</v>
          </cell>
          <cell r="P34">
            <v>31731819.499999996</v>
          </cell>
          <cell r="Q34">
            <v>44524594.559999995</v>
          </cell>
        </row>
        <row r="35">
          <cell r="A35" t="str">
            <v>F14400C</v>
          </cell>
          <cell r="B35" t="str">
            <v>ACCUM. PROV. FOR UNCOLLECTIBLE ACCT.-CR</v>
          </cell>
          <cell r="C35">
            <v>-1916580.9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-3008957</v>
          </cell>
          <cell r="P35">
            <v>-3008957</v>
          </cell>
          <cell r="Q35">
            <v>-4925537.9000000004</v>
          </cell>
        </row>
        <row r="36">
          <cell r="A36" t="str">
            <v>F14500C</v>
          </cell>
          <cell r="B36" t="str">
            <v>NOTES REC FROM ASSOC</v>
          </cell>
          <cell r="C36">
            <v>612231941.45000005</v>
          </cell>
          <cell r="D36">
            <v>50546593.210000001</v>
          </cell>
          <cell r="E36">
            <v>-437565409.68000001</v>
          </cell>
          <cell r="F36">
            <v>267514538.66</v>
          </cell>
          <cell r="G36">
            <v>58613420.969999999</v>
          </cell>
          <cell r="H36">
            <v>1564931.04</v>
          </cell>
          <cell r="I36">
            <v>43352760.740000002</v>
          </cell>
          <cell r="J36">
            <v>1467537.11</v>
          </cell>
          <cell r="K36">
            <v>-76706366.530000001</v>
          </cell>
          <cell r="L36">
            <v>-212778469.34</v>
          </cell>
          <cell r="M36">
            <v>-11834038.33</v>
          </cell>
          <cell r="N36">
            <v>-47521912.770000003</v>
          </cell>
          <cell r="O36">
            <v>-229797797.46000001</v>
          </cell>
          <cell r="P36">
            <v>-593144212.38</v>
          </cell>
          <cell r="Q36">
            <v>19087729.070000112</v>
          </cell>
        </row>
        <row r="37">
          <cell r="A37" t="str">
            <v>F14600C</v>
          </cell>
          <cell r="B37" t="str">
            <v>ACCOUNTS RECEIVABLE FROM ASSOC. COMPANI</v>
          </cell>
          <cell r="C37">
            <v>-13981565.52</v>
          </cell>
          <cell r="D37">
            <v>-7357850.71</v>
          </cell>
          <cell r="E37">
            <v>-2831434.78</v>
          </cell>
          <cell r="F37">
            <v>1251840.22</v>
          </cell>
          <cell r="G37">
            <v>-2321183.5099999998</v>
          </cell>
          <cell r="H37">
            <v>-350230.29</v>
          </cell>
          <cell r="I37">
            <v>-5605572.6500000004</v>
          </cell>
          <cell r="J37">
            <v>2303708.54</v>
          </cell>
          <cell r="K37">
            <v>-12924253.630000001</v>
          </cell>
          <cell r="L37">
            <v>13021495.9</v>
          </cell>
          <cell r="M37">
            <v>16715502.9</v>
          </cell>
          <cell r="N37">
            <v>6943747.0700000003</v>
          </cell>
          <cell r="O37">
            <v>-10623975.25</v>
          </cell>
          <cell r="P37">
            <v>-1778206.1900000013</v>
          </cell>
          <cell r="Q37">
            <v>-15759771.710000006</v>
          </cell>
        </row>
        <row r="38">
          <cell r="A38" t="str">
            <v>F15200C</v>
          </cell>
          <cell r="B38" t="str">
            <v>FUEL STOCK EXPENSES UNDISTRIBUTED</v>
          </cell>
          <cell r="C38">
            <v>9069.2900000000009</v>
          </cell>
          <cell r="D38">
            <v>1797.09</v>
          </cell>
          <cell r="E38">
            <v>203</v>
          </cell>
          <cell r="F38">
            <v>7292.18</v>
          </cell>
          <cell r="G38">
            <v>1594.09</v>
          </cell>
          <cell r="H38">
            <v>1594.09</v>
          </cell>
          <cell r="I38">
            <v>-832.63</v>
          </cell>
          <cell r="J38">
            <v>2474.09</v>
          </cell>
          <cell r="K38">
            <v>1594.09</v>
          </cell>
          <cell r="L38">
            <v>1594.09</v>
          </cell>
          <cell r="M38">
            <v>0</v>
          </cell>
          <cell r="N38">
            <v>0</v>
          </cell>
          <cell r="O38">
            <v>0</v>
          </cell>
          <cell r="P38">
            <v>17310.09</v>
          </cell>
          <cell r="Q38">
            <v>26379.38</v>
          </cell>
        </row>
        <row r="39">
          <cell r="A39" t="str">
            <v>F15400C</v>
          </cell>
          <cell r="B39" t="str">
            <v>PLANT MATERIALS AND OPERATING SUPPLIES</v>
          </cell>
          <cell r="C39">
            <v>49379794</v>
          </cell>
          <cell r="D39">
            <v>-128220.3</v>
          </cell>
          <cell r="E39">
            <v>-9351307.9900000002</v>
          </cell>
          <cell r="F39">
            <v>1719579.13</v>
          </cell>
          <cell r="G39">
            <v>-94899.77</v>
          </cell>
          <cell r="H39">
            <v>-668810.1</v>
          </cell>
          <cell r="I39">
            <v>-1212489.02</v>
          </cell>
          <cell r="J39">
            <v>-141316.71</v>
          </cell>
          <cell r="K39">
            <v>1072325.3400000001</v>
          </cell>
          <cell r="L39">
            <v>233315.7</v>
          </cell>
          <cell r="M39">
            <v>445632.26</v>
          </cell>
          <cell r="N39">
            <v>-918256.77</v>
          </cell>
          <cell r="O39">
            <v>-1194572.96</v>
          </cell>
          <cell r="P39">
            <v>-10239021.190000001</v>
          </cell>
          <cell r="Q39">
            <v>39140772.809999995</v>
          </cell>
        </row>
        <row r="40">
          <cell r="A40" t="str">
            <v>F15600C</v>
          </cell>
          <cell r="B40" t="str">
            <v>OTHER MATERIALS AND SUPPLIES</v>
          </cell>
          <cell r="C40">
            <v>44452.7</v>
          </cell>
          <cell r="D40">
            <v>14758.49</v>
          </cell>
          <cell r="E40">
            <v>2157.23</v>
          </cell>
          <cell r="F40">
            <v>419.76</v>
          </cell>
          <cell r="G40">
            <v>517.63</v>
          </cell>
          <cell r="H40">
            <v>-29001.9</v>
          </cell>
          <cell r="I40">
            <v>1467.8</v>
          </cell>
          <cell r="J40">
            <v>-839.05</v>
          </cell>
          <cell r="K40">
            <v>409</v>
          </cell>
          <cell r="L40">
            <v>2458.87</v>
          </cell>
          <cell r="M40">
            <v>3170.11</v>
          </cell>
          <cell r="N40">
            <v>-1375.34</v>
          </cell>
          <cell r="O40">
            <v>632.91999999999996</v>
          </cell>
          <cell r="P40">
            <v>-5224.4800000000014</v>
          </cell>
          <cell r="Q40">
            <v>39228.22</v>
          </cell>
        </row>
        <row r="41">
          <cell r="A41" t="str">
            <v>F15700C</v>
          </cell>
          <cell r="B41" t="str">
            <v>NUCLEAR MATERIALS HELD FOR SALE</v>
          </cell>
          <cell r="C41">
            <v>134.83000000000001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-134.83000000000001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-134.83000000000001</v>
          </cell>
          <cell r="Q41">
            <v>0</v>
          </cell>
        </row>
        <row r="42">
          <cell r="A42" t="str">
            <v>F16300C</v>
          </cell>
          <cell r="B42" t="str">
            <v>STORES EXPENSE UNDISTRIBUTED</v>
          </cell>
          <cell r="C42">
            <v>1087840.74</v>
          </cell>
          <cell r="D42">
            <v>-1114214.96</v>
          </cell>
          <cell r="E42">
            <v>-128938.81</v>
          </cell>
          <cell r="F42">
            <v>54071.76</v>
          </cell>
          <cell r="G42">
            <v>-63964.2</v>
          </cell>
          <cell r="H42">
            <v>-110301.61</v>
          </cell>
          <cell r="I42">
            <v>-30628.78</v>
          </cell>
          <cell r="J42">
            <v>-77825.81</v>
          </cell>
          <cell r="K42">
            <v>141854.47</v>
          </cell>
          <cell r="L42">
            <v>-245123.65</v>
          </cell>
          <cell r="M42">
            <v>31778.73</v>
          </cell>
          <cell r="N42">
            <v>-228926.31</v>
          </cell>
          <cell r="O42">
            <v>-586369.93999999994</v>
          </cell>
          <cell r="P42">
            <v>-2358589.1100000003</v>
          </cell>
          <cell r="Q42">
            <v>-1270748.3699999999</v>
          </cell>
        </row>
        <row r="43">
          <cell r="A43" t="str">
            <v>F16410C</v>
          </cell>
          <cell r="B43" t="str">
            <v>GAS STORED UNDERGROUND-CURRENT</v>
          </cell>
          <cell r="C43">
            <v>10628148.289999999</v>
          </cell>
          <cell r="D43">
            <v>-5934141.5099999998</v>
          </cell>
          <cell r="E43">
            <v>-3600205.86</v>
          </cell>
          <cell r="F43">
            <v>-892068.5</v>
          </cell>
          <cell r="G43">
            <v>2886969.26</v>
          </cell>
          <cell r="H43">
            <v>2410531.8399999999</v>
          </cell>
          <cell r="I43">
            <v>1362698.48</v>
          </cell>
          <cell r="J43">
            <v>3294968.3</v>
          </cell>
          <cell r="K43">
            <v>-3374104.39</v>
          </cell>
          <cell r="L43">
            <v>15179759.300000001</v>
          </cell>
          <cell r="M43">
            <v>9371772.8399999999</v>
          </cell>
          <cell r="N43">
            <v>-8054147.3899999997</v>
          </cell>
          <cell r="O43">
            <v>-11205968.74</v>
          </cell>
          <cell r="P43">
            <v>1446063.6300000008</v>
          </cell>
          <cell r="Q43">
            <v>12074211.92</v>
          </cell>
        </row>
        <row r="44">
          <cell r="A44" t="str">
            <v>F16500C</v>
          </cell>
          <cell r="B44" t="str">
            <v>PREPAYMENTS</v>
          </cell>
          <cell r="C44">
            <v>4977554.13</v>
          </cell>
          <cell r="D44">
            <v>-282340.25</v>
          </cell>
          <cell r="E44">
            <v>-1074038.55</v>
          </cell>
          <cell r="F44">
            <v>-293898.49</v>
          </cell>
          <cell r="G44">
            <v>4731398.68</v>
          </cell>
          <cell r="H44">
            <v>-2834964.95</v>
          </cell>
          <cell r="I44">
            <v>-2725202.24</v>
          </cell>
          <cell r="J44">
            <v>2299201.79</v>
          </cell>
          <cell r="K44">
            <v>-205545.66</v>
          </cell>
          <cell r="L44">
            <v>-268283.95</v>
          </cell>
          <cell r="M44">
            <v>46659.34</v>
          </cell>
          <cell r="N44">
            <v>-195466.83</v>
          </cell>
          <cell r="O44">
            <v>2241838.29</v>
          </cell>
          <cell r="P44">
            <v>1439357.1799999992</v>
          </cell>
          <cell r="Q44">
            <v>6416911.3099999987</v>
          </cell>
        </row>
        <row r="45">
          <cell r="A45" t="str">
            <v>F17100C</v>
          </cell>
          <cell r="B45" t="str">
            <v>INTEREST AND DIVIDENDS RECEIVABLE</v>
          </cell>
          <cell r="C45">
            <v>2188804.34</v>
          </cell>
          <cell r="D45">
            <v>-925528.01</v>
          </cell>
          <cell r="E45">
            <v>433761.66</v>
          </cell>
          <cell r="F45">
            <v>-302367.55</v>
          </cell>
          <cell r="G45">
            <v>-51181.2</v>
          </cell>
          <cell r="H45">
            <v>545482.18999999994</v>
          </cell>
          <cell r="I45">
            <v>-822929.87</v>
          </cell>
          <cell r="J45">
            <v>307566.15000000002</v>
          </cell>
          <cell r="K45">
            <v>-270645.99</v>
          </cell>
          <cell r="L45">
            <v>-581656.15</v>
          </cell>
          <cell r="M45">
            <v>-306604.33</v>
          </cell>
          <cell r="N45">
            <v>97819.25</v>
          </cell>
          <cell r="O45">
            <v>204002.84</v>
          </cell>
          <cell r="P45">
            <v>-1672281.01</v>
          </cell>
          <cell r="Q45">
            <v>516523.32999999949</v>
          </cell>
        </row>
        <row r="46">
          <cell r="A46" t="str">
            <v>F17300C</v>
          </cell>
          <cell r="B46" t="str">
            <v>ACCRUED UTILITY REVENUES</v>
          </cell>
          <cell r="C46">
            <v>52359000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3400000</v>
          </cell>
          <cell r="P46">
            <v>3400000</v>
          </cell>
          <cell r="Q46">
            <v>55759000</v>
          </cell>
        </row>
        <row r="47">
          <cell r="A47" t="str">
            <v>F17400C</v>
          </cell>
          <cell r="B47" t="str">
            <v>MISCELLANEOUS CURRENT AND ACCRUED ASSET</v>
          </cell>
          <cell r="C47">
            <v>45772914.409999996</v>
          </cell>
          <cell r="D47">
            <v>-3534625</v>
          </cell>
          <cell r="E47">
            <v>1531422</v>
          </cell>
          <cell r="F47">
            <v>1797776.95</v>
          </cell>
          <cell r="G47">
            <v>2671057</v>
          </cell>
          <cell r="H47">
            <v>31843668</v>
          </cell>
          <cell r="I47">
            <v>108195677</v>
          </cell>
          <cell r="J47">
            <v>-2233127</v>
          </cell>
          <cell r="K47">
            <v>21898550</v>
          </cell>
          <cell r="L47">
            <v>-51155109</v>
          </cell>
          <cell r="M47">
            <v>-38637610</v>
          </cell>
          <cell r="N47">
            <v>230680927</v>
          </cell>
          <cell r="O47">
            <v>118104760</v>
          </cell>
          <cell r="P47">
            <v>421163366.94999999</v>
          </cell>
          <cell r="Q47">
            <v>466936281.36000001</v>
          </cell>
        </row>
        <row r="48">
          <cell r="A48" t="str">
            <v>F17401C</v>
          </cell>
          <cell r="B48" t="str">
            <v>MISC. CURRENT AND ACCRUED ASSETS-BALANC</v>
          </cell>
          <cell r="C48">
            <v>0</v>
          </cell>
          <cell r="D48">
            <v>0</v>
          </cell>
          <cell r="G48">
            <v>0</v>
          </cell>
          <cell r="H48">
            <v>6292</v>
          </cell>
          <cell r="I48">
            <v>126436</v>
          </cell>
          <cell r="J48">
            <v>727</v>
          </cell>
          <cell r="K48">
            <v>725</v>
          </cell>
          <cell r="L48">
            <v>726</v>
          </cell>
          <cell r="M48">
            <v>35709</v>
          </cell>
          <cell r="N48">
            <v>60023</v>
          </cell>
          <cell r="O48">
            <v>27086</v>
          </cell>
          <cell r="P48">
            <v>257724</v>
          </cell>
          <cell r="Q48">
            <v>257724</v>
          </cell>
        </row>
        <row r="49">
          <cell r="A49" t="str">
            <v>F18100C</v>
          </cell>
          <cell r="B49" t="str">
            <v>UNAMORTIZED DEBT EXPENSES</v>
          </cell>
          <cell r="C49">
            <v>11391860.800000001</v>
          </cell>
          <cell r="D49">
            <v>-48716.09</v>
          </cell>
          <cell r="E49">
            <v>-48716.09</v>
          </cell>
          <cell r="F49">
            <v>-48716.09</v>
          </cell>
          <cell r="G49">
            <v>-48716.09</v>
          </cell>
          <cell r="H49">
            <v>-97601.64</v>
          </cell>
          <cell r="I49">
            <v>-48511.54</v>
          </cell>
          <cell r="J49">
            <v>-48511.54</v>
          </cell>
          <cell r="K49">
            <v>-48511.54</v>
          </cell>
          <cell r="L49">
            <v>-48511.54</v>
          </cell>
          <cell r="M49">
            <v>-48511.54</v>
          </cell>
          <cell r="N49">
            <v>-48511.54</v>
          </cell>
          <cell r="O49">
            <v>-48511.54</v>
          </cell>
          <cell r="P49">
            <v>-632046.78</v>
          </cell>
          <cell r="Q49">
            <v>10759814.020000007</v>
          </cell>
        </row>
        <row r="50">
          <cell r="A50" t="str">
            <v>F18220C</v>
          </cell>
          <cell r="B50" t="str">
            <v>UNRECOVERED PLANT AND REGULATORY STUDY</v>
          </cell>
          <cell r="C50">
            <v>53.27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-53.27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-53.27</v>
          </cell>
          <cell r="Q50">
            <v>0</v>
          </cell>
        </row>
        <row r="51">
          <cell r="A51" t="str">
            <v>F18230C</v>
          </cell>
          <cell r="B51" t="str">
            <v>OTHER REGULATORY ASSETS</v>
          </cell>
          <cell r="C51">
            <v>251711586.40000001</v>
          </cell>
          <cell r="D51">
            <v>-220621.56</v>
          </cell>
          <cell r="E51">
            <v>-220621.56</v>
          </cell>
          <cell r="F51">
            <v>-14289491.560000001</v>
          </cell>
          <cell r="G51">
            <v>7841.44</v>
          </cell>
          <cell r="H51">
            <v>7841.44</v>
          </cell>
          <cell r="I51">
            <v>-9915158.5600000005</v>
          </cell>
          <cell r="J51">
            <v>7841.44</v>
          </cell>
          <cell r="K51">
            <v>1882552.44</v>
          </cell>
          <cell r="L51">
            <v>102674461.44</v>
          </cell>
          <cell r="M51">
            <v>82138920.439999998</v>
          </cell>
          <cell r="N51">
            <v>110618791.44</v>
          </cell>
          <cell r="O51">
            <v>94701164.680000007</v>
          </cell>
          <cell r="P51">
            <v>367393521.52000004</v>
          </cell>
          <cell r="Q51">
            <v>619105107.92000008</v>
          </cell>
        </row>
        <row r="52">
          <cell r="A52" t="str">
            <v>F18300C</v>
          </cell>
          <cell r="B52" t="str">
            <v>PRELIM. SURVEY AND INVESTIGATION CHARGE</v>
          </cell>
          <cell r="C52">
            <v>4428205.24</v>
          </cell>
          <cell r="D52">
            <v>-88578.240000000005</v>
          </cell>
          <cell r="E52">
            <v>244836.69</v>
          </cell>
          <cell r="F52">
            <v>106591.81</v>
          </cell>
          <cell r="G52">
            <v>62658.5</v>
          </cell>
          <cell r="H52">
            <v>23412.79</v>
          </cell>
          <cell r="I52">
            <v>86914.62</v>
          </cell>
          <cell r="J52">
            <v>66149.89</v>
          </cell>
          <cell r="K52">
            <v>129630.22</v>
          </cell>
          <cell r="L52">
            <v>286415.07</v>
          </cell>
          <cell r="M52">
            <v>377125.75</v>
          </cell>
          <cell r="N52">
            <v>775561.94</v>
          </cell>
          <cell r="O52">
            <v>889389.38</v>
          </cell>
          <cell r="P52">
            <v>2960108.42</v>
          </cell>
          <cell r="Q52">
            <v>7388313.6599999992</v>
          </cell>
        </row>
        <row r="53">
          <cell r="A53" t="str">
            <v>F18400C</v>
          </cell>
          <cell r="B53" t="str">
            <v>CLEARING ACCOUNTS</v>
          </cell>
          <cell r="C53">
            <v>-35006.69</v>
          </cell>
          <cell r="D53">
            <v>1000963.93</v>
          </cell>
          <cell r="E53">
            <v>668312.43999999994</v>
          </cell>
          <cell r="F53">
            <v>-1931333.46</v>
          </cell>
          <cell r="G53">
            <v>1439056.41</v>
          </cell>
          <cell r="H53">
            <v>518872.01</v>
          </cell>
          <cell r="I53">
            <v>1300618.1599999999</v>
          </cell>
          <cell r="J53">
            <v>402789.68</v>
          </cell>
          <cell r="K53">
            <v>29126.77</v>
          </cell>
          <cell r="L53">
            <v>158564.20000000001</v>
          </cell>
          <cell r="M53">
            <v>-584034.17000000004</v>
          </cell>
          <cell r="N53">
            <v>50304.99</v>
          </cell>
          <cell r="O53">
            <v>-1673240.64</v>
          </cell>
          <cell r="P53">
            <v>1380000.320000001</v>
          </cell>
          <cell r="Q53">
            <v>1344993.6300000006</v>
          </cell>
        </row>
        <row r="54">
          <cell r="A54" t="str">
            <v>F18500C</v>
          </cell>
          <cell r="B54" t="str">
            <v>TEMPORARY FACILITIES</v>
          </cell>
          <cell r="C54">
            <v>11596.94</v>
          </cell>
          <cell r="D54">
            <v>14430.42</v>
          </cell>
          <cell r="E54">
            <v>4715.3</v>
          </cell>
          <cell r="F54">
            <v>25069.040000000001</v>
          </cell>
          <cell r="G54">
            <v>7823.35</v>
          </cell>
          <cell r="H54">
            <v>862.77</v>
          </cell>
          <cell r="I54">
            <v>-5436.18</v>
          </cell>
          <cell r="J54">
            <v>14255.43</v>
          </cell>
          <cell r="K54">
            <v>74964.210000000006</v>
          </cell>
          <cell r="L54">
            <v>6421.33</v>
          </cell>
          <cell r="M54">
            <v>-24872.23</v>
          </cell>
          <cell r="N54">
            <v>-63281.02</v>
          </cell>
          <cell r="O54">
            <v>306770.06</v>
          </cell>
          <cell r="P54">
            <v>361722.48</v>
          </cell>
          <cell r="Q54">
            <v>373319.42</v>
          </cell>
        </row>
        <row r="55">
          <cell r="A55" t="str">
            <v>F18600C</v>
          </cell>
          <cell r="B55" t="str">
            <v>MISCELLANEOUS DEFERRED DEBITS</v>
          </cell>
          <cell r="C55">
            <v>582396511.10000002</v>
          </cell>
          <cell r="D55">
            <v>-2021910.37</v>
          </cell>
          <cell r="E55">
            <v>-1982569.13</v>
          </cell>
          <cell r="F55">
            <v>-1952679.13</v>
          </cell>
          <cell r="G55">
            <v>-16335117.640000001</v>
          </cell>
          <cell r="H55">
            <v>-4739321.33</v>
          </cell>
          <cell r="I55">
            <v>-5314825.87</v>
          </cell>
          <cell r="J55">
            <v>-14641582.83</v>
          </cell>
          <cell r="K55">
            <v>-6065024.3899999997</v>
          </cell>
          <cell r="L55">
            <v>-18979603.969999999</v>
          </cell>
          <cell r="M55">
            <v>-4950367.99</v>
          </cell>
          <cell r="N55">
            <v>-4724311.9800000004</v>
          </cell>
          <cell r="O55">
            <v>-5806905.2000000002</v>
          </cell>
          <cell r="P55">
            <v>-87514219.829999998</v>
          </cell>
          <cell r="Q55">
            <v>494882291.27000004</v>
          </cell>
        </row>
        <row r="56">
          <cell r="A56" t="str">
            <v>F18800C</v>
          </cell>
          <cell r="B56" t="str">
            <v>RESEARCH  DEVEL. AND DEMONSTRATION EXPE</v>
          </cell>
          <cell r="C56">
            <v>-4719.09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-4719.09</v>
          </cell>
        </row>
        <row r="57">
          <cell r="A57" t="str">
            <v>F18900C</v>
          </cell>
          <cell r="B57" t="str">
            <v>UNAMORTIZED LOSS ON REACQUIRED DEBT</v>
          </cell>
          <cell r="C57">
            <v>60763240.450000003</v>
          </cell>
          <cell r="D57">
            <v>-382477.76</v>
          </cell>
          <cell r="E57">
            <v>-372636.89</v>
          </cell>
          <cell r="F57">
            <v>-372636.89</v>
          </cell>
          <cell r="G57">
            <v>-372636.89</v>
          </cell>
          <cell r="H57">
            <v>161721.04</v>
          </cell>
          <cell r="I57">
            <v>-374872.7</v>
          </cell>
          <cell r="J57">
            <v>-374872.7</v>
          </cell>
          <cell r="K57">
            <v>-374872.7</v>
          </cell>
          <cell r="L57">
            <v>-374872.7</v>
          </cell>
          <cell r="M57">
            <v>-374872.7</v>
          </cell>
          <cell r="N57">
            <v>-374872.7</v>
          </cell>
          <cell r="O57">
            <v>-374872.7</v>
          </cell>
          <cell r="P57">
            <v>-3962776.290000001</v>
          </cell>
          <cell r="Q57">
            <v>56800464.159999982</v>
          </cell>
        </row>
        <row r="58">
          <cell r="A58" t="str">
            <v>F19000C</v>
          </cell>
          <cell r="B58" t="str">
            <v>ACCUMULATED DEFERRED INCOME TAXES</v>
          </cell>
          <cell r="C58">
            <v>-90770807</v>
          </cell>
          <cell r="D58">
            <v>-280000</v>
          </cell>
          <cell r="E58">
            <v>-185000</v>
          </cell>
          <cell r="F58">
            <v>-201000</v>
          </cell>
          <cell r="G58">
            <v>-189000</v>
          </cell>
          <cell r="H58">
            <v>-107000</v>
          </cell>
          <cell r="I58">
            <v>-183000</v>
          </cell>
          <cell r="J58">
            <v>-233000</v>
          </cell>
          <cell r="K58">
            <v>-207000</v>
          </cell>
          <cell r="L58">
            <v>20217000</v>
          </cell>
          <cell r="M58">
            <v>-1743000</v>
          </cell>
          <cell r="N58">
            <v>-118376000</v>
          </cell>
          <cell r="O58">
            <v>-40440000</v>
          </cell>
          <cell r="P58">
            <v>-141927000</v>
          </cell>
          <cell r="Q58">
            <v>-232697807</v>
          </cell>
        </row>
        <row r="59">
          <cell r="A59" t="str">
            <v>F19002C</v>
          </cell>
          <cell r="B59" t="str">
            <v>ACCUMULATED DEFERRED INCOME TAXES</v>
          </cell>
          <cell r="C59">
            <v>242470310.22999999</v>
          </cell>
          <cell r="D59">
            <v>305000</v>
          </cell>
          <cell r="E59">
            <v>202000</v>
          </cell>
          <cell r="F59">
            <v>-2888483</v>
          </cell>
          <cell r="G59">
            <v>206000</v>
          </cell>
          <cell r="H59">
            <v>178000</v>
          </cell>
          <cell r="I59">
            <v>-1239631</v>
          </cell>
          <cell r="J59">
            <v>269000</v>
          </cell>
          <cell r="K59">
            <v>240000</v>
          </cell>
          <cell r="L59">
            <v>-39162367</v>
          </cell>
          <cell r="M59">
            <v>-1050000</v>
          </cell>
          <cell r="N59">
            <v>-109646000</v>
          </cell>
          <cell r="O59">
            <v>-28357591</v>
          </cell>
          <cell r="P59">
            <v>-180944072</v>
          </cell>
          <cell r="Q59">
            <v>61526238.229999989</v>
          </cell>
        </row>
        <row r="60">
          <cell r="A60" t="str">
            <v>F20100C</v>
          </cell>
          <cell r="B60" t="str">
            <v>COMMON STOCK ISSUED</v>
          </cell>
          <cell r="C60">
            <v>-291458395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-291458395</v>
          </cell>
        </row>
        <row r="61">
          <cell r="A61" t="str">
            <v>F20400C</v>
          </cell>
          <cell r="B61" t="str">
            <v>PREFERRED STOCK ISSUED-NON REDEEMABLE</v>
          </cell>
          <cell r="C61">
            <v>-78475400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-78475400</v>
          </cell>
        </row>
        <row r="62">
          <cell r="A62" t="str">
            <v>F20401C</v>
          </cell>
          <cell r="B62" t="str">
            <v>REDEEMABLE PREFERRED STOCK</v>
          </cell>
          <cell r="C62">
            <v>-25000000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-25000000</v>
          </cell>
        </row>
        <row r="63">
          <cell r="A63" t="str">
            <v>F20700C</v>
          </cell>
          <cell r="B63" t="str">
            <v>PREMIUM ON CAPITAL STOCK</v>
          </cell>
          <cell r="C63">
            <v>-592222752.73000002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-592222752.73000002</v>
          </cell>
        </row>
        <row r="64">
          <cell r="A64" t="str">
            <v>F21100C</v>
          </cell>
          <cell r="B64" t="str">
            <v>MISCELLANEOUS PAID-IN CAPITAL</v>
          </cell>
          <cell r="C64">
            <v>3280877</v>
          </cell>
          <cell r="D64">
            <v>0</v>
          </cell>
          <cell r="E64">
            <v>0</v>
          </cell>
          <cell r="F64">
            <v>-1911609</v>
          </cell>
          <cell r="G64">
            <v>0</v>
          </cell>
          <cell r="H64">
            <v>0</v>
          </cell>
          <cell r="I64">
            <v>-247877</v>
          </cell>
          <cell r="J64">
            <v>0</v>
          </cell>
          <cell r="K64">
            <v>0</v>
          </cell>
          <cell r="L64">
            <v>-335692</v>
          </cell>
          <cell r="M64">
            <v>0</v>
          </cell>
          <cell r="N64">
            <v>0</v>
          </cell>
          <cell r="O64">
            <v>2109044</v>
          </cell>
          <cell r="P64">
            <v>-386134</v>
          </cell>
          <cell r="Q64">
            <v>2894743</v>
          </cell>
        </row>
        <row r="65">
          <cell r="A65" t="str">
            <v>F21400C</v>
          </cell>
          <cell r="B65" t="str">
            <v>CAPITAL STOCK EXPENSE</v>
          </cell>
          <cell r="C65">
            <v>25990044.91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25990044.91</v>
          </cell>
        </row>
        <row r="66">
          <cell r="A66" t="str">
            <v>F21600C</v>
          </cell>
          <cell r="B66" t="str">
            <v>RETAINED EARNINGS</v>
          </cell>
          <cell r="C66">
            <v>-529671553.44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-529671553.44</v>
          </cell>
        </row>
        <row r="67">
          <cell r="A67" t="str">
            <v>F22101C</v>
          </cell>
          <cell r="B67" t="str">
            <v>BONDS-LT DEBT</v>
          </cell>
          <cell r="C67">
            <v>-684276000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9651000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9651000</v>
          </cell>
          <cell r="Q67">
            <v>-674625000</v>
          </cell>
        </row>
        <row r="68">
          <cell r="A68" t="str">
            <v>F22200C</v>
          </cell>
          <cell r="B68" t="str">
            <v>REACQUIRED BONDS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12121236</v>
          </cell>
          <cell r="O68">
            <v>47878764</v>
          </cell>
          <cell r="P68">
            <v>60000000</v>
          </cell>
          <cell r="Q68">
            <v>60000000</v>
          </cell>
        </row>
        <row r="69">
          <cell r="A69" t="str">
            <v>F22400C</v>
          </cell>
          <cell r="B69" t="str">
            <v>OTHER LT DEBT-CURRENT PORTION</v>
          </cell>
          <cell r="C69">
            <v>-52000</v>
          </cell>
          <cell r="D69">
            <v>63824.54</v>
          </cell>
          <cell r="E69">
            <v>-63824.54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-52000</v>
          </cell>
        </row>
        <row r="70">
          <cell r="A70" t="str">
            <v>F22401C</v>
          </cell>
          <cell r="B70" t="str">
            <v>OTHER LT DEBT</v>
          </cell>
          <cell r="C70">
            <v>-254057817.46000001</v>
          </cell>
          <cell r="D70">
            <v>0</v>
          </cell>
          <cell r="E70">
            <v>63824.54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8370.02</v>
          </cell>
          <cell r="P70">
            <v>72194.559999999998</v>
          </cell>
          <cell r="Q70">
            <v>-253985622.90000001</v>
          </cell>
        </row>
        <row r="71">
          <cell r="A71" t="str">
            <v>F22500C</v>
          </cell>
          <cell r="B71" t="str">
            <v>UNAMORTIZED PREMIUM ON LONG-TERM DEBT</v>
          </cell>
          <cell r="C71">
            <v>-483065.14</v>
          </cell>
          <cell r="D71">
            <v>2106.09</v>
          </cell>
          <cell r="E71">
            <v>2106.09</v>
          </cell>
          <cell r="F71">
            <v>2106.09</v>
          </cell>
          <cell r="G71">
            <v>2106.09</v>
          </cell>
          <cell r="H71">
            <v>2106.09</v>
          </cell>
          <cell r="I71">
            <v>2106.09</v>
          </cell>
          <cell r="J71">
            <v>2106.09</v>
          </cell>
          <cell r="K71">
            <v>2106.09</v>
          </cell>
          <cell r="L71">
            <v>2106.09</v>
          </cell>
          <cell r="M71">
            <v>2106.09</v>
          </cell>
          <cell r="N71">
            <v>2106.09</v>
          </cell>
          <cell r="O71">
            <v>2106.09</v>
          </cell>
          <cell r="P71">
            <v>25273.08</v>
          </cell>
          <cell r="Q71">
            <v>-457792.05999999971</v>
          </cell>
        </row>
        <row r="72">
          <cell r="A72" t="str">
            <v>F22600C</v>
          </cell>
          <cell r="B72" t="str">
            <v>(LESS) UNAMORTIZED DISCOUNT ON LONG-TER</v>
          </cell>
          <cell r="C72">
            <v>1725316.76</v>
          </cell>
          <cell r="D72">
            <v>-10116.629999999999</v>
          </cell>
          <cell r="E72">
            <v>-10116.629999999999</v>
          </cell>
          <cell r="F72">
            <v>-10116.629999999999</v>
          </cell>
          <cell r="G72">
            <v>-10116.629999999999</v>
          </cell>
          <cell r="H72">
            <v>-107313.19</v>
          </cell>
          <cell r="I72">
            <v>-9709.9500000000007</v>
          </cell>
          <cell r="J72">
            <v>-9709.9500000000007</v>
          </cell>
          <cell r="K72">
            <v>-9709.9500000000007</v>
          </cell>
          <cell r="L72">
            <v>-9709.9500000000007</v>
          </cell>
          <cell r="M72">
            <v>-9709.9500000000007</v>
          </cell>
          <cell r="N72">
            <v>-9709.9500000000007</v>
          </cell>
          <cell r="O72">
            <v>-9709.9500000000007</v>
          </cell>
          <cell r="P72">
            <v>-215749.36000000007</v>
          </cell>
          <cell r="Q72">
            <v>1509567.4000000008</v>
          </cell>
        </row>
        <row r="73">
          <cell r="A73" t="str">
            <v>F22700C</v>
          </cell>
          <cell r="B73" t="str">
            <v>OBLIGATIONS UNDER CAPITAL LEASES-NONCUR</v>
          </cell>
          <cell r="C73">
            <v>-8785272.4199999999</v>
          </cell>
          <cell r="D73">
            <v>1087805.56</v>
          </cell>
          <cell r="E73">
            <v>1168937.8600000001</v>
          </cell>
          <cell r="F73">
            <v>-2461641.06</v>
          </cell>
          <cell r="G73">
            <v>1306447.05</v>
          </cell>
          <cell r="H73">
            <v>1354688.07</v>
          </cell>
          <cell r="I73">
            <v>1304122.4099999999</v>
          </cell>
          <cell r="J73">
            <v>1348658.19</v>
          </cell>
          <cell r="K73">
            <v>1348313.9</v>
          </cell>
          <cell r="L73">
            <v>-6357331.6699999999</v>
          </cell>
          <cell r="M73">
            <v>628941.24</v>
          </cell>
          <cell r="N73">
            <v>-11272261.529999999</v>
          </cell>
          <cell r="O73">
            <v>970963.87</v>
          </cell>
          <cell r="P73">
            <v>-9572356.1099999994</v>
          </cell>
          <cell r="Q73">
            <v>-18357628.529999997</v>
          </cell>
        </row>
        <row r="74">
          <cell r="A74" t="str">
            <v>F22820C</v>
          </cell>
          <cell r="B74" t="str">
            <v>ACCUMULATED PROVISION FOR INJURIES AND</v>
          </cell>
          <cell r="C74">
            <v>-16807935.210000001</v>
          </cell>
          <cell r="D74">
            <v>-100706.25</v>
          </cell>
          <cell r="E74">
            <v>-859665.85</v>
          </cell>
          <cell r="F74">
            <v>840753.07</v>
          </cell>
          <cell r="G74">
            <v>160841.82</v>
          </cell>
          <cell r="H74">
            <v>220783.17</v>
          </cell>
          <cell r="I74">
            <v>2976581.6</v>
          </cell>
          <cell r="J74">
            <v>264965.24</v>
          </cell>
          <cell r="K74">
            <v>274781.34000000003</v>
          </cell>
          <cell r="L74">
            <v>132942.56</v>
          </cell>
          <cell r="M74">
            <v>-610597.86</v>
          </cell>
          <cell r="N74">
            <v>278274.42</v>
          </cell>
          <cell r="O74">
            <v>-6908339.6699999999</v>
          </cell>
          <cell r="P74">
            <v>-3329386.41</v>
          </cell>
          <cell r="Q74">
            <v>-20137321.620000001</v>
          </cell>
        </row>
        <row r="75">
          <cell r="A75" t="str">
            <v>F22830C</v>
          </cell>
          <cell r="B75" t="str">
            <v>ACCUMULATED PROVISION FOR PENSIONS AND</v>
          </cell>
          <cell r="C75">
            <v>-9069101.2100000009</v>
          </cell>
          <cell r="D75">
            <v>-269705.55</v>
          </cell>
          <cell r="E75">
            <v>-233352.95999999999</v>
          </cell>
          <cell r="F75">
            <v>-402004.45</v>
          </cell>
          <cell r="G75">
            <v>-253843.02</v>
          </cell>
          <cell r="H75">
            <v>-246054.52</v>
          </cell>
          <cell r="I75">
            <v>-244900.59</v>
          </cell>
          <cell r="J75">
            <v>-245764.62</v>
          </cell>
          <cell r="K75">
            <v>-245525.72</v>
          </cell>
          <cell r="L75">
            <v>-240733.99</v>
          </cell>
          <cell r="M75">
            <v>-261069.82</v>
          </cell>
          <cell r="N75">
            <v>-225891.61</v>
          </cell>
          <cell r="O75">
            <v>2545020.9</v>
          </cell>
          <cell r="P75">
            <v>-323825.94999999972</v>
          </cell>
          <cell r="Q75">
            <v>-9392927.1600000001</v>
          </cell>
        </row>
        <row r="76">
          <cell r="A76" t="str">
            <v>F22840C</v>
          </cell>
          <cell r="B76" t="str">
            <v>ACCUMULATED MISCELLANEOUS OPERATING PRO</v>
          </cell>
          <cell r="C76">
            <v>-222989955.34</v>
          </cell>
          <cell r="D76">
            <v>-474722.06</v>
          </cell>
          <cell r="E76">
            <v>-357694.06</v>
          </cell>
          <cell r="F76">
            <v>-13613695.32</v>
          </cell>
          <cell r="G76">
            <v>323879.2</v>
          </cell>
          <cell r="H76">
            <v>2800156.51</v>
          </cell>
          <cell r="I76">
            <v>19716091.300000001</v>
          </cell>
          <cell r="J76">
            <v>-366643.87</v>
          </cell>
          <cell r="K76">
            <v>1808750.27</v>
          </cell>
          <cell r="L76">
            <v>-8993475.4900000002</v>
          </cell>
          <cell r="M76">
            <v>212768.18</v>
          </cell>
          <cell r="N76">
            <v>142054.47</v>
          </cell>
          <cell r="O76">
            <v>-2437384.5499999998</v>
          </cell>
          <cell r="P76">
            <v>-1239915.4199999995</v>
          </cell>
          <cell r="Q76">
            <v>-224229870.76000002</v>
          </cell>
        </row>
        <row r="77">
          <cell r="A77" t="str">
            <v>F23200C</v>
          </cell>
          <cell r="B77" t="str">
            <v>ACCOUNTS PAYABLE</v>
          </cell>
          <cell r="C77">
            <v>-165762655.72</v>
          </cell>
          <cell r="D77">
            <v>41447814.469999999</v>
          </cell>
          <cell r="E77">
            <v>-785116.03</v>
          </cell>
          <cell r="F77">
            <v>-8326551.0599999996</v>
          </cell>
          <cell r="G77">
            <v>-9565788.8699999992</v>
          </cell>
          <cell r="H77">
            <v>-33188177.23</v>
          </cell>
          <cell r="I77">
            <v>-69170355.299999997</v>
          </cell>
          <cell r="J77">
            <v>-16254982.99</v>
          </cell>
          <cell r="K77">
            <v>-110591777.17</v>
          </cell>
          <cell r="L77">
            <v>102139239.88</v>
          </cell>
          <cell r="M77">
            <v>46982471.539999999</v>
          </cell>
          <cell r="N77">
            <v>-19945402.91</v>
          </cell>
          <cell r="O77">
            <v>-174009276.80000001</v>
          </cell>
          <cell r="P77">
            <v>-251267902.47000003</v>
          </cell>
          <cell r="Q77">
            <v>-417030558.19000006</v>
          </cell>
        </row>
        <row r="78">
          <cell r="A78" t="str">
            <v>F23300C</v>
          </cell>
          <cell r="B78" t="str">
            <v>NOTES PAYABLE TO ASSOCIATED COMPANIES</v>
          </cell>
          <cell r="C78">
            <v>0.01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-0.01</v>
          </cell>
          <cell r="O78">
            <v>0</v>
          </cell>
          <cell r="P78">
            <v>-0.01</v>
          </cell>
          <cell r="Q78">
            <v>0</v>
          </cell>
        </row>
        <row r="79">
          <cell r="A79" t="str">
            <v>F23301C</v>
          </cell>
          <cell r="B79" t="str">
            <v>NOTES PAYABLE TO ASSOC. COS-RATE REDUCT</v>
          </cell>
          <cell r="C79">
            <v>-453604287.85000002</v>
          </cell>
          <cell r="D79">
            <v>0</v>
          </cell>
          <cell r="E79">
            <v>0</v>
          </cell>
          <cell r="F79">
            <v>16839254</v>
          </cell>
          <cell r="G79">
            <v>0</v>
          </cell>
          <cell r="H79">
            <v>0</v>
          </cell>
          <cell r="I79">
            <v>14879573</v>
          </cell>
          <cell r="J79">
            <v>0</v>
          </cell>
          <cell r="K79">
            <v>10599545</v>
          </cell>
          <cell r="L79">
            <v>5299773.82</v>
          </cell>
          <cell r="M79">
            <v>6060618</v>
          </cell>
          <cell r="N79">
            <v>-6060618</v>
          </cell>
          <cell r="O79">
            <v>18181854.18</v>
          </cell>
          <cell r="P79">
            <v>65800000</v>
          </cell>
          <cell r="Q79">
            <v>-387804287.85000002</v>
          </cell>
        </row>
        <row r="80">
          <cell r="A80" t="str">
            <v>F23302C</v>
          </cell>
          <cell r="B80" t="str">
            <v>NOTES PAYABLE TO ASSOC COS. CURRENT POR</v>
          </cell>
          <cell r="C80">
            <v>-65800000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-65800000</v>
          </cell>
        </row>
        <row r="81">
          <cell r="A81" t="str">
            <v>F23400C</v>
          </cell>
          <cell r="B81" t="str">
            <v>ACCOUNTS PAYABLE TO ASSOCIATED COMPANIE</v>
          </cell>
          <cell r="C81">
            <v>-20495201.949999999</v>
          </cell>
          <cell r="D81">
            <v>8381996.8399999999</v>
          </cell>
          <cell r="E81">
            <v>9850865.7599999998</v>
          </cell>
          <cell r="F81">
            <v>4640307.47</v>
          </cell>
          <cell r="G81">
            <v>-3060822.45</v>
          </cell>
          <cell r="H81">
            <v>-6092231.3899999997</v>
          </cell>
          <cell r="I81">
            <v>6633187.6399999997</v>
          </cell>
          <cell r="J81">
            <v>-2708497.28</v>
          </cell>
          <cell r="K81">
            <v>8987515.4900000002</v>
          </cell>
          <cell r="L81">
            <v>-6227873.71</v>
          </cell>
          <cell r="M81">
            <v>-2904153.41</v>
          </cell>
          <cell r="N81">
            <v>-3231127.46</v>
          </cell>
          <cell r="O81">
            <v>-11025760.619999999</v>
          </cell>
          <cell r="P81">
            <v>3243406.8799999971</v>
          </cell>
          <cell r="Q81">
            <v>-17251795.07</v>
          </cell>
        </row>
        <row r="82">
          <cell r="A82" t="str">
            <v>F23500C</v>
          </cell>
          <cell r="B82" t="str">
            <v>CUSTOMER DEPOSITS</v>
          </cell>
          <cell r="C82">
            <v>-23991688.629999999</v>
          </cell>
          <cell r="D82">
            <v>-65686</v>
          </cell>
          <cell r="E82">
            <v>746</v>
          </cell>
          <cell r="F82">
            <v>53372</v>
          </cell>
          <cell r="G82">
            <v>-8583</v>
          </cell>
          <cell r="H82">
            <v>-143774</v>
          </cell>
          <cell r="I82">
            <v>115618</v>
          </cell>
          <cell r="J82">
            <v>110004</v>
          </cell>
          <cell r="K82">
            <v>323222</v>
          </cell>
          <cell r="L82">
            <v>390770</v>
          </cell>
          <cell r="M82">
            <v>123289</v>
          </cell>
          <cell r="N82">
            <v>138885</v>
          </cell>
          <cell r="O82">
            <v>303942</v>
          </cell>
          <cell r="P82">
            <v>1341805</v>
          </cell>
          <cell r="Q82">
            <v>-22649883.629999999</v>
          </cell>
        </row>
        <row r="83">
          <cell r="A83" t="str">
            <v>F23600C</v>
          </cell>
          <cell r="B83" t="str">
            <v>TAXES ACCRUED</v>
          </cell>
          <cell r="C83">
            <v>-1997943.97</v>
          </cell>
          <cell r="D83">
            <v>-2961446.87</v>
          </cell>
          <cell r="E83">
            <v>-3570643.02</v>
          </cell>
          <cell r="F83">
            <v>-2130446.4500000002</v>
          </cell>
          <cell r="G83">
            <v>-2517484.86</v>
          </cell>
          <cell r="H83">
            <v>-10308547.630000001</v>
          </cell>
          <cell r="I83">
            <v>23380792.620000001</v>
          </cell>
          <cell r="J83">
            <v>-14226154.23</v>
          </cell>
          <cell r="K83">
            <v>-10988657.119999999</v>
          </cell>
          <cell r="L83">
            <v>18895501.879999999</v>
          </cell>
          <cell r="M83">
            <v>-4703151.82</v>
          </cell>
          <cell r="N83">
            <v>176104209.5</v>
          </cell>
          <cell r="O83">
            <v>-166782840.16999999</v>
          </cell>
          <cell r="P83">
            <v>191131.83000001311</v>
          </cell>
          <cell r="Q83">
            <v>-1806812.1399999857</v>
          </cell>
        </row>
        <row r="84">
          <cell r="A84" t="str">
            <v>F23601C</v>
          </cell>
          <cell r="B84" t="str">
            <v>INCOME TAXES ACCRUED</v>
          </cell>
          <cell r="C84">
            <v>87062224.099999994</v>
          </cell>
          <cell r="D84">
            <v>-16398000</v>
          </cell>
          <cell r="E84">
            <v>-15864000</v>
          </cell>
          <cell r="F84">
            <v>-12379000</v>
          </cell>
          <cell r="G84">
            <v>-42421224.100000001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2465415.1</v>
          </cell>
          <cell r="M84">
            <v>-2465415.1</v>
          </cell>
          <cell r="N84">
            <v>0</v>
          </cell>
          <cell r="O84">
            <v>235912068.69</v>
          </cell>
          <cell r="P84">
            <v>148849844.59</v>
          </cell>
          <cell r="Q84">
            <v>235912068.69</v>
          </cell>
        </row>
        <row r="85">
          <cell r="A85" t="str">
            <v>F23700C</v>
          </cell>
          <cell r="B85" t="str">
            <v>INTEREST ACCRUED</v>
          </cell>
          <cell r="C85">
            <v>-8901977.8900000006</v>
          </cell>
          <cell r="D85">
            <v>-2628234</v>
          </cell>
          <cell r="E85">
            <v>-2843886.45</v>
          </cell>
          <cell r="F85">
            <v>3147597.14</v>
          </cell>
          <cell r="G85">
            <v>-2452305.04</v>
          </cell>
          <cell r="H85">
            <v>-3553515.52</v>
          </cell>
          <cell r="I85">
            <v>8842059.0500000007</v>
          </cell>
          <cell r="J85">
            <v>-3410921.59</v>
          </cell>
          <cell r="K85">
            <v>1973272.05</v>
          </cell>
          <cell r="L85">
            <v>-1218101.72</v>
          </cell>
          <cell r="M85">
            <v>-405385.48</v>
          </cell>
          <cell r="N85">
            <v>-1500167.25</v>
          </cell>
          <cell r="O85">
            <v>4931230.12</v>
          </cell>
          <cell r="P85">
            <v>881641.31000000192</v>
          </cell>
          <cell r="Q85">
            <v>-8020336.5799999973</v>
          </cell>
        </row>
        <row r="86">
          <cell r="A86" t="str">
            <v>F23800C</v>
          </cell>
          <cell r="B86" t="str">
            <v>DIVIDENDS DECLARED</v>
          </cell>
          <cell r="C86">
            <v>-1645542.1</v>
          </cell>
          <cell r="D86">
            <v>1645542.1</v>
          </cell>
          <cell r="E86">
            <v>0</v>
          </cell>
          <cell r="F86">
            <v>-1645542.09</v>
          </cell>
          <cell r="G86">
            <v>1097028.07</v>
          </cell>
          <cell r="H86">
            <v>-548514.03</v>
          </cell>
          <cell r="I86">
            <v>-548514.03</v>
          </cell>
          <cell r="J86">
            <v>1097028.07</v>
          </cell>
          <cell r="K86">
            <v>-548514.03</v>
          </cell>
          <cell r="L86">
            <v>-548514.03</v>
          </cell>
          <cell r="M86">
            <v>1097028.07</v>
          </cell>
          <cell r="N86">
            <v>-548514.03</v>
          </cell>
          <cell r="O86">
            <v>-548514.03</v>
          </cell>
          <cell r="P86">
            <v>4.0000000037252903E-2</v>
          </cell>
          <cell r="Q86">
            <v>-1645542.06</v>
          </cell>
        </row>
        <row r="87">
          <cell r="A87" t="str">
            <v>F24100C</v>
          </cell>
          <cell r="B87" t="str">
            <v>TAX COLLECTIONS PAYABLE</v>
          </cell>
          <cell r="C87">
            <v>-1487675.93</v>
          </cell>
          <cell r="D87">
            <v>1903.8</v>
          </cell>
          <cell r="E87">
            <v>482291.79</v>
          </cell>
          <cell r="F87">
            <v>-500157.31</v>
          </cell>
          <cell r="G87">
            <v>294740.96000000002</v>
          </cell>
          <cell r="H87">
            <v>324169.03999999998</v>
          </cell>
          <cell r="I87">
            <v>-1903158.5</v>
          </cell>
          <cell r="J87">
            <v>1255899.49</v>
          </cell>
          <cell r="K87">
            <v>387823.52</v>
          </cell>
          <cell r="L87">
            <v>-584325.81999999995</v>
          </cell>
          <cell r="M87">
            <v>-279874.77</v>
          </cell>
          <cell r="N87">
            <v>944026.55</v>
          </cell>
          <cell r="O87">
            <v>-2480372.63</v>
          </cell>
          <cell r="P87">
            <v>-2057033.88</v>
          </cell>
          <cell r="Q87">
            <v>-3544709.8099999996</v>
          </cell>
        </row>
        <row r="88">
          <cell r="A88" t="str">
            <v>F24200C</v>
          </cell>
          <cell r="B88" t="str">
            <v>MISCELLANEOUS CURRENT AND ACCRUED LIABI</v>
          </cell>
          <cell r="C88">
            <v>-536744821.01999998</v>
          </cell>
          <cell r="D88">
            <v>-6386504.4800000004</v>
          </cell>
          <cell r="E88">
            <v>3976199.51</v>
          </cell>
          <cell r="F88">
            <v>14160388.859999999</v>
          </cell>
          <cell r="G88">
            <v>17183402.420000002</v>
          </cell>
          <cell r="H88">
            <v>5160000.26</v>
          </cell>
          <cell r="I88">
            <v>-2682131.4900000002</v>
          </cell>
          <cell r="J88">
            <v>378957854.33999997</v>
          </cell>
          <cell r="K88">
            <v>-5790732.4199999999</v>
          </cell>
          <cell r="L88">
            <v>-236916127.90000001</v>
          </cell>
          <cell r="M88">
            <v>-29197085.809999999</v>
          </cell>
          <cell r="N88">
            <v>246087981.52000001</v>
          </cell>
          <cell r="O88">
            <v>12531539.369999999</v>
          </cell>
          <cell r="P88">
            <v>397084784.17999995</v>
          </cell>
          <cell r="Q88">
            <v>-139660036.84</v>
          </cell>
        </row>
        <row r="89">
          <cell r="A89" t="str">
            <v>F24201C</v>
          </cell>
          <cell r="B89" t="str">
            <v>MISC. CURRENT AND ACCRUED LIABILITIES-B</v>
          </cell>
          <cell r="C89">
            <v>-237963114.81</v>
          </cell>
          <cell r="D89">
            <v>-30516005.120000001</v>
          </cell>
          <cell r="E89">
            <v>-12223834.32</v>
          </cell>
          <cell r="F89">
            <v>-6356188.6900000004</v>
          </cell>
          <cell r="G89">
            <v>4473.08</v>
          </cell>
          <cell r="H89">
            <v>-17838411.949999999</v>
          </cell>
          <cell r="I89">
            <v>-65122680.759999998</v>
          </cell>
          <cell r="J89">
            <v>-434070184.67000002</v>
          </cell>
          <cell r="K89">
            <v>267560555.91999999</v>
          </cell>
          <cell r="L89">
            <v>98882172.909999996</v>
          </cell>
          <cell r="M89">
            <v>-2244176.71</v>
          </cell>
          <cell r="N89">
            <v>-210578699.84999999</v>
          </cell>
          <cell r="O89">
            <v>-183314348.21000001</v>
          </cell>
          <cell r="P89">
            <v>-595817328.37000012</v>
          </cell>
          <cell r="Q89">
            <v>-833780443.18000007</v>
          </cell>
        </row>
        <row r="90">
          <cell r="A90" t="str">
            <v>F24202C</v>
          </cell>
          <cell r="B90" t="str">
            <v>MISC. CURRENT AND ACCRUED LIABILITIES-A</v>
          </cell>
          <cell r="C90">
            <v>26704724.809999999</v>
          </cell>
          <cell r="D90">
            <v>-331628</v>
          </cell>
          <cell r="E90">
            <v>21310</v>
          </cell>
          <cell r="F90">
            <v>609003</v>
          </cell>
          <cell r="G90">
            <v>83401</v>
          </cell>
          <cell r="H90">
            <v>294812</v>
          </cell>
          <cell r="I90">
            <v>33340</v>
          </cell>
          <cell r="J90">
            <v>-66910</v>
          </cell>
          <cell r="K90">
            <v>-43647</v>
          </cell>
          <cell r="L90">
            <v>52670</v>
          </cell>
          <cell r="M90">
            <v>245996</v>
          </cell>
          <cell r="N90">
            <v>53115</v>
          </cell>
          <cell r="O90">
            <v>246368</v>
          </cell>
          <cell r="P90">
            <v>1197830</v>
          </cell>
          <cell r="Q90">
            <v>27902554.809999999</v>
          </cell>
        </row>
        <row r="91">
          <cell r="A91" t="str">
            <v>F24300C</v>
          </cell>
          <cell r="B91" t="str">
            <v>OBLIGATIONS UNDER CAPITAL LEASES-CURREN</v>
          </cell>
          <cell r="C91">
            <v>-120175</v>
          </cell>
          <cell r="D91">
            <v>0</v>
          </cell>
          <cell r="E91">
            <v>0</v>
          </cell>
          <cell r="F91">
            <v>31593</v>
          </cell>
          <cell r="G91">
            <v>0</v>
          </cell>
          <cell r="H91">
            <v>0</v>
          </cell>
          <cell r="I91">
            <v>32487</v>
          </cell>
          <cell r="J91">
            <v>0</v>
          </cell>
          <cell r="K91">
            <v>0</v>
          </cell>
          <cell r="L91">
            <v>33405</v>
          </cell>
          <cell r="M91">
            <v>0</v>
          </cell>
          <cell r="N91">
            <v>0</v>
          </cell>
          <cell r="O91">
            <v>22690</v>
          </cell>
          <cell r="P91">
            <v>120175</v>
          </cell>
          <cell r="Q91">
            <v>0</v>
          </cell>
        </row>
        <row r="92">
          <cell r="A92" t="str">
            <v>F24301C</v>
          </cell>
          <cell r="B92" t="str">
            <v>OBLIGATIONS UNDER CAPITAL LEASES-LT DEB</v>
          </cell>
          <cell r="C92">
            <v>-12000000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12000000</v>
          </cell>
          <cell r="O92">
            <v>0</v>
          </cell>
          <cell r="P92">
            <v>12000000</v>
          </cell>
          <cell r="Q92">
            <v>0</v>
          </cell>
        </row>
        <row r="93">
          <cell r="A93" t="str">
            <v>F25200C</v>
          </cell>
          <cell r="B93" t="str">
            <v>CUSTOMER ADVANCES FOR CONSTRUCTION</v>
          </cell>
          <cell r="C93">
            <v>-28844209.260000002</v>
          </cell>
          <cell r="D93">
            <v>207392.82</v>
          </cell>
          <cell r="E93">
            <v>229730.78</v>
          </cell>
          <cell r="F93">
            <v>-1635849.61</v>
          </cell>
          <cell r="G93">
            <v>-17847.29</v>
          </cell>
          <cell r="H93">
            <v>1292069.21</v>
          </cell>
          <cell r="I93">
            <v>-864538.31</v>
          </cell>
          <cell r="J93">
            <v>523000.82</v>
          </cell>
          <cell r="K93">
            <v>386007.93</v>
          </cell>
          <cell r="L93">
            <v>-224623.96</v>
          </cell>
          <cell r="M93">
            <v>-32960.400000000001</v>
          </cell>
          <cell r="N93">
            <v>2099240.2999999998</v>
          </cell>
          <cell r="O93">
            <v>-143854.10999999999</v>
          </cell>
          <cell r="P93">
            <v>1817768.1799999997</v>
          </cell>
          <cell r="Q93">
            <v>-27026441.079999994</v>
          </cell>
        </row>
        <row r="94">
          <cell r="A94" t="str">
            <v>F25300C</v>
          </cell>
          <cell r="B94" t="str">
            <v>OTHER DEFERRED CREDITS-CAC</v>
          </cell>
          <cell r="C94">
            <v>-42102564.549999997</v>
          </cell>
          <cell r="D94">
            <v>-38366.699999999997</v>
          </cell>
          <cell r="E94">
            <v>81630.649999999994</v>
          </cell>
          <cell r="F94">
            <v>-381533.44</v>
          </cell>
          <cell r="G94">
            <v>15494.9</v>
          </cell>
          <cell r="H94">
            <v>570979.11</v>
          </cell>
          <cell r="I94">
            <v>-302882.71999999997</v>
          </cell>
          <cell r="J94">
            <v>160240.22</v>
          </cell>
          <cell r="K94">
            <v>121053.74</v>
          </cell>
          <cell r="L94">
            <v>-60636.78</v>
          </cell>
          <cell r="M94">
            <v>74873.23</v>
          </cell>
          <cell r="N94">
            <v>789092.99</v>
          </cell>
          <cell r="O94">
            <v>-218192.63</v>
          </cell>
          <cell r="P94">
            <v>811752.57000000007</v>
          </cell>
          <cell r="Q94">
            <v>-41290811.980000004</v>
          </cell>
        </row>
        <row r="95">
          <cell r="A95" t="str">
            <v>F25301C</v>
          </cell>
          <cell r="B95" t="str">
            <v>OTHER DEFERRED CREDITS-CAC</v>
          </cell>
          <cell r="C95">
            <v>-183744527.99000001</v>
          </cell>
          <cell r="D95">
            <v>1083337.29</v>
          </cell>
          <cell r="E95">
            <v>-787963.3</v>
          </cell>
          <cell r="F95">
            <v>7339555.8499999996</v>
          </cell>
          <cell r="G95">
            <v>980761.9</v>
          </cell>
          <cell r="H95">
            <v>895393.92</v>
          </cell>
          <cell r="I95">
            <v>2617673.08</v>
          </cell>
          <cell r="J95">
            <v>852797.55</v>
          </cell>
          <cell r="K95">
            <v>-1353754.07</v>
          </cell>
          <cell r="L95">
            <v>1929134.5</v>
          </cell>
          <cell r="M95">
            <v>1275520.23</v>
          </cell>
          <cell r="N95">
            <v>1186116.2</v>
          </cell>
          <cell r="O95">
            <v>3178329.96</v>
          </cell>
          <cell r="P95">
            <v>19196903.109999999</v>
          </cell>
          <cell r="Q95">
            <v>-164547624.88000003</v>
          </cell>
        </row>
        <row r="96">
          <cell r="A96" t="str">
            <v>F25400C</v>
          </cell>
          <cell r="B96" t="str">
            <v>OTH REG LIABILITIES</v>
          </cell>
          <cell r="C96">
            <v>-96914000</v>
          </cell>
          <cell r="D96">
            <v>0</v>
          </cell>
          <cell r="E96">
            <v>0</v>
          </cell>
          <cell r="F96">
            <v>1442000</v>
          </cell>
          <cell r="I96">
            <v>1037000</v>
          </cell>
          <cell r="J96">
            <v>0</v>
          </cell>
          <cell r="K96">
            <v>0</v>
          </cell>
          <cell r="L96">
            <v>1514000</v>
          </cell>
          <cell r="M96">
            <v>0</v>
          </cell>
          <cell r="N96">
            <v>6617000</v>
          </cell>
          <cell r="O96">
            <v>1093000</v>
          </cell>
          <cell r="P96">
            <v>11703000</v>
          </cell>
          <cell r="Q96">
            <v>-85211000</v>
          </cell>
        </row>
        <row r="97">
          <cell r="A97" t="str">
            <v>F25500C</v>
          </cell>
          <cell r="B97" t="str">
            <v>ACCUMULATED DEFERRED INVESTMENT TAX CRE</v>
          </cell>
          <cell r="C97">
            <v>-50882509</v>
          </cell>
          <cell r="D97">
            <v>355000</v>
          </cell>
          <cell r="E97">
            <v>238000</v>
          </cell>
          <cell r="F97">
            <v>255000</v>
          </cell>
          <cell r="G97">
            <v>239000</v>
          </cell>
          <cell r="H97">
            <v>192000</v>
          </cell>
          <cell r="I97">
            <v>244000</v>
          </cell>
          <cell r="J97">
            <v>310000</v>
          </cell>
          <cell r="K97">
            <v>277000</v>
          </cell>
          <cell r="L97">
            <v>208000</v>
          </cell>
          <cell r="M97">
            <v>68000</v>
          </cell>
          <cell r="N97">
            <v>92000</v>
          </cell>
          <cell r="O97">
            <v>322000</v>
          </cell>
          <cell r="P97">
            <v>2800000</v>
          </cell>
          <cell r="Q97">
            <v>-48082509</v>
          </cell>
        </row>
        <row r="98">
          <cell r="A98" t="str">
            <v>F28100C</v>
          </cell>
          <cell r="B98" t="str">
            <v>ACCUMULATED DEFERRED INCOME TAXES</v>
          </cell>
          <cell r="C98">
            <v>-4277000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-16000</v>
          </cell>
          <cell r="O98">
            <v>0</v>
          </cell>
          <cell r="P98">
            <v>-16000</v>
          </cell>
          <cell r="Q98">
            <v>-4293000</v>
          </cell>
        </row>
        <row r="99">
          <cell r="A99" t="str">
            <v>F28200C</v>
          </cell>
          <cell r="B99" t="str">
            <v>ACCUMULATED DEFERRED INCOME TAXES-OTHER</v>
          </cell>
          <cell r="C99">
            <v>-192197194.49000001</v>
          </cell>
          <cell r="D99">
            <v>-1345000</v>
          </cell>
          <cell r="E99">
            <v>-899000</v>
          </cell>
          <cell r="F99">
            <v>5312000</v>
          </cell>
          <cell r="G99">
            <v>-907000</v>
          </cell>
          <cell r="H99">
            <v>-764000</v>
          </cell>
          <cell r="I99">
            <v>5178000</v>
          </cell>
          <cell r="J99">
            <v>-1180000</v>
          </cell>
          <cell r="K99">
            <v>-1058000</v>
          </cell>
          <cell r="L99">
            <v>8143000</v>
          </cell>
          <cell r="M99">
            <v>-262000</v>
          </cell>
          <cell r="N99">
            <v>-16835000</v>
          </cell>
          <cell r="O99">
            <v>40397000</v>
          </cell>
          <cell r="P99">
            <v>35780000</v>
          </cell>
          <cell r="Q99">
            <v>-156417194.49000001</v>
          </cell>
        </row>
        <row r="100">
          <cell r="A100" t="str">
            <v>F28301C</v>
          </cell>
          <cell r="B100" t="str">
            <v>ACCUMULATED DEFERRED INCOME TAXES-TAXES</v>
          </cell>
          <cell r="C100">
            <v>-15762516</v>
          </cell>
          <cell r="D100">
            <v>-1155000</v>
          </cell>
          <cell r="E100">
            <v>-771000</v>
          </cell>
          <cell r="F100">
            <v>-729180</v>
          </cell>
          <cell r="G100">
            <v>-780000</v>
          </cell>
          <cell r="H100">
            <v>-568000</v>
          </cell>
          <cell r="I100">
            <v>-770049</v>
          </cell>
          <cell r="J100">
            <v>-992000</v>
          </cell>
          <cell r="K100">
            <v>-889000</v>
          </cell>
          <cell r="L100">
            <v>-648472</v>
          </cell>
          <cell r="M100">
            <v>-309000</v>
          </cell>
          <cell r="N100">
            <v>4999000</v>
          </cell>
          <cell r="O100">
            <v>-442126</v>
          </cell>
          <cell r="P100">
            <v>-3054827</v>
          </cell>
          <cell r="Q100">
            <v>-18817343</v>
          </cell>
        </row>
        <row r="101">
          <cell r="A101" t="str">
            <v>F28302C</v>
          </cell>
          <cell r="B101" t="str">
            <v>ACCUMULATED DEFERRED INC TAXES</v>
          </cell>
          <cell r="C101">
            <v>-372947188.94</v>
          </cell>
          <cell r="D101">
            <v>-1612000</v>
          </cell>
          <cell r="E101">
            <v>-1077000</v>
          </cell>
          <cell r="F101">
            <v>3004000</v>
          </cell>
          <cell r="G101">
            <v>3067772.31</v>
          </cell>
          <cell r="H101">
            <v>-857000</v>
          </cell>
          <cell r="I101">
            <v>4951000</v>
          </cell>
          <cell r="J101">
            <v>-990000</v>
          </cell>
          <cell r="K101">
            <v>-888000</v>
          </cell>
          <cell r="L101">
            <v>-1952000</v>
          </cell>
          <cell r="M101">
            <v>-244000</v>
          </cell>
          <cell r="N101">
            <v>-59164000</v>
          </cell>
          <cell r="O101">
            <v>25026346.41</v>
          </cell>
          <cell r="P101">
            <v>-30734881.279999997</v>
          </cell>
          <cell r="Q101">
            <v>-403682070.21999997</v>
          </cell>
        </row>
        <row r="102">
          <cell r="A102" t="str">
            <v>F29900C</v>
          </cell>
          <cell r="B102" t="str">
            <v>CLEARING ACCOUNT-ACCOUNTS PAYABLE</v>
          </cell>
          <cell r="C102">
            <v>-139291379.06999999</v>
          </cell>
          <cell r="D102">
            <v>-7167226.6900000004</v>
          </cell>
          <cell r="E102">
            <v>-10070198.689999999</v>
          </cell>
          <cell r="F102">
            <v>-7057407.6399999997</v>
          </cell>
          <cell r="G102">
            <v>-9649669.7599999998</v>
          </cell>
          <cell r="H102">
            <v>-9965492.6699999999</v>
          </cell>
          <cell r="I102">
            <v>-12405797.35</v>
          </cell>
          <cell r="J102">
            <v>-10777825.029999999</v>
          </cell>
          <cell r="K102">
            <v>-13227022.58</v>
          </cell>
          <cell r="L102">
            <v>-10241296.130000001</v>
          </cell>
          <cell r="M102">
            <v>-12578427.15</v>
          </cell>
          <cell r="N102">
            <v>-8984200.75</v>
          </cell>
          <cell r="O102">
            <v>-23796892.57</v>
          </cell>
          <cell r="P102">
            <v>-135921457.01000002</v>
          </cell>
          <cell r="Q102">
            <v>-275212836.07999998</v>
          </cell>
        </row>
        <row r="103">
          <cell r="A103" t="str">
            <v>F29910C</v>
          </cell>
          <cell r="B103" t="str">
            <v>CLEARING ACCOUNT-ACCOUNTS RECEIVABLE</v>
          </cell>
          <cell r="C103">
            <v>-2171984.35</v>
          </cell>
          <cell r="D103">
            <v>-210965.44</v>
          </cell>
          <cell r="E103">
            <v>-182412.64</v>
          </cell>
          <cell r="F103">
            <v>-257553.7</v>
          </cell>
          <cell r="G103">
            <v>-155122.81</v>
          </cell>
          <cell r="H103">
            <v>-257507.33</v>
          </cell>
          <cell r="I103">
            <v>-216271.48</v>
          </cell>
          <cell r="J103">
            <v>-208818.68</v>
          </cell>
          <cell r="K103">
            <v>-221187.46</v>
          </cell>
          <cell r="L103">
            <v>-296289.49</v>
          </cell>
          <cell r="M103">
            <v>-237715.64</v>
          </cell>
          <cell r="N103">
            <v>-268758.36</v>
          </cell>
          <cell r="O103">
            <v>-390776.75</v>
          </cell>
          <cell r="P103">
            <v>-2903379.78</v>
          </cell>
          <cell r="Q103">
            <v>-5075364.1300000008</v>
          </cell>
        </row>
        <row r="104">
          <cell r="A104" t="str">
            <v>F29920C</v>
          </cell>
          <cell r="B104" t="str">
            <v>CLEARING ACCOUNT-FI/CO RECONCILIATION E</v>
          </cell>
          <cell r="C104">
            <v>141468562.88999999</v>
          </cell>
          <cell r="D104">
            <v>7378071.5199999996</v>
          </cell>
          <cell r="E104">
            <v>10252395.880000001</v>
          </cell>
          <cell r="F104">
            <v>7316204.8499999996</v>
          </cell>
          <cell r="G104">
            <v>9803452.9800000004</v>
          </cell>
          <cell r="H104">
            <v>10231534.57</v>
          </cell>
          <cell r="I104">
            <v>12691144.710000001</v>
          </cell>
          <cell r="J104">
            <v>11052872.9</v>
          </cell>
          <cell r="K104">
            <v>13448476.98</v>
          </cell>
          <cell r="L104">
            <v>10540539.390000001</v>
          </cell>
          <cell r="M104">
            <v>12854501.949999999</v>
          </cell>
          <cell r="N104">
            <v>9488893.8300000001</v>
          </cell>
          <cell r="O104">
            <v>24175891.449999999</v>
          </cell>
          <cell r="P104">
            <v>139233981.01000002</v>
          </cell>
          <cell r="Q104">
            <v>280702543.89999998</v>
          </cell>
        </row>
        <row r="105">
          <cell r="A105" t="str">
            <v>F29980C</v>
          </cell>
          <cell r="B105" t="str">
            <v>NEGATIVE ADJUSTMENT-OFFSET ACCOUNT</v>
          </cell>
          <cell r="C105">
            <v>0.16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0.16</v>
          </cell>
        </row>
        <row r="106">
          <cell r="A106" t="str">
            <v>F29990C</v>
          </cell>
          <cell r="B106" t="str">
            <v>BALANCE SHEET OFFSET ACCOUNT</v>
          </cell>
          <cell r="C106">
            <v>3472465160.3899999</v>
          </cell>
          <cell r="D106">
            <v>50516726.799999997</v>
          </cell>
          <cell r="E106">
            <v>62460241.329999998</v>
          </cell>
          <cell r="F106">
            <v>57197847.840000004</v>
          </cell>
          <cell r="G106">
            <v>40105254.25</v>
          </cell>
          <cell r="H106">
            <v>53555595.390000001</v>
          </cell>
          <cell r="I106">
            <v>55022782.530000001</v>
          </cell>
          <cell r="J106">
            <v>52857198.100000001</v>
          </cell>
          <cell r="K106">
            <v>62724998.909999996</v>
          </cell>
          <cell r="L106">
            <v>64124086.880000003</v>
          </cell>
          <cell r="M106">
            <v>68564665.280000001</v>
          </cell>
          <cell r="N106">
            <v>53084959.810000002</v>
          </cell>
          <cell r="O106">
            <v>91130668.230000004</v>
          </cell>
          <cell r="P106">
            <v>711345025.3499999</v>
          </cell>
          <cell r="Q106">
            <v>4183810185.7400002</v>
          </cell>
        </row>
        <row r="107">
          <cell r="A107" t="str">
            <v>F29995C</v>
          </cell>
          <cell r="B107" t="str">
            <v>FERC BALANCE CARRY FORWARD</v>
          </cell>
          <cell r="C107">
            <v>-3402104510.8299999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-3402104510.8299999</v>
          </cell>
        </row>
        <row r="108">
          <cell r="A108" t="str">
            <v>F40300C</v>
          </cell>
          <cell r="B108" t="str">
            <v>DEPRECIATION EXPENSE</v>
          </cell>
          <cell r="C108">
            <v>0</v>
          </cell>
          <cell r="D108">
            <v>1142711.29</v>
          </cell>
          <cell r="E108">
            <v>1144776.42</v>
          </cell>
          <cell r="F108">
            <v>1148442.54</v>
          </cell>
          <cell r="G108">
            <v>1151183.58</v>
          </cell>
          <cell r="H108">
            <v>1153379.31</v>
          </cell>
          <cell r="I108">
            <v>1129875</v>
          </cell>
          <cell r="J108">
            <v>1108898.3500000001</v>
          </cell>
          <cell r="K108">
            <v>1097640.57</v>
          </cell>
          <cell r="L108">
            <v>1090040.3</v>
          </cell>
          <cell r="M108">
            <v>1099356.6599999999</v>
          </cell>
          <cell r="N108">
            <v>1112516.08</v>
          </cell>
          <cell r="O108">
            <v>1130663.1599999999</v>
          </cell>
          <cell r="P108">
            <v>13509483.260000002</v>
          </cell>
          <cell r="Q108">
            <v>13509483.260000002</v>
          </cell>
        </row>
        <row r="109">
          <cell r="A109" t="str">
            <v>F40300E</v>
          </cell>
          <cell r="B109" t="str">
            <v>DEPRECIATION EXPENSE</v>
          </cell>
          <cell r="C109">
            <v>0</v>
          </cell>
          <cell r="D109">
            <v>12541107.09</v>
          </cell>
          <cell r="E109">
            <v>12579907.34</v>
          </cell>
          <cell r="F109">
            <v>12611911.289999999</v>
          </cell>
          <cell r="G109">
            <v>12665831.779999999</v>
          </cell>
          <cell r="H109">
            <v>12704616.970000001</v>
          </cell>
          <cell r="I109">
            <v>12750162.25</v>
          </cell>
          <cell r="J109">
            <v>12798874.17</v>
          </cell>
          <cell r="K109">
            <v>12857694.09</v>
          </cell>
          <cell r="L109">
            <v>12934291.720000001</v>
          </cell>
          <cell r="M109">
            <v>12992157.039999999</v>
          </cell>
          <cell r="N109">
            <v>13020172.359999999</v>
          </cell>
          <cell r="O109">
            <v>13053899.539999999</v>
          </cell>
          <cell r="P109">
            <v>153510625.64000002</v>
          </cell>
          <cell r="Q109">
            <v>153510625.64000002</v>
          </cell>
        </row>
        <row r="110">
          <cell r="A110" t="str">
            <v>F40300G</v>
          </cell>
          <cell r="B110" t="str">
            <v>DEPRECIATION EXPENSE</v>
          </cell>
          <cell r="C110">
            <v>0</v>
          </cell>
          <cell r="D110">
            <v>2807164.74</v>
          </cell>
          <cell r="E110">
            <v>2809516.83</v>
          </cell>
          <cell r="F110">
            <v>2815562.61</v>
          </cell>
          <cell r="G110">
            <v>2842763.02</v>
          </cell>
          <cell r="H110">
            <v>2825907.5</v>
          </cell>
          <cell r="I110">
            <v>2829389.61</v>
          </cell>
          <cell r="J110">
            <v>2834802.8</v>
          </cell>
          <cell r="K110">
            <v>2840450.83</v>
          </cell>
          <cell r="L110">
            <v>2846700.46</v>
          </cell>
          <cell r="M110">
            <v>2854062.26</v>
          </cell>
          <cell r="N110">
            <v>2862083.34</v>
          </cell>
          <cell r="O110">
            <v>2877981.82</v>
          </cell>
          <cell r="P110">
            <v>34046385.819999993</v>
          </cell>
          <cell r="Q110">
            <v>34046385.819999993</v>
          </cell>
        </row>
        <row r="111">
          <cell r="A111" t="str">
            <v>F40400C</v>
          </cell>
          <cell r="B111" t="str">
            <v>AMORTIZATION OF LIMITED-TERM INVESTMENT</v>
          </cell>
          <cell r="C111">
            <v>0</v>
          </cell>
          <cell r="D111">
            <v>597489.42000000004</v>
          </cell>
          <cell r="E111">
            <v>598012.42000000004</v>
          </cell>
          <cell r="F111">
            <v>597678.6</v>
          </cell>
          <cell r="G111">
            <v>562359.01</v>
          </cell>
          <cell r="H111">
            <v>615542.79</v>
          </cell>
          <cell r="I111">
            <v>642377.88</v>
          </cell>
          <cell r="J111">
            <v>623899.72</v>
          </cell>
          <cell r="K111">
            <v>621252.55000000005</v>
          </cell>
          <cell r="L111">
            <v>619960.07999999996</v>
          </cell>
          <cell r="M111">
            <v>621294.76</v>
          </cell>
          <cell r="N111">
            <v>623335.02</v>
          </cell>
          <cell r="O111">
            <v>622893.24</v>
          </cell>
          <cell r="P111">
            <v>7346095.4900000002</v>
          </cell>
          <cell r="Q111">
            <v>7346095.4900000002</v>
          </cell>
        </row>
        <row r="112">
          <cell r="A112" t="str">
            <v>F40400E</v>
          </cell>
          <cell r="B112" t="str">
            <v>AMORTIZATION OF LIMITED-TERM INVESTMENT</v>
          </cell>
          <cell r="C112">
            <v>0</v>
          </cell>
          <cell r="D112">
            <v>7932.85</v>
          </cell>
          <cell r="E112">
            <v>7932.83</v>
          </cell>
          <cell r="F112">
            <v>7932.85</v>
          </cell>
          <cell r="G112">
            <v>7932.84</v>
          </cell>
          <cell r="H112">
            <v>7932.84</v>
          </cell>
          <cell r="I112">
            <v>7932.84</v>
          </cell>
          <cell r="J112">
            <v>-64991.85</v>
          </cell>
          <cell r="K112">
            <v>53026.77</v>
          </cell>
          <cell r="L112">
            <v>41098.99</v>
          </cell>
          <cell r="M112">
            <v>41099.519999999997</v>
          </cell>
          <cell r="N112">
            <v>41100.22</v>
          </cell>
          <cell r="O112">
            <v>41100.31</v>
          </cell>
          <cell r="P112">
            <v>200031.00999999998</v>
          </cell>
          <cell r="Q112">
            <v>200031.00999999998</v>
          </cell>
        </row>
        <row r="113">
          <cell r="A113" t="str">
            <v>F40500C</v>
          </cell>
          <cell r="B113" t="str">
            <v>AMORTIZATION OF OTHER PLANT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110.84</v>
          </cell>
          <cell r="L113">
            <v>163.59</v>
          </cell>
          <cell r="M113">
            <v>0</v>
          </cell>
          <cell r="N113">
            <v>0</v>
          </cell>
          <cell r="O113">
            <v>0</v>
          </cell>
          <cell r="P113">
            <v>274.43</v>
          </cell>
          <cell r="Q113">
            <v>274.43</v>
          </cell>
        </row>
        <row r="114">
          <cell r="A114" t="str">
            <v>F40500E</v>
          </cell>
          <cell r="B114" t="str">
            <v>AMORTIZATION OF OTHER PLANT</v>
          </cell>
          <cell r="C114">
            <v>0</v>
          </cell>
          <cell r="D114">
            <v>133924.91</v>
          </cell>
          <cell r="E114">
            <v>134292.46</v>
          </cell>
          <cell r="F114">
            <v>134607.56</v>
          </cell>
          <cell r="G114">
            <v>134860.35</v>
          </cell>
          <cell r="H114">
            <v>135621.38</v>
          </cell>
          <cell r="I114">
            <v>135711.95000000001</v>
          </cell>
          <cell r="J114">
            <v>136070.96</v>
          </cell>
          <cell r="K114">
            <v>136376.16</v>
          </cell>
          <cell r="L114">
            <v>137161.66</v>
          </cell>
          <cell r="M114">
            <v>137735.24</v>
          </cell>
          <cell r="N114">
            <v>138457.47</v>
          </cell>
          <cell r="O114">
            <v>138832</v>
          </cell>
          <cell r="P114">
            <v>1633652.0999999999</v>
          </cell>
          <cell r="Q114">
            <v>1633652.0999999999</v>
          </cell>
        </row>
        <row r="115">
          <cell r="A115" t="str">
            <v>F40500G</v>
          </cell>
          <cell r="B115" t="str">
            <v>AMORTIZATION OF OTHER PLANT</v>
          </cell>
          <cell r="C115">
            <v>0</v>
          </cell>
          <cell r="D115">
            <v>24978.63</v>
          </cell>
          <cell r="E115">
            <v>24985.360000000001</v>
          </cell>
          <cell r="F115">
            <v>24992.85</v>
          </cell>
          <cell r="G115">
            <v>25000.83</v>
          </cell>
          <cell r="H115">
            <v>24802.94</v>
          </cell>
          <cell r="I115">
            <v>24086.84</v>
          </cell>
          <cell r="J115">
            <v>23688.07</v>
          </cell>
          <cell r="K115">
            <v>23713.52</v>
          </cell>
          <cell r="L115">
            <v>23645.279999999999</v>
          </cell>
          <cell r="M115">
            <v>23613.51</v>
          </cell>
          <cell r="N115">
            <v>23555.77</v>
          </cell>
          <cell r="O115">
            <v>23579.14</v>
          </cell>
          <cell r="P115">
            <v>290642.74000000005</v>
          </cell>
          <cell r="Q115">
            <v>290642.74000000005</v>
          </cell>
        </row>
        <row r="116">
          <cell r="A116" t="str">
            <v>F40600C</v>
          </cell>
          <cell r="B116" t="str">
            <v>AMORT. OF UTILITY PLANT ACQ. ADJ.</v>
          </cell>
          <cell r="C116">
            <v>0</v>
          </cell>
          <cell r="D116">
            <v>1312</v>
          </cell>
          <cell r="E116">
            <v>1312</v>
          </cell>
          <cell r="F116">
            <v>1312</v>
          </cell>
          <cell r="G116">
            <v>1312</v>
          </cell>
          <cell r="H116">
            <v>1312</v>
          </cell>
          <cell r="I116">
            <v>1312</v>
          </cell>
          <cell r="J116">
            <v>1312</v>
          </cell>
          <cell r="K116">
            <v>1312</v>
          </cell>
          <cell r="L116">
            <v>1312</v>
          </cell>
          <cell r="M116">
            <v>1312</v>
          </cell>
          <cell r="N116">
            <v>1312</v>
          </cell>
          <cell r="O116">
            <v>1312</v>
          </cell>
          <cell r="P116">
            <v>15744</v>
          </cell>
          <cell r="Q116">
            <v>15744</v>
          </cell>
        </row>
        <row r="117">
          <cell r="A117" t="str">
            <v>F40700E</v>
          </cell>
          <cell r="B117" t="str">
            <v>AMORT. OF PROP LOSSES  UNREC PLANT AND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</v>
          </cell>
          <cell r="P117">
            <v>-2</v>
          </cell>
          <cell r="Q117">
            <v>-2</v>
          </cell>
        </row>
        <row r="118">
          <cell r="A118" t="str">
            <v>F40810C</v>
          </cell>
          <cell r="B118" t="str">
            <v>TAXES OTHER THAN INCOME TAXES</v>
          </cell>
          <cell r="C118">
            <v>0</v>
          </cell>
          <cell r="D118">
            <v>476497.81</v>
          </cell>
          <cell r="E118">
            <v>594432.74</v>
          </cell>
          <cell r="F118">
            <v>506653.1</v>
          </cell>
          <cell r="G118">
            <v>495479.59</v>
          </cell>
          <cell r="H118">
            <v>611985.69999999995</v>
          </cell>
          <cell r="I118">
            <v>547221.18000000005</v>
          </cell>
          <cell r="J118">
            <v>492556.99</v>
          </cell>
          <cell r="K118">
            <v>644667.23</v>
          </cell>
          <cell r="L118">
            <v>538479.65</v>
          </cell>
          <cell r="M118">
            <v>693394.8</v>
          </cell>
          <cell r="N118">
            <v>576906.86</v>
          </cell>
          <cell r="O118">
            <v>555087.27</v>
          </cell>
          <cell r="P118">
            <v>6733362.9199999999</v>
          </cell>
          <cell r="Q118">
            <v>6733362.9199999999</v>
          </cell>
        </row>
        <row r="119">
          <cell r="A119" t="str">
            <v>F40811E</v>
          </cell>
          <cell r="C119">
            <v>0</v>
          </cell>
          <cell r="D119">
            <v>0</v>
          </cell>
          <cell r="E119">
            <v>781885</v>
          </cell>
          <cell r="F119">
            <v>-781885</v>
          </cell>
          <cell r="G119">
            <v>0</v>
          </cell>
          <cell r="H119">
            <v>0</v>
          </cell>
          <cell r="I119">
            <v>-1173744.82</v>
          </cell>
          <cell r="J119">
            <v>1173744.82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F40811G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1174534.19</v>
          </cell>
          <cell r="J120">
            <v>-1174534.19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F40820C</v>
          </cell>
          <cell r="B121" t="str">
            <v>TAXES OTHER THAN INCOME TAXES</v>
          </cell>
          <cell r="C121">
            <v>0</v>
          </cell>
          <cell r="D121">
            <v>18014.57</v>
          </cell>
          <cell r="E121">
            <v>24508.82</v>
          </cell>
          <cell r="F121">
            <v>26769.48</v>
          </cell>
          <cell r="G121">
            <v>26769.48</v>
          </cell>
          <cell r="H121">
            <v>17931.990000000002</v>
          </cell>
          <cell r="I121">
            <v>26769.48</v>
          </cell>
          <cell r="J121">
            <v>26770</v>
          </cell>
          <cell r="K121">
            <v>26770.18</v>
          </cell>
          <cell r="L121">
            <v>28893.45</v>
          </cell>
          <cell r="M121">
            <v>26768.98</v>
          </cell>
          <cell r="N121">
            <v>26769</v>
          </cell>
          <cell r="O121">
            <v>31077.9</v>
          </cell>
          <cell r="P121">
            <v>307813.33000000007</v>
          </cell>
          <cell r="Q121">
            <v>307813.33000000007</v>
          </cell>
        </row>
        <row r="122">
          <cell r="A122" t="str">
            <v>F40830E</v>
          </cell>
          <cell r="B122" t="str">
            <v>TAXES OTHER THAN INCOME TAXES-PROPERTY</v>
          </cell>
          <cell r="C122">
            <v>0</v>
          </cell>
          <cell r="D122">
            <v>2226067.66</v>
          </cell>
          <cell r="E122">
            <v>671700.45</v>
          </cell>
          <cell r="F122">
            <v>2627840.23</v>
          </cell>
          <cell r="G122">
            <v>2106913.06</v>
          </cell>
          <cell r="H122">
            <v>2095003.79</v>
          </cell>
          <cell r="I122">
            <v>2101509.63</v>
          </cell>
          <cell r="J122">
            <v>356488.18</v>
          </cell>
          <cell r="K122">
            <v>1530233</v>
          </cell>
          <cell r="L122">
            <v>1530233</v>
          </cell>
          <cell r="M122">
            <v>1885718</v>
          </cell>
          <cell r="N122">
            <v>1885718</v>
          </cell>
          <cell r="O122">
            <v>2040897.82</v>
          </cell>
          <cell r="P122">
            <v>21058322.82</v>
          </cell>
          <cell r="Q122">
            <v>21058322.82</v>
          </cell>
        </row>
        <row r="123">
          <cell r="A123" t="str">
            <v>F40830G</v>
          </cell>
          <cell r="B123" t="str">
            <v>PROPERTY TAXES GAS</v>
          </cell>
          <cell r="C123">
            <v>0</v>
          </cell>
          <cell r="D123">
            <v>387349.3</v>
          </cell>
          <cell r="E123">
            <v>388659.07</v>
          </cell>
          <cell r="F123">
            <v>388659.07</v>
          </cell>
          <cell r="G123">
            <v>388659.07</v>
          </cell>
          <cell r="H123">
            <v>387368.27</v>
          </cell>
          <cell r="I123">
            <v>388659.07</v>
          </cell>
          <cell r="J123">
            <v>1649117.19</v>
          </cell>
          <cell r="K123">
            <v>474583</v>
          </cell>
          <cell r="L123">
            <v>474583</v>
          </cell>
          <cell r="M123">
            <v>585255</v>
          </cell>
          <cell r="N123">
            <v>585255</v>
          </cell>
          <cell r="O123">
            <v>523018.5</v>
          </cell>
          <cell r="P123">
            <v>6621165.54</v>
          </cell>
          <cell r="Q123">
            <v>6621165.54</v>
          </cell>
        </row>
        <row r="124">
          <cell r="A124" t="str">
            <v>F40840E</v>
          </cell>
          <cell r="B124" t="str">
            <v>TAXES OTHER THAN INCOME TAXES-OTHER ELE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310073.78000000003</v>
          </cell>
          <cell r="L124">
            <v>40559</v>
          </cell>
          <cell r="M124">
            <v>66536.25</v>
          </cell>
          <cell r="N124">
            <v>0</v>
          </cell>
          <cell r="O124">
            <v>0</v>
          </cell>
          <cell r="P124">
            <v>417169.03</v>
          </cell>
          <cell r="Q124">
            <v>417169.03</v>
          </cell>
        </row>
        <row r="125">
          <cell r="A125" t="str">
            <v>F40840G</v>
          </cell>
          <cell r="B125" t="str">
            <v>TAXES OTHER THAN INCOME TAXES-OTHER GAS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99961.22</v>
          </cell>
          <cell r="L125">
            <v>13076</v>
          </cell>
          <cell r="M125">
            <v>21450.080000000002</v>
          </cell>
          <cell r="N125">
            <v>0</v>
          </cell>
          <cell r="O125">
            <v>0</v>
          </cell>
          <cell r="P125">
            <v>134487.29999999999</v>
          </cell>
          <cell r="Q125">
            <v>134487.29999999999</v>
          </cell>
        </row>
        <row r="126">
          <cell r="A126" t="str">
            <v>F40910E</v>
          </cell>
          <cell r="B126" t="str">
            <v>INCOME TAXES-FEDERAL (409.1)</v>
          </cell>
          <cell r="C126">
            <v>0</v>
          </cell>
          <cell r="D126">
            <v>8296000</v>
          </cell>
          <cell r="E126">
            <v>8925000</v>
          </cell>
          <cell r="F126">
            <v>8015000</v>
          </cell>
          <cell r="G126">
            <v>136227.69</v>
          </cell>
          <cell r="H126">
            <v>4821000</v>
          </cell>
          <cell r="I126">
            <v>6959000</v>
          </cell>
          <cell r="J126">
            <v>9062772.3100000005</v>
          </cell>
          <cell r="K126">
            <v>1854000</v>
          </cell>
          <cell r="L126">
            <v>-25431000</v>
          </cell>
          <cell r="M126">
            <v>3004000</v>
          </cell>
          <cell r="N126">
            <v>-123264000</v>
          </cell>
          <cell r="O126">
            <v>-47655965.770000003</v>
          </cell>
          <cell r="P126">
            <v>-145277965.77000001</v>
          </cell>
          <cell r="Q126">
            <v>-145277965.77000001</v>
          </cell>
        </row>
        <row r="127">
          <cell r="A127" t="str">
            <v>F40910G</v>
          </cell>
          <cell r="B127" t="str">
            <v>INCOME TAXES-FEDERAL (409.1)</v>
          </cell>
          <cell r="C127">
            <v>0</v>
          </cell>
          <cell r="D127">
            <v>2030000</v>
          </cell>
          <cell r="E127">
            <v>1357000</v>
          </cell>
          <cell r="F127">
            <v>1457000</v>
          </cell>
          <cell r="G127">
            <v>3585000</v>
          </cell>
          <cell r="H127">
            <v>1499000</v>
          </cell>
          <cell r="I127">
            <v>1915000</v>
          </cell>
          <cell r="J127">
            <v>2404000</v>
          </cell>
          <cell r="K127">
            <v>2155000</v>
          </cell>
          <cell r="L127">
            <v>5261000</v>
          </cell>
          <cell r="M127">
            <v>644000</v>
          </cell>
          <cell r="N127">
            <v>501000</v>
          </cell>
          <cell r="O127">
            <v>1645000</v>
          </cell>
          <cell r="P127">
            <v>24453000</v>
          </cell>
          <cell r="Q127">
            <v>24453000</v>
          </cell>
        </row>
        <row r="128">
          <cell r="A128" t="str">
            <v>F40911E</v>
          </cell>
          <cell r="B128" t="str">
            <v>STATE INCOME TAXES ELEC</v>
          </cell>
          <cell r="C128">
            <v>0</v>
          </cell>
          <cell r="D128">
            <v>3147000</v>
          </cell>
          <cell r="E128">
            <v>2103000</v>
          </cell>
          <cell r="F128">
            <v>2258000</v>
          </cell>
          <cell r="G128">
            <v>1814000</v>
          </cell>
          <cell r="H128">
            <v>1621000</v>
          </cell>
          <cell r="I128">
            <v>2089000</v>
          </cell>
          <cell r="J128">
            <v>6800772.3099999996</v>
          </cell>
          <cell r="K128">
            <v>2372000</v>
          </cell>
          <cell r="L128">
            <v>-6072000</v>
          </cell>
          <cell r="M128">
            <v>356000</v>
          </cell>
          <cell r="N128">
            <v>-52513000</v>
          </cell>
          <cell r="O128">
            <v>-11617687.82</v>
          </cell>
          <cell r="P128">
            <v>-47641915.509999998</v>
          </cell>
          <cell r="Q128">
            <v>-47641915.509999998</v>
          </cell>
        </row>
        <row r="129">
          <cell r="A129" t="str">
            <v>F40911G</v>
          </cell>
          <cell r="B129" t="str">
            <v>STATE INCOME TAXES GAS</v>
          </cell>
          <cell r="C129">
            <v>0</v>
          </cell>
          <cell r="D129">
            <v>685000</v>
          </cell>
          <cell r="E129">
            <v>458000</v>
          </cell>
          <cell r="F129">
            <v>492000</v>
          </cell>
          <cell r="G129">
            <v>773000</v>
          </cell>
          <cell r="H129">
            <v>443000</v>
          </cell>
          <cell r="I129">
            <v>544000</v>
          </cell>
          <cell r="J129">
            <v>689000</v>
          </cell>
          <cell r="K129">
            <v>618000</v>
          </cell>
          <cell r="L129">
            <v>604000</v>
          </cell>
          <cell r="M129">
            <v>158000</v>
          </cell>
          <cell r="N129">
            <v>-391000</v>
          </cell>
          <cell r="O129">
            <v>422000</v>
          </cell>
          <cell r="P129">
            <v>5495000</v>
          </cell>
          <cell r="Q129">
            <v>5495000</v>
          </cell>
        </row>
        <row r="130">
          <cell r="A130" t="str">
            <v>F40920C</v>
          </cell>
          <cell r="B130" t="str">
            <v>TAXES ON NON OPERATING INCOME</v>
          </cell>
          <cell r="C130">
            <v>0</v>
          </cell>
          <cell r="D130">
            <v>2240000</v>
          </cell>
          <cell r="E130">
            <v>3021000</v>
          </cell>
          <cell r="F130">
            <v>157000</v>
          </cell>
          <cell r="G130">
            <v>2129000</v>
          </cell>
          <cell r="H130">
            <v>2046000</v>
          </cell>
          <cell r="I130">
            <v>-2699000</v>
          </cell>
          <cell r="J130">
            <v>2018000</v>
          </cell>
          <cell r="K130">
            <v>1014000</v>
          </cell>
          <cell r="L130">
            <v>2174000</v>
          </cell>
          <cell r="M130">
            <v>1001000</v>
          </cell>
          <cell r="N130">
            <v>-2735000</v>
          </cell>
          <cell r="O130">
            <v>-3001000</v>
          </cell>
          <cell r="P130">
            <v>7365000</v>
          </cell>
          <cell r="Q130">
            <v>7365000</v>
          </cell>
        </row>
        <row r="131">
          <cell r="A131" t="str">
            <v>F41010E</v>
          </cell>
          <cell r="B131" t="str">
            <v>PROVISION FOR DEFERRED INCOME TAXES FED</v>
          </cell>
          <cell r="C131">
            <v>0</v>
          </cell>
          <cell r="D131">
            <v>3705000</v>
          </cell>
          <cell r="E131">
            <v>2476000</v>
          </cell>
          <cell r="F131">
            <v>2660000</v>
          </cell>
          <cell r="G131">
            <v>2501000</v>
          </cell>
          <cell r="H131">
            <v>2064000</v>
          </cell>
          <cell r="I131">
            <v>1404000</v>
          </cell>
          <cell r="J131">
            <v>2915000</v>
          </cell>
          <cell r="K131">
            <v>2614000</v>
          </cell>
          <cell r="L131">
            <v>52733000</v>
          </cell>
          <cell r="M131">
            <v>19136000</v>
          </cell>
          <cell r="N131">
            <v>218796000</v>
          </cell>
          <cell r="O131">
            <v>62516965.770000003</v>
          </cell>
          <cell r="P131">
            <v>373520965.76999998</v>
          </cell>
          <cell r="Q131">
            <v>373520965.76999998</v>
          </cell>
        </row>
        <row r="132">
          <cell r="A132" t="str">
            <v>F41010G</v>
          </cell>
          <cell r="B132" t="str">
            <v>PROVISION FOR DEFERRED INCOME TAXES FED</v>
          </cell>
          <cell r="C132">
            <v>0</v>
          </cell>
          <cell r="D132">
            <v>444000</v>
          </cell>
          <cell r="E132">
            <v>296000</v>
          </cell>
          <cell r="F132">
            <v>320000</v>
          </cell>
          <cell r="G132">
            <v>300000</v>
          </cell>
          <cell r="H132">
            <v>230000</v>
          </cell>
          <cell r="I132">
            <v>301000</v>
          </cell>
          <cell r="J132">
            <v>383000</v>
          </cell>
          <cell r="K132">
            <v>343000</v>
          </cell>
          <cell r="L132">
            <v>26000</v>
          </cell>
          <cell r="M132">
            <v>68000</v>
          </cell>
          <cell r="N132">
            <v>635000</v>
          </cell>
          <cell r="O132">
            <v>129000</v>
          </cell>
          <cell r="P132">
            <v>3475000</v>
          </cell>
          <cell r="Q132">
            <v>3475000</v>
          </cell>
        </row>
        <row r="133">
          <cell r="A133" t="str">
            <v>F41011E</v>
          </cell>
          <cell r="B133" t="str">
            <v>PROVISION FOR DEFERRED INCOME TAXES STA</v>
          </cell>
          <cell r="C133">
            <v>0</v>
          </cell>
          <cell r="D133">
            <v>127000</v>
          </cell>
          <cell r="E133">
            <v>85000</v>
          </cell>
          <cell r="F133">
            <v>91000</v>
          </cell>
          <cell r="G133">
            <v>85000</v>
          </cell>
          <cell r="H133">
            <v>4210772.3099999996</v>
          </cell>
          <cell r="I133">
            <v>85000</v>
          </cell>
          <cell r="J133">
            <v>-4048772.31</v>
          </cell>
          <cell r="K133">
            <v>95000</v>
          </cell>
          <cell r="L133">
            <v>11015000</v>
          </cell>
          <cell r="M133">
            <v>4664000</v>
          </cell>
          <cell r="N133">
            <v>48644000</v>
          </cell>
          <cell r="O133">
            <v>15130687.82</v>
          </cell>
          <cell r="P133">
            <v>80183687.819999993</v>
          </cell>
          <cell r="Q133">
            <v>80183687.819999993</v>
          </cell>
        </row>
        <row r="134">
          <cell r="A134" t="str">
            <v>F41011G</v>
          </cell>
          <cell r="B134" t="str">
            <v>PROVISION FOR DEFERRED INCOME TAXES STA</v>
          </cell>
          <cell r="C134">
            <v>0</v>
          </cell>
          <cell r="D134">
            <v>13000</v>
          </cell>
          <cell r="E134">
            <v>8000</v>
          </cell>
          <cell r="F134">
            <v>9000</v>
          </cell>
          <cell r="G134">
            <v>9000</v>
          </cell>
          <cell r="H134">
            <v>0</v>
          </cell>
          <cell r="I134">
            <v>6000</v>
          </cell>
          <cell r="J134">
            <v>8000</v>
          </cell>
          <cell r="K134">
            <v>7000</v>
          </cell>
          <cell r="L134">
            <v>6000</v>
          </cell>
          <cell r="M134">
            <v>1000</v>
          </cell>
          <cell r="N134">
            <v>303000</v>
          </cell>
          <cell r="O134">
            <v>8000</v>
          </cell>
          <cell r="P134">
            <v>378000</v>
          </cell>
          <cell r="Q134">
            <v>378000</v>
          </cell>
        </row>
        <row r="135">
          <cell r="A135" t="str">
            <v>F41020C</v>
          </cell>
          <cell r="B135" t="str">
            <v>PROVISION FOR DEFERRED INC. TAXES NON O</v>
          </cell>
          <cell r="C135">
            <v>0</v>
          </cell>
          <cell r="D135">
            <v>178000</v>
          </cell>
          <cell r="E135">
            <v>118000</v>
          </cell>
          <cell r="F135">
            <v>128000</v>
          </cell>
          <cell r="G135">
            <v>120000</v>
          </cell>
          <cell r="H135">
            <v>74000</v>
          </cell>
          <cell r="I135">
            <v>117000</v>
          </cell>
          <cell r="J135">
            <v>150000</v>
          </cell>
          <cell r="K135">
            <v>133000</v>
          </cell>
          <cell r="L135">
            <v>101000</v>
          </cell>
          <cell r="M135">
            <v>32000</v>
          </cell>
          <cell r="N135">
            <v>524000</v>
          </cell>
          <cell r="O135">
            <v>2139000</v>
          </cell>
          <cell r="P135">
            <v>3814000</v>
          </cell>
          <cell r="Q135">
            <v>3814000</v>
          </cell>
        </row>
        <row r="136">
          <cell r="A136" t="str">
            <v>F41110E</v>
          </cell>
          <cell r="B136" t="str">
            <v>(LESS) PROVISION FOR DEFERRED INCOME TA</v>
          </cell>
          <cell r="C136">
            <v>0</v>
          </cell>
          <cell r="D136">
            <v>-267000</v>
          </cell>
          <cell r="E136">
            <v>-177000</v>
          </cell>
          <cell r="F136">
            <v>-192000</v>
          </cell>
          <cell r="G136">
            <v>-180000</v>
          </cell>
          <cell r="H136">
            <v>-194000</v>
          </cell>
          <cell r="I136">
            <v>-1049000</v>
          </cell>
          <cell r="J136">
            <v>-4483772.3099999996</v>
          </cell>
          <cell r="K136">
            <v>-292000</v>
          </cell>
          <cell r="L136">
            <v>-30821000</v>
          </cell>
          <cell r="M136">
            <v>-16480000</v>
          </cell>
          <cell r="N136">
            <v>-63547000</v>
          </cell>
          <cell r="O136">
            <v>-4043000</v>
          </cell>
          <cell r="P136">
            <v>-121725772.31</v>
          </cell>
          <cell r="Q136">
            <v>-121725772.31</v>
          </cell>
        </row>
        <row r="137">
          <cell r="A137" t="str">
            <v>F41110G</v>
          </cell>
          <cell r="B137" t="str">
            <v>(LESS) PROVISION FOR DEFERRED INCOME TA</v>
          </cell>
          <cell r="C137">
            <v>0</v>
          </cell>
          <cell r="D137">
            <v>-63000</v>
          </cell>
          <cell r="E137">
            <v>-42000</v>
          </cell>
          <cell r="F137">
            <v>-47000</v>
          </cell>
          <cell r="G137">
            <v>-43000</v>
          </cell>
          <cell r="H137">
            <v>-34000</v>
          </cell>
          <cell r="I137">
            <v>-43000</v>
          </cell>
          <cell r="J137">
            <v>-54000</v>
          </cell>
          <cell r="K137">
            <v>-49000</v>
          </cell>
          <cell r="L137">
            <v>-3456000</v>
          </cell>
          <cell r="M137">
            <v>-43000</v>
          </cell>
          <cell r="N137">
            <v>-9560000</v>
          </cell>
          <cell r="O137">
            <v>-205000</v>
          </cell>
          <cell r="P137">
            <v>-13639000</v>
          </cell>
          <cell r="Q137">
            <v>-13639000</v>
          </cell>
        </row>
        <row r="138">
          <cell r="A138" t="str">
            <v>F41112E</v>
          </cell>
          <cell r="B138" t="str">
            <v>(LESS) PROVISION FOR DEFERRED INCOME TA</v>
          </cell>
          <cell r="C138">
            <v>0</v>
          </cell>
          <cell r="D138">
            <v>-25000</v>
          </cell>
          <cell r="E138">
            <v>-17000</v>
          </cell>
          <cell r="F138">
            <v>-19000</v>
          </cell>
          <cell r="G138">
            <v>4138772.31</v>
          </cell>
          <cell r="H138">
            <v>-4188772.31</v>
          </cell>
          <cell r="I138">
            <v>-21000</v>
          </cell>
          <cell r="J138">
            <v>-27000</v>
          </cell>
          <cell r="K138">
            <v>-23000</v>
          </cell>
          <cell r="L138">
            <v>-8196000</v>
          </cell>
          <cell r="M138">
            <v>-3759000</v>
          </cell>
          <cell r="N138">
            <v>-6501000</v>
          </cell>
          <cell r="O138">
            <v>-963000</v>
          </cell>
          <cell r="P138">
            <v>-19601000</v>
          </cell>
          <cell r="Q138">
            <v>-19601000</v>
          </cell>
        </row>
        <row r="139">
          <cell r="A139" t="str">
            <v>F41112G</v>
          </cell>
          <cell r="B139" t="str">
            <v>(LESS) PROVISION FOR DEFERRED INCOME TA</v>
          </cell>
          <cell r="C139">
            <v>0</v>
          </cell>
          <cell r="D139">
            <v>-25000</v>
          </cell>
          <cell r="E139">
            <v>-17000</v>
          </cell>
          <cell r="F139">
            <v>-19000</v>
          </cell>
          <cell r="G139">
            <v>-17000</v>
          </cell>
          <cell r="H139">
            <v>-44000</v>
          </cell>
          <cell r="I139">
            <v>-21000</v>
          </cell>
          <cell r="J139">
            <v>-28000</v>
          </cell>
          <cell r="K139">
            <v>-26000</v>
          </cell>
          <cell r="L139">
            <v>-160000</v>
          </cell>
          <cell r="M139">
            <v>-11000</v>
          </cell>
          <cell r="N139">
            <v>-2313000</v>
          </cell>
          <cell r="O139">
            <v>-49000</v>
          </cell>
          <cell r="P139">
            <v>-2730000</v>
          </cell>
          <cell r="Q139">
            <v>-2730000</v>
          </cell>
        </row>
        <row r="140">
          <cell r="A140" t="str">
            <v>F41120C</v>
          </cell>
          <cell r="B140" t="str">
            <v>(LESS) PROVISION FOR DEFERRED INCOME TA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-872000</v>
          </cell>
          <cell r="O140">
            <v>-56000</v>
          </cell>
          <cell r="P140">
            <v>-928000</v>
          </cell>
          <cell r="Q140">
            <v>-928000</v>
          </cell>
        </row>
        <row r="141">
          <cell r="A141" t="str">
            <v>F41140E</v>
          </cell>
          <cell r="B141" t="str">
            <v>INVESTMENT TAX CREDIT ADJ.-FED ELECTRIC</v>
          </cell>
          <cell r="C141">
            <v>0</v>
          </cell>
          <cell r="D141">
            <v>-279000</v>
          </cell>
          <cell r="E141">
            <v>-187000</v>
          </cell>
          <cell r="F141">
            <v>-200000</v>
          </cell>
          <cell r="G141">
            <v>-188000</v>
          </cell>
          <cell r="H141">
            <v>-151000</v>
          </cell>
          <cell r="I141">
            <v>-192000</v>
          </cell>
          <cell r="J141">
            <v>-243000</v>
          </cell>
          <cell r="K141">
            <v>-218000</v>
          </cell>
          <cell r="L141">
            <v>-163000</v>
          </cell>
          <cell r="M141">
            <v>-54000</v>
          </cell>
          <cell r="N141">
            <v>-72000</v>
          </cell>
          <cell r="O141">
            <v>-253000</v>
          </cell>
          <cell r="P141">
            <v>-2200000</v>
          </cell>
          <cell r="Q141">
            <v>-2200000</v>
          </cell>
        </row>
        <row r="142">
          <cell r="A142" t="str">
            <v>F41140G</v>
          </cell>
          <cell r="B142" t="str">
            <v>INVESTMENT TAX CREDIT ADJ.-FED GAS</v>
          </cell>
          <cell r="C142">
            <v>0</v>
          </cell>
          <cell r="D142">
            <v>-76000</v>
          </cell>
          <cell r="E142">
            <v>-51000</v>
          </cell>
          <cell r="F142">
            <v>-55000</v>
          </cell>
          <cell r="G142">
            <v>-51000</v>
          </cell>
          <cell r="H142">
            <v>-41000</v>
          </cell>
          <cell r="I142">
            <v>-52000</v>
          </cell>
          <cell r="J142">
            <v>-67000</v>
          </cell>
          <cell r="K142">
            <v>-59000</v>
          </cell>
          <cell r="L142">
            <v>-45000</v>
          </cell>
          <cell r="M142">
            <v>-14000</v>
          </cell>
          <cell r="N142">
            <v>-20000</v>
          </cell>
          <cell r="O142">
            <v>-69000</v>
          </cell>
          <cell r="P142">
            <v>-600000</v>
          </cell>
          <cell r="Q142">
            <v>-600000</v>
          </cell>
        </row>
        <row r="143">
          <cell r="A143" t="str">
            <v>F41160E</v>
          </cell>
          <cell r="B143" t="str">
            <v>GAIN FROM DISP UT PLANT</v>
          </cell>
          <cell r="C143">
            <v>0</v>
          </cell>
          <cell r="D143">
            <v>107.91</v>
          </cell>
          <cell r="E143">
            <v>-201703.76</v>
          </cell>
          <cell r="F143">
            <v>760.15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-23790316.41</v>
          </cell>
          <cell r="M143">
            <v>0</v>
          </cell>
          <cell r="N143">
            <v>-883066.88</v>
          </cell>
          <cell r="O143">
            <v>0</v>
          </cell>
          <cell r="P143">
            <v>-24874218.989999998</v>
          </cell>
          <cell r="Q143">
            <v>-24874218.989999998</v>
          </cell>
        </row>
        <row r="144">
          <cell r="A144" t="str">
            <v>F41170E</v>
          </cell>
          <cell r="B144" t="str">
            <v>LOSSES FROM DISP UT PLANT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70102.990000000005</v>
          </cell>
          <cell r="N144">
            <v>0</v>
          </cell>
          <cell r="O144">
            <v>0</v>
          </cell>
          <cell r="P144">
            <v>70102.990000000005</v>
          </cell>
          <cell r="Q144">
            <v>70102.990000000005</v>
          </cell>
        </row>
        <row r="145">
          <cell r="A145" t="str">
            <v>F41700C</v>
          </cell>
          <cell r="B145" t="str">
            <v>REVENUES FROM NONUTILITY OPERATIONS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46.57</v>
          </cell>
          <cell r="I145">
            <v>-55.18</v>
          </cell>
          <cell r="J145">
            <v>-7528.58</v>
          </cell>
          <cell r="K145">
            <v>0</v>
          </cell>
          <cell r="L145">
            <v>0</v>
          </cell>
          <cell r="M145">
            <v>8000</v>
          </cell>
          <cell r="N145">
            <v>0</v>
          </cell>
          <cell r="O145">
            <v>0</v>
          </cell>
          <cell r="P145">
            <v>462.8100000000004</v>
          </cell>
          <cell r="Q145">
            <v>462.8100000000004</v>
          </cell>
        </row>
        <row r="146">
          <cell r="A146" t="str">
            <v>F41710C</v>
          </cell>
          <cell r="B146" t="str">
            <v>EXPENSES OF NONUTILITY OPERATIONS</v>
          </cell>
          <cell r="C146">
            <v>0</v>
          </cell>
          <cell r="D146">
            <v>12720.57</v>
          </cell>
          <cell r="E146">
            <v>12720.58</v>
          </cell>
          <cell r="F146">
            <v>12720.57</v>
          </cell>
          <cell r="G146">
            <v>14387.5</v>
          </cell>
          <cell r="H146">
            <v>12756.23</v>
          </cell>
          <cell r="I146">
            <v>12756.25</v>
          </cell>
          <cell r="J146">
            <v>12756.22</v>
          </cell>
          <cell r="K146">
            <v>12756.23</v>
          </cell>
          <cell r="L146">
            <v>12756.24</v>
          </cell>
          <cell r="M146">
            <v>12756.23</v>
          </cell>
          <cell r="N146">
            <v>12756.24</v>
          </cell>
          <cell r="O146">
            <v>12756.23</v>
          </cell>
          <cell r="P146">
            <v>154599.09</v>
          </cell>
          <cell r="Q146">
            <v>154599.09</v>
          </cell>
        </row>
        <row r="147">
          <cell r="A147" t="str">
            <v>F41800C</v>
          </cell>
          <cell r="B147" t="str">
            <v>NONOPERATING RENTAL INCOME</v>
          </cell>
          <cell r="C147">
            <v>0</v>
          </cell>
          <cell r="D147">
            <v>-648303.68000000005</v>
          </cell>
          <cell r="E147">
            <v>-27858.84</v>
          </cell>
          <cell r="F147">
            <v>290636.21999999997</v>
          </cell>
          <cell r="G147">
            <v>7594.99</v>
          </cell>
          <cell r="H147">
            <v>-23428.28</v>
          </cell>
          <cell r="I147">
            <v>35750.730000000003</v>
          </cell>
          <cell r="J147">
            <v>-329039.31</v>
          </cell>
          <cell r="K147">
            <v>-159094.38</v>
          </cell>
          <cell r="L147">
            <v>-17847.310000000001</v>
          </cell>
          <cell r="M147">
            <v>-17843.32</v>
          </cell>
          <cell r="N147">
            <v>3659.87</v>
          </cell>
          <cell r="O147">
            <v>-469579.74</v>
          </cell>
          <cell r="P147">
            <v>-1355353.0500000003</v>
          </cell>
          <cell r="Q147">
            <v>-1355353.0500000003</v>
          </cell>
        </row>
        <row r="148">
          <cell r="A148" t="str">
            <v>F41900C</v>
          </cell>
          <cell r="B148" t="str">
            <v>INTEREST AND DIVIDEND INCOME</v>
          </cell>
          <cell r="C148">
            <v>0</v>
          </cell>
          <cell r="D148">
            <v>-5078741.1900000004</v>
          </cell>
          <cell r="E148">
            <v>-4820708.1900000004</v>
          </cell>
          <cell r="F148">
            <v>-5162087</v>
          </cell>
          <cell r="G148">
            <v>-4534583.83</v>
          </cell>
          <cell r="H148">
            <v>-5077380.17</v>
          </cell>
          <cell r="I148">
            <v>-5739349.9400000004</v>
          </cell>
          <cell r="J148">
            <v>-6078605.3200000003</v>
          </cell>
          <cell r="K148">
            <v>-6096566.7999999998</v>
          </cell>
          <cell r="L148">
            <v>-4743858.6100000003</v>
          </cell>
          <cell r="M148">
            <v>-3870176.97</v>
          </cell>
          <cell r="N148">
            <v>-3657485.66</v>
          </cell>
          <cell r="O148">
            <v>-4797818.5599999996</v>
          </cell>
          <cell r="P148">
            <v>-59657362.239999995</v>
          </cell>
          <cell r="Q148">
            <v>-59657362.239999995</v>
          </cell>
        </row>
        <row r="149">
          <cell r="A149" t="str">
            <v>F41910C</v>
          </cell>
          <cell r="B149" t="str">
            <v>ALLOWANCE FOR OTHER FUNDS USED DURING C</v>
          </cell>
          <cell r="C149">
            <v>0</v>
          </cell>
          <cell r="D149">
            <v>-432883.12</v>
          </cell>
          <cell r="E149">
            <v>-392738.49</v>
          </cell>
          <cell r="F149">
            <v>-458417.63</v>
          </cell>
          <cell r="G149">
            <v>-473470.12</v>
          </cell>
          <cell r="H149">
            <v>-497416.11</v>
          </cell>
          <cell r="I149">
            <v>-959278.05</v>
          </cell>
          <cell r="J149">
            <v>-544377.57999999996</v>
          </cell>
          <cell r="K149">
            <v>-547503.25</v>
          </cell>
          <cell r="L149">
            <v>-563134</v>
          </cell>
          <cell r="M149">
            <v>-479845.18</v>
          </cell>
          <cell r="N149">
            <v>-593456.5</v>
          </cell>
          <cell r="O149">
            <v>-663758.14</v>
          </cell>
          <cell r="P149">
            <v>-6606278.169999999</v>
          </cell>
          <cell r="Q149">
            <v>-6606278.169999999</v>
          </cell>
        </row>
        <row r="150">
          <cell r="A150" t="str">
            <v>F42100C</v>
          </cell>
          <cell r="B150" t="str">
            <v>MISCELLANEOUS NONOPERATING INCOME</v>
          </cell>
          <cell r="C150">
            <v>0</v>
          </cell>
          <cell r="D150">
            <v>-900</v>
          </cell>
          <cell r="E150">
            <v>-2828070.22</v>
          </cell>
          <cell r="F150">
            <v>368.87</v>
          </cell>
          <cell r="G150">
            <v>-927307.33</v>
          </cell>
          <cell r="H150">
            <v>-80366.06</v>
          </cell>
          <cell r="I150">
            <v>-58115.97</v>
          </cell>
          <cell r="J150">
            <v>5394.46</v>
          </cell>
          <cell r="K150">
            <v>-81018.100000000006</v>
          </cell>
          <cell r="L150">
            <v>-89507.85</v>
          </cell>
          <cell r="M150">
            <v>-40505.33</v>
          </cell>
          <cell r="N150">
            <v>-492254.91</v>
          </cell>
          <cell r="O150">
            <v>3237.15</v>
          </cell>
          <cell r="P150">
            <v>-4589045.29</v>
          </cell>
          <cell r="Q150">
            <v>-4589045.29</v>
          </cell>
        </row>
        <row r="151">
          <cell r="A151" t="str">
            <v>F42610C</v>
          </cell>
          <cell r="B151" t="str">
            <v>DONATIONS</v>
          </cell>
          <cell r="C151">
            <v>0</v>
          </cell>
          <cell r="D151">
            <v>14144</v>
          </cell>
          <cell r="E151">
            <v>164400.89000000001</v>
          </cell>
          <cell r="F151">
            <v>124218.11</v>
          </cell>
          <cell r="G151">
            <v>187459.8</v>
          </cell>
          <cell r="H151">
            <v>240930.99</v>
          </cell>
          <cell r="I151">
            <v>209207.21</v>
          </cell>
          <cell r="J151">
            <v>185069.7</v>
          </cell>
          <cell r="K151">
            <v>106067.92</v>
          </cell>
          <cell r="L151">
            <v>128159.24</v>
          </cell>
          <cell r="M151">
            <v>89072.76</v>
          </cell>
          <cell r="N151">
            <v>38173.339999999997</v>
          </cell>
          <cell r="O151">
            <v>242068.62</v>
          </cell>
          <cell r="P151">
            <v>1728972.58</v>
          </cell>
          <cell r="Q151">
            <v>1728972.58</v>
          </cell>
        </row>
        <row r="152">
          <cell r="A152" t="str">
            <v>F42620C</v>
          </cell>
          <cell r="B152" t="str">
            <v>LIFE INSURANCE</v>
          </cell>
          <cell r="C152">
            <v>0</v>
          </cell>
          <cell r="D152">
            <v>-98267</v>
          </cell>
          <cell r="E152">
            <v>-98267</v>
          </cell>
          <cell r="F152">
            <v>-98267</v>
          </cell>
          <cell r="G152">
            <v>-98267</v>
          </cell>
          <cell r="H152">
            <v>-98267</v>
          </cell>
          <cell r="I152">
            <v>0</v>
          </cell>
          <cell r="J152">
            <v>-227576</v>
          </cell>
          <cell r="K152">
            <v>-112647</v>
          </cell>
          <cell r="L152">
            <v>-112647</v>
          </cell>
          <cell r="M152">
            <v>-112647</v>
          </cell>
          <cell r="N152">
            <v>-112647</v>
          </cell>
          <cell r="O152">
            <v>-112647</v>
          </cell>
          <cell r="P152">
            <v>-1282146</v>
          </cell>
          <cell r="Q152">
            <v>-1282146</v>
          </cell>
        </row>
        <row r="153">
          <cell r="A153" t="str">
            <v>F42630C</v>
          </cell>
          <cell r="B153" t="str">
            <v>PENALTIES</v>
          </cell>
          <cell r="C153">
            <v>0</v>
          </cell>
          <cell r="D153">
            <v>117.83</v>
          </cell>
          <cell r="E153">
            <v>700.12</v>
          </cell>
          <cell r="F153">
            <v>5456.4</v>
          </cell>
          <cell r="G153">
            <v>750</v>
          </cell>
          <cell r="H153">
            <v>2787.95</v>
          </cell>
          <cell r="I153">
            <v>6856.8</v>
          </cell>
          <cell r="J153">
            <v>771</v>
          </cell>
          <cell r="K153">
            <v>-227.46</v>
          </cell>
          <cell r="L153">
            <v>687.31</v>
          </cell>
          <cell r="M153">
            <v>-426.3</v>
          </cell>
          <cell r="N153">
            <v>257.37</v>
          </cell>
          <cell r="O153">
            <v>-104.8</v>
          </cell>
          <cell r="P153">
            <v>17626.22</v>
          </cell>
          <cell r="Q153">
            <v>17626.22</v>
          </cell>
        </row>
        <row r="154">
          <cell r="A154" t="str">
            <v>F42640C</v>
          </cell>
          <cell r="B154" t="str">
            <v>EXPENDITURES FOR CIVIC  POLITICAL AND 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1666.02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1666.02</v>
          </cell>
          <cell r="Q154">
            <v>1666.02</v>
          </cell>
        </row>
        <row r="155">
          <cell r="A155" t="str">
            <v>F42650C</v>
          </cell>
          <cell r="B155" t="str">
            <v>OTHER DEDUCTIONS</v>
          </cell>
          <cell r="C155">
            <v>0</v>
          </cell>
          <cell r="D155">
            <v>0</v>
          </cell>
          <cell r="E155">
            <v>0</v>
          </cell>
          <cell r="F155">
            <v>4250114.04</v>
          </cell>
          <cell r="G155">
            <v>0</v>
          </cell>
          <cell r="H155">
            <v>-1354.53</v>
          </cell>
          <cell r="I155">
            <v>6450000</v>
          </cell>
          <cell r="J155">
            <v>0</v>
          </cell>
          <cell r="K155">
            <v>0</v>
          </cell>
          <cell r="L155">
            <v>-2698241.78</v>
          </cell>
          <cell r="M155">
            <v>1579.18</v>
          </cell>
          <cell r="N155">
            <v>0</v>
          </cell>
          <cell r="O155">
            <v>1823974</v>
          </cell>
          <cell r="P155">
            <v>9826070.9100000001</v>
          </cell>
          <cell r="Q155">
            <v>9826070.9100000001</v>
          </cell>
        </row>
        <row r="156">
          <cell r="A156" t="str">
            <v>F42700C</v>
          </cell>
          <cell r="B156" t="str">
            <v>INTEREST ON LONG-TERM DEBT</v>
          </cell>
          <cell r="C156">
            <v>0</v>
          </cell>
          <cell r="D156">
            <v>4048729.6</v>
          </cell>
          <cell r="E156">
            <v>3902171.74</v>
          </cell>
          <cell r="F156">
            <v>4128948.32</v>
          </cell>
          <cell r="G156">
            <v>4169458.8</v>
          </cell>
          <cell r="H156">
            <v>4337329.37</v>
          </cell>
          <cell r="I156">
            <v>4068787.26</v>
          </cell>
          <cell r="J156">
            <v>4196384.3499999996</v>
          </cell>
          <cell r="K156">
            <v>4156775.94</v>
          </cell>
          <cell r="L156">
            <v>4153149.56</v>
          </cell>
          <cell r="M156">
            <v>4175950.01</v>
          </cell>
          <cell r="N156">
            <v>4341418.96</v>
          </cell>
          <cell r="O156">
            <v>4100251.27</v>
          </cell>
          <cell r="P156">
            <v>49779355.180000007</v>
          </cell>
          <cell r="Q156">
            <v>49779355.180000007</v>
          </cell>
        </row>
        <row r="157">
          <cell r="A157" t="str">
            <v>F42800C</v>
          </cell>
          <cell r="B157" t="str">
            <v>AMORTIZATION OF DEBT DISC. AND EXPENSE</v>
          </cell>
          <cell r="C157">
            <v>0</v>
          </cell>
          <cell r="D157">
            <v>58832.72</v>
          </cell>
          <cell r="E157">
            <v>58832.72</v>
          </cell>
          <cell r="F157">
            <v>58832.72</v>
          </cell>
          <cell r="G157">
            <v>58832.72</v>
          </cell>
          <cell r="H157">
            <v>58221.49</v>
          </cell>
          <cell r="I157">
            <v>58221.49</v>
          </cell>
          <cell r="J157">
            <v>58221.49</v>
          </cell>
          <cell r="K157">
            <v>58221.49</v>
          </cell>
          <cell r="L157">
            <v>58221.49</v>
          </cell>
          <cell r="M157">
            <v>58221.49</v>
          </cell>
          <cell r="N157">
            <v>58221.49</v>
          </cell>
          <cell r="O157">
            <v>58221.49</v>
          </cell>
          <cell r="P157">
            <v>701102.79999999993</v>
          </cell>
          <cell r="Q157">
            <v>701102.79999999993</v>
          </cell>
        </row>
        <row r="158">
          <cell r="A158" t="str">
            <v>F42810C</v>
          </cell>
          <cell r="B158" t="str">
            <v>AMORTIZATION OF LOSS ON REACQUIRED DEBT</v>
          </cell>
          <cell r="C158">
            <v>0</v>
          </cell>
          <cell r="D158">
            <v>382477.76</v>
          </cell>
          <cell r="E158">
            <v>372636.89</v>
          </cell>
          <cell r="F158">
            <v>372636.89</v>
          </cell>
          <cell r="G158">
            <v>372636.89</v>
          </cell>
          <cell r="H158">
            <v>374872.7</v>
          </cell>
          <cell r="I158">
            <v>374872.7</v>
          </cell>
          <cell r="J158">
            <v>374872.7</v>
          </cell>
          <cell r="K158">
            <v>374872.7</v>
          </cell>
          <cell r="L158">
            <v>374872.7</v>
          </cell>
          <cell r="M158">
            <v>374872.7</v>
          </cell>
          <cell r="N158">
            <v>374872.7</v>
          </cell>
          <cell r="O158">
            <v>374872.7</v>
          </cell>
          <cell r="P158">
            <v>4499370.0300000012</v>
          </cell>
          <cell r="Q158">
            <v>4499370.0300000012</v>
          </cell>
        </row>
        <row r="159">
          <cell r="A159" t="str">
            <v>F42900C</v>
          </cell>
          <cell r="B159" t="str">
            <v>(LESS) AMORT. OF PREMIUM ON DEBT-CREDIT</v>
          </cell>
          <cell r="C159">
            <v>0</v>
          </cell>
          <cell r="D159">
            <v>-2106.09</v>
          </cell>
          <cell r="E159">
            <v>-2106.09</v>
          </cell>
          <cell r="F159">
            <v>-2106.09</v>
          </cell>
          <cell r="G159">
            <v>-2106.09</v>
          </cell>
          <cell r="H159">
            <v>-2106.09</v>
          </cell>
          <cell r="I159">
            <v>-2106.09</v>
          </cell>
          <cell r="J159">
            <v>-2106.09</v>
          </cell>
          <cell r="K159">
            <v>-2106.09</v>
          </cell>
          <cell r="L159">
            <v>-2106.09</v>
          </cell>
          <cell r="M159">
            <v>-2106.09</v>
          </cell>
          <cell r="N159">
            <v>-2106.09</v>
          </cell>
          <cell r="O159">
            <v>-2106.09</v>
          </cell>
          <cell r="P159">
            <v>-25273.08</v>
          </cell>
          <cell r="Q159">
            <v>-25273.08</v>
          </cell>
        </row>
        <row r="160">
          <cell r="A160" t="str">
            <v>F43000C</v>
          </cell>
          <cell r="B160" t="str">
            <v>INTEREST ON DEBT TO ASSOC. COMPANIES</v>
          </cell>
          <cell r="C160">
            <v>0</v>
          </cell>
          <cell r="D160">
            <v>2785954.88</v>
          </cell>
          <cell r="E160">
            <v>2614741.6</v>
          </cell>
          <cell r="F160">
            <v>2683019.9500000002</v>
          </cell>
          <cell r="G160">
            <v>2615552.38</v>
          </cell>
          <cell r="H160">
            <v>2615552.38</v>
          </cell>
          <cell r="I160">
            <v>2516599.29</v>
          </cell>
          <cell r="J160">
            <v>2540255.7999999998</v>
          </cell>
          <cell r="K160">
            <v>2540255.7999999998</v>
          </cell>
          <cell r="L160">
            <v>2526621.59</v>
          </cell>
          <cell r="M160">
            <v>2459796.79</v>
          </cell>
          <cell r="N160">
            <v>2459796.79</v>
          </cell>
          <cell r="O160">
            <v>2522001.4700000002</v>
          </cell>
          <cell r="P160">
            <v>30880148.719999999</v>
          </cell>
          <cell r="Q160">
            <v>30880148.719999999</v>
          </cell>
        </row>
        <row r="161">
          <cell r="A161" t="str">
            <v>F43100C</v>
          </cell>
          <cell r="B161" t="str">
            <v>OTHER INTEREST EXPENSE</v>
          </cell>
          <cell r="C161">
            <v>0</v>
          </cell>
          <cell r="D161">
            <v>5408146.9900000002</v>
          </cell>
          <cell r="E161">
            <v>5459337.2400000002</v>
          </cell>
          <cell r="F161">
            <v>5454076.5999999996</v>
          </cell>
          <cell r="G161">
            <v>5344712.59</v>
          </cell>
          <cell r="H161">
            <v>5379768.21</v>
          </cell>
          <cell r="I161">
            <v>5507105.46</v>
          </cell>
          <cell r="J161">
            <v>5845680.9000000004</v>
          </cell>
          <cell r="K161">
            <v>3858208</v>
          </cell>
          <cell r="L161">
            <v>2271952</v>
          </cell>
          <cell r="M161">
            <v>1779845</v>
          </cell>
          <cell r="N161">
            <v>1253462.04</v>
          </cell>
          <cell r="O161">
            <v>1866009.23</v>
          </cell>
          <cell r="P161">
            <v>49428304.259999998</v>
          </cell>
          <cell r="Q161">
            <v>49428304.259999998</v>
          </cell>
        </row>
        <row r="162">
          <cell r="A162" t="str">
            <v>F43200C</v>
          </cell>
          <cell r="B162" t="str">
            <v>(LESS) ALLOW FOR BORROWED FUNDS USED DU</v>
          </cell>
          <cell r="C162">
            <v>0</v>
          </cell>
          <cell r="D162">
            <v>-152207.32</v>
          </cell>
          <cell r="E162">
            <v>-125450.77</v>
          </cell>
          <cell r="F162">
            <v>-148739.13</v>
          </cell>
          <cell r="G162">
            <v>-184767.22</v>
          </cell>
          <cell r="H162">
            <v>-193595.36</v>
          </cell>
          <cell r="I162">
            <v>25354.78</v>
          </cell>
          <cell r="J162">
            <v>-207642.77</v>
          </cell>
          <cell r="K162">
            <v>-194491.7</v>
          </cell>
          <cell r="L162">
            <v>-207000.53</v>
          </cell>
          <cell r="M162">
            <v>-211725.02</v>
          </cell>
          <cell r="N162">
            <v>-228604.77</v>
          </cell>
          <cell r="O162">
            <v>-294740.88</v>
          </cell>
          <cell r="P162">
            <v>-2123610.69</v>
          </cell>
          <cell r="Q162">
            <v>-2123610.69</v>
          </cell>
        </row>
        <row r="163">
          <cell r="A163" t="str">
            <v>F43701C</v>
          </cell>
          <cell r="B163" t="str">
            <v>DIVIDENDS DECLARED - PREFERRED STOCK (A</v>
          </cell>
          <cell r="C163">
            <v>0</v>
          </cell>
          <cell r="D163">
            <v>548514.03</v>
          </cell>
          <cell r="E163">
            <v>548514.03</v>
          </cell>
          <cell r="F163">
            <v>548514.03</v>
          </cell>
          <cell r="G163">
            <v>548514.03</v>
          </cell>
          <cell r="H163">
            <v>548514.03</v>
          </cell>
          <cell r="I163">
            <v>548514.03</v>
          </cell>
          <cell r="J163">
            <v>548514.03</v>
          </cell>
          <cell r="K163">
            <v>548514.03</v>
          </cell>
          <cell r="L163">
            <v>548514.03</v>
          </cell>
          <cell r="M163">
            <v>548514.03</v>
          </cell>
          <cell r="N163">
            <v>548514.03</v>
          </cell>
          <cell r="O163">
            <v>548514.03</v>
          </cell>
          <cell r="P163">
            <v>6582168.3600000022</v>
          </cell>
          <cell r="Q163">
            <v>6582168.3600000022</v>
          </cell>
        </row>
        <row r="164">
          <cell r="A164" t="str">
            <v>F43800C</v>
          </cell>
          <cell r="B164" t="str">
            <v>DIVIDENDS DECLARED-COMMON STOCK (ACCOUN</v>
          </cell>
          <cell r="C164">
            <v>0</v>
          </cell>
          <cell r="D164">
            <v>0</v>
          </cell>
          <cell r="E164">
            <v>0</v>
          </cell>
          <cell r="F164">
            <v>200000000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200000000</v>
          </cell>
          <cell r="M164">
            <v>0</v>
          </cell>
          <cell r="N164">
            <v>0</v>
          </cell>
          <cell r="O164">
            <v>0</v>
          </cell>
          <cell r="P164">
            <v>400000000</v>
          </cell>
          <cell r="Q164">
            <v>400000000</v>
          </cell>
        </row>
        <row r="165">
          <cell r="A165" t="str">
            <v>F44000C</v>
          </cell>
          <cell r="B165" t="str">
            <v>RESIDENTIAL SALES</v>
          </cell>
          <cell r="C165">
            <v>0</v>
          </cell>
          <cell r="D165">
            <v>-61441629</v>
          </cell>
          <cell r="E165">
            <v>-54959091</v>
          </cell>
          <cell r="F165">
            <v>-52706909</v>
          </cell>
          <cell r="G165">
            <v>-47296931</v>
          </cell>
          <cell r="H165">
            <v>-48798161</v>
          </cell>
          <cell r="I165">
            <v>-66488587</v>
          </cell>
          <cell r="J165">
            <v>-110312920</v>
          </cell>
          <cell r="K165">
            <v>-129402951</v>
          </cell>
          <cell r="L165">
            <v>-82700096</v>
          </cell>
          <cell r="M165">
            <v>-56559698</v>
          </cell>
          <cell r="N165">
            <v>58420285</v>
          </cell>
          <cell r="O165">
            <v>-77552109</v>
          </cell>
          <cell r="P165">
            <v>-729798797</v>
          </cell>
          <cell r="Q165">
            <v>-729798797</v>
          </cell>
        </row>
        <row r="166">
          <cell r="A166" t="str">
            <v>F44200C</v>
          </cell>
          <cell r="B166" t="str">
            <v>COMMERCIAL AND INDUSTRIAL SALES</v>
          </cell>
          <cell r="C166">
            <v>0</v>
          </cell>
          <cell r="D166">
            <v>-53530974</v>
          </cell>
          <cell r="E166">
            <v>-52313797</v>
          </cell>
          <cell r="F166">
            <v>-51604152</v>
          </cell>
          <cell r="G166">
            <v>-49441464</v>
          </cell>
          <cell r="H166">
            <v>-62662841</v>
          </cell>
          <cell r="I166">
            <v>-88397024</v>
          </cell>
          <cell r="J166">
            <v>-153187748</v>
          </cell>
          <cell r="K166">
            <v>-182621489</v>
          </cell>
          <cell r="L166">
            <v>-155263093</v>
          </cell>
          <cell r="M166">
            <v>-97865871</v>
          </cell>
          <cell r="N166">
            <v>11458479</v>
          </cell>
          <cell r="O166">
            <v>-121094659</v>
          </cell>
          <cell r="P166">
            <v>-1056524633</v>
          </cell>
          <cell r="Q166">
            <v>-1056524633</v>
          </cell>
        </row>
        <row r="167">
          <cell r="A167" t="str">
            <v>F44400C</v>
          </cell>
          <cell r="B167" t="str">
            <v>PUBLIC STREET AND HIGHWAY LIGHTING</v>
          </cell>
          <cell r="C167">
            <v>0</v>
          </cell>
          <cell r="D167">
            <v>-551120</v>
          </cell>
          <cell r="E167">
            <v>-540203</v>
          </cell>
          <cell r="F167">
            <v>-604070</v>
          </cell>
          <cell r="G167">
            <v>-464906</v>
          </cell>
          <cell r="H167">
            <v>-525351</v>
          </cell>
          <cell r="I167">
            <v>-357529</v>
          </cell>
          <cell r="J167">
            <v>-966621</v>
          </cell>
          <cell r="K167">
            <v>-532938</v>
          </cell>
          <cell r="L167">
            <v>-819074</v>
          </cell>
          <cell r="M167">
            <v>-702978</v>
          </cell>
          <cell r="N167">
            <v>-585300</v>
          </cell>
          <cell r="O167">
            <v>-894267</v>
          </cell>
          <cell r="P167">
            <v>-7544357</v>
          </cell>
          <cell r="Q167">
            <v>-7544357</v>
          </cell>
        </row>
        <row r="168">
          <cell r="A168" t="str">
            <v>F44700C</v>
          </cell>
          <cell r="B168" t="str">
            <v>SALES FOR RESALE</v>
          </cell>
          <cell r="C168">
            <v>0</v>
          </cell>
          <cell r="D168">
            <v>-121168.75</v>
          </cell>
          <cell r="E168">
            <v>-1060495.27</v>
          </cell>
          <cell r="F168">
            <v>-1737290.6</v>
          </cell>
          <cell r="G168">
            <v>-1407899.56</v>
          </cell>
          <cell r="H168">
            <v>-2487064.4500000002</v>
          </cell>
          <cell r="I168">
            <v>-4134278.07</v>
          </cell>
          <cell r="J168">
            <v>-2286232.56</v>
          </cell>
          <cell r="K168">
            <v>-4579248.38</v>
          </cell>
          <cell r="L168">
            <v>-1913331.13</v>
          </cell>
          <cell r="M168">
            <v>-3695109.37</v>
          </cell>
          <cell r="N168">
            <v>-11437037.560000001</v>
          </cell>
          <cell r="O168">
            <v>-24093341.789999999</v>
          </cell>
          <cell r="P168">
            <v>-58952497.490000002</v>
          </cell>
          <cell r="Q168">
            <v>-58952497.490000002</v>
          </cell>
        </row>
        <row r="169">
          <cell r="A169" t="str">
            <v>F44701C</v>
          </cell>
          <cell r="B169" t="str">
            <v>COST RECOVERY FROM ISO/PX</v>
          </cell>
          <cell r="C169">
            <v>0</v>
          </cell>
          <cell r="D169">
            <v>-21877483.809999999</v>
          </cell>
          <cell r="E169">
            <v>-18701654.390000001</v>
          </cell>
          <cell r="F169">
            <v>-18916632.879999999</v>
          </cell>
          <cell r="G169">
            <v>-18640410.550000001</v>
          </cell>
          <cell r="H169">
            <v>-34325053.659999996</v>
          </cell>
          <cell r="I169">
            <v>-76516171.359999999</v>
          </cell>
          <cell r="J169">
            <v>-73616428.200000003</v>
          </cell>
          <cell r="K169">
            <v>-116030956.08</v>
          </cell>
          <cell r="L169">
            <v>-76303773.030000001</v>
          </cell>
          <cell r="M169">
            <v>-52074348.439999998</v>
          </cell>
          <cell r="N169">
            <v>-68979796.939999998</v>
          </cell>
          <cell r="O169">
            <v>-141299462.08000001</v>
          </cell>
          <cell r="P169">
            <v>-717282171.41999996</v>
          </cell>
          <cell r="Q169">
            <v>-717282171.41999996</v>
          </cell>
        </row>
        <row r="170">
          <cell r="A170" t="str">
            <v>F45100C</v>
          </cell>
          <cell r="B170" t="str">
            <v>MISCELLANEOUS SERVICE REVENUES</v>
          </cell>
          <cell r="C170">
            <v>0</v>
          </cell>
          <cell r="D170">
            <v>-1846161</v>
          </cell>
          <cell r="E170">
            <v>-1767872</v>
          </cell>
          <cell r="F170">
            <v>-1744218</v>
          </cell>
          <cell r="G170">
            <v>-1652290</v>
          </cell>
          <cell r="H170">
            <v>-1842402</v>
          </cell>
          <cell r="I170">
            <v>-2216895</v>
          </cell>
          <cell r="J170">
            <v>-3127585</v>
          </cell>
          <cell r="K170">
            <v>-3138615</v>
          </cell>
          <cell r="L170">
            <v>-2459139</v>
          </cell>
          <cell r="M170">
            <v>-1756933</v>
          </cell>
          <cell r="N170">
            <v>-192259</v>
          </cell>
          <cell r="O170">
            <v>-2587610.41</v>
          </cell>
          <cell r="P170">
            <v>-24331979.41</v>
          </cell>
          <cell r="Q170">
            <v>-24331979.41</v>
          </cell>
        </row>
        <row r="171">
          <cell r="A171" t="str">
            <v>F45400C</v>
          </cell>
          <cell r="B171" t="str">
            <v>RENT FROM ELECTRIC PROPERTY</v>
          </cell>
          <cell r="C171">
            <v>0</v>
          </cell>
          <cell r="D171">
            <v>429.59</v>
          </cell>
          <cell r="E171">
            <v>337.75</v>
          </cell>
          <cell r="F171">
            <v>85.5</v>
          </cell>
          <cell r="G171">
            <v>0</v>
          </cell>
          <cell r="H171">
            <v>128.52000000000001</v>
          </cell>
          <cell r="I171">
            <v>355.27</v>
          </cell>
          <cell r="J171">
            <v>0</v>
          </cell>
          <cell r="K171">
            <v>99.47</v>
          </cell>
          <cell r="L171">
            <v>395.77</v>
          </cell>
          <cell r="M171">
            <v>0</v>
          </cell>
          <cell r="N171">
            <v>0</v>
          </cell>
          <cell r="O171">
            <v>201.28</v>
          </cell>
          <cell r="P171">
            <v>2033.1499999999999</v>
          </cell>
          <cell r="Q171">
            <v>2033.1499999999999</v>
          </cell>
        </row>
        <row r="172">
          <cell r="A172" t="str">
            <v>F45400E</v>
          </cell>
          <cell r="B172" t="str">
            <v>RENT FROM ELECTRIC PROPERTY</v>
          </cell>
          <cell r="C172">
            <v>0</v>
          </cell>
          <cell r="D172">
            <v>-88776.94</v>
          </cell>
          <cell r="E172">
            <v>-1015826.6</v>
          </cell>
          <cell r="F172">
            <v>-108840.72</v>
          </cell>
          <cell r="G172">
            <v>-34039.699999999997</v>
          </cell>
          <cell r="H172">
            <v>-68278.59</v>
          </cell>
          <cell r="I172">
            <v>-62311.29</v>
          </cell>
          <cell r="J172">
            <v>-55047.41</v>
          </cell>
          <cell r="K172">
            <v>-54181.94</v>
          </cell>
          <cell r="L172">
            <v>-243060.69</v>
          </cell>
          <cell r="M172">
            <v>-48262.42</v>
          </cell>
          <cell r="N172">
            <v>-359324.23</v>
          </cell>
          <cell r="O172">
            <v>-225040.4</v>
          </cell>
          <cell r="P172">
            <v>-2362990.9299999997</v>
          </cell>
          <cell r="Q172">
            <v>-2362990.9299999997</v>
          </cell>
        </row>
        <row r="173">
          <cell r="A173" t="str">
            <v>F45600C</v>
          </cell>
          <cell r="B173" t="str">
            <v>OTHER ELECTRIC REVENUES</v>
          </cell>
          <cell r="C173">
            <v>0</v>
          </cell>
          <cell r="D173">
            <v>5619218.9199999999</v>
          </cell>
          <cell r="E173">
            <v>-5217005.43</v>
          </cell>
          <cell r="F173">
            <v>-10085124.189999999</v>
          </cell>
          <cell r="G173">
            <v>-8769159.2300000004</v>
          </cell>
          <cell r="H173">
            <v>-26876092.809999999</v>
          </cell>
          <cell r="I173">
            <v>-57245608.909999996</v>
          </cell>
          <cell r="J173">
            <v>55364828.479999997</v>
          </cell>
          <cell r="K173">
            <v>70669610.780000001</v>
          </cell>
          <cell r="L173">
            <v>89106980.299999997</v>
          </cell>
          <cell r="M173">
            <v>-29105860.440000001</v>
          </cell>
          <cell r="N173">
            <v>-272078382.61000001</v>
          </cell>
          <cell r="O173">
            <v>-83249940.310000002</v>
          </cell>
          <cell r="P173">
            <v>-271866535.45000005</v>
          </cell>
          <cell r="Q173">
            <v>-271866535.45000005</v>
          </cell>
        </row>
        <row r="174">
          <cell r="A174" t="str">
            <v>F45601C</v>
          </cell>
          <cell r="B174" t="str">
            <v>OTHER ELECTRIC REVENUES</v>
          </cell>
          <cell r="C174">
            <v>0</v>
          </cell>
          <cell r="D174">
            <v>1249586.3</v>
          </cell>
          <cell r="E174">
            <v>-1241929.27</v>
          </cell>
          <cell r="F174">
            <v>-865964.18</v>
          </cell>
          <cell r="G174">
            <v>-777543.44</v>
          </cell>
          <cell r="H174">
            <v>-911526.7</v>
          </cell>
          <cell r="I174">
            <v>-792086.91</v>
          </cell>
          <cell r="J174">
            <v>-811901.84</v>
          </cell>
          <cell r="K174">
            <v>-608689.13</v>
          </cell>
          <cell r="L174">
            <v>-769581</v>
          </cell>
          <cell r="M174">
            <v>-532357.06999999995</v>
          </cell>
          <cell r="N174">
            <v>-941974.21</v>
          </cell>
          <cell r="O174">
            <v>-780506.79</v>
          </cell>
          <cell r="P174">
            <v>-7784474.2400000002</v>
          </cell>
          <cell r="Q174">
            <v>-7784474.2400000002</v>
          </cell>
        </row>
        <row r="175">
          <cell r="A175" t="str">
            <v>F48000C</v>
          </cell>
          <cell r="B175" t="str">
            <v>RESIDENTIAL SALES</v>
          </cell>
          <cell r="C175">
            <v>0</v>
          </cell>
          <cell r="D175">
            <v>-35216767</v>
          </cell>
          <cell r="E175">
            <v>-28855861</v>
          </cell>
          <cell r="F175">
            <v>-30598177</v>
          </cell>
          <cell r="G175">
            <v>-20863356</v>
          </cell>
          <cell r="H175">
            <v>-16577725</v>
          </cell>
          <cell r="I175">
            <v>-15389440</v>
          </cell>
          <cell r="J175">
            <v>-15547334</v>
          </cell>
          <cell r="K175">
            <v>-13544354</v>
          </cell>
          <cell r="L175">
            <v>-13913336</v>
          </cell>
          <cell r="M175">
            <v>-16527717</v>
          </cell>
          <cell r="N175">
            <v>-27200020</v>
          </cell>
          <cell r="O175">
            <v>-44758231</v>
          </cell>
          <cell r="P175">
            <v>-278992318</v>
          </cell>
          <cell r="Q175">
            <v>-278992318</v>
          </cell>
        </row>
        <row r="176">
          <cell r="A176" t="str">
            <v>F48100C</v>
          </cell>
          <cell r="B176" t="str">
            <v>COMMERCIAL AND INDUSTRIAL SALES</v>
          </cell>
          <cell r="C176">
            <v>0</v>
          </cell>
          <cell r="D176">
            <v>-12336714</v>
          </cell>
          <cell r="E176">
            <v>-10666023</v>
          </cell>
          <cell r="F176">
            <v>-11614070</v>
          </cell>
          <cell r="G176">
            <v>-10385139</v>
          </cell>
          <cell r="H176">
            <v>-8915054</v>
          </cell>
          <cell r="I176">
            <v>-8877786</v>
          </cell>
          <cell r="J176">
            <v>-10570645</v>
          </cell>
          <cell r="K176">
            <v>-10364074</v>
          </cell>
          <cell r="L176">
            <v>-10576497</v>
          </cell>
          <cell r="M176">
            <v>-11813343</v>
          </cell>
          <cell r="N176">
            <v>-13828257</v>
          </cell>
          <cell r="O176">
            <v>-18876375</v>
          </cell>
          <cell r="P176">
            <v>-138823977</v>
          </cell>
          <cell r="Q176">
            <v>-138823977</v>
          </cell>
        </row>
        <row r="177">
          <cell r="A177" t="str">
            <v>F48800C</v>
          </cell>
          <cell r="B177" t="str">
            <v>MISCELLANEOUS SERVICE REVENUES</v>
          </cell>
          <cell r="C177">
            <v>0</v>
          </cell>
          <cell r="D177">
            <v>-403386</v>
          </cell>
          <cell r="E177">
            <v>-367123</v>
          </cell>
          <cell r="F177">
            <v>-375608</v>
          </cell>
          <cell r="G177">
            <v>-326666</v>
          </cell>
          <cell r="H177">
            <v>-296609</v>
          </cell>
          <cell r="I177">
            <v>-300752</v>
          </cell>
          <cell r="J177">
            <v>-344626</v>
          </cell>
          <cell r="K177">
            <v>-311014</v>
          </cell>
          <cell r="L177">
            <v>-328929</v>
          </cell>
          <cell r="M177">
            <v>-316334</v>
          </cell>
          <cell r="N177">
            <v>-360186</v>
          </cell>
          <cell r="O177">
            <v>-480560</v>
          </cell>
          <cell r="P177">
            <v>-4211793</v>
          </cell>
          <cell r="Q177">
            <v>-4211793</v>
          </cell>
        </row>
        <row r="178">
          <cell r="A178" t="str">
            <v>F48900C</v>
          </cell>
          <cell r="B178" t="str">
            <v>REV. FROM TRANS. OF GAS OF OTHERS</v>
          </cell>
          <cell r="C178">
            <v>0</v>
          </cell>
          <cell r="D178">
            <v>-2360991</v>
          </cell>
          <cell r="E178">
            <v>-2409560</v>
          </cell>
          <cell r="F178">
            <v>-2348195</v>
          </cell>
          <cell r="G178">
            <v>-2283544</v>
          </cell>
          <cell r="H178">
            <v>-1981266</v>
          </cell>
          <cell r="I178">
            <v>-2734936</v>
          </cell>
          <cell r="J178">
            <v>-2342918</v>
          </cell>
          <cell r="K178">
            <v>-4258286</v>
          </cell>
          <cell r="L178">
            <v>-5178746</v>
          </cell>
          <cell r="M178">
            <v>-4196116</v>
          </cell>
          <cell r="N178">
            <v>-4042889</v>
          </cell>
          <cell r="O178">
            <v>-6759433</v>
          </cell>
          <cell r="P178">
            <v>-40896880</v>
          </cell>
          <cell r="Q178">
            <v>-40896880</v>
          </cell>
        </row>
        <row r="179">
          <cell r="A179" t="str">
            <v>F49300C</v>
          </cell>
          <cell r="B179" t="str">
            <v>RENT FROM GAS PROPERTY</v>
          </cell>
          <cell r="C179">
            <v>0</v>
          </cell>
          <cell r="D179">
            <v>-2531.06</v>
          </cell>
          <cell r="E179">
            <v>-2531.06</v>
          </cell>
          <cell r="F179">
            <v>-2531.06</v>
          </cell>
          <cell r="G179">
            <v>-2531.06</v>
          </cell>
          <cell r="H179">
            <v>-2531.06</v>
          </cell>
          <cell r="I179">
            <v>-2531.06</v>
          </cell>
          <cell r="J179">
            <v>-2531.06</v>
          </cell>
          <cell r="K179">
            <v>-2131.06</v>
          </cell>
          <cell r="L179">
            <v>-2131.06</v>
          </cell>
          <cell r="M179">
            <v>-2131.02</v>
          </cell>
          <cell r="N179">
            <v>-2131.0300000000002</v>
          </cell>
          <cell r="O179">
            <v>-2158.0300000000002</v>
          </cell>
          <cell r="P179">
            <v>-28399.62</v>
          </cell>
          <cell r="Q179">
            <v>-28399.62</v>
          </cell>
        </row>
        <row r="180">
          <cell r="A180" t="str">
            <v>F49500C</v>
          </cell>
          <cell r="B180" t="str">
            <v>OTHER GAS REVENUES</v>
          </cell>
          <cell r="C180">
            <v>0</v>
          </cell>
          <cell r="D180">
            <v>12409744.27</v>
          </cell>
          <cell r="E180">
            <v>823419.01</v>
          </cell>
          <cell r="F180">
            <v>1577057.22</v>
          </cell>
          <cell r="G180">
            <v>-6254956.6799999997</v>
          </cell>
          <cell r="H180">
            <v>-1517958.96</v>
          </cell>
          <cell r="I180">
            <v>-4005245.84</v>
          </cell>
          <cell r="J180">
            <v>-8007211.8399999999</v>
          </cell>
          <cell r="K180">
            <v>7607793.4900000002</v>
          </cell>
          <cell r="L180">
            <v>1819578.55</v>
          </cell>
          <cell r="M180">
            <v>-5261009.03</v>
          </cell>
          <cell r="N180">
            <v>2357431.9500000002</v>
          </cell>
          <cell r="O180">
            <v>-25925523.670000002</v>
          </cell>
          <cell r="P180">
            <v>-24376881.530000001</v>
          </cell>
          <cell r="Q180">
            <v>-24376881.530000001</v>
          </cell>
        </row>
        <row r="181">
          <cell r="A181" t="str">
            <v>F49500G</v>
          </cell>
          <cell r="B181" t="str">
            <v>OTHER GAS REVENUES</v>
          </cell>
          <cell r="C181">
            <v>0</v>
          </cell>
          <cell r="D181">
            <v>0</v>
          </cell>
          <cell r="E181">
            <v>0</v>
          </cell>
          <cell r="F181">
            <v>-3171.98</v>
          </cell>
          <cell r="G181">
            <v>0</v>
          </cell>
          <cell r="H181">
            <v>86.7</v>
          </cell>
          <cell r="I181">
            <v>0</v>
          </cell>
          <cell r="J181">
            <v>-159.63</v>
          </cell>
          <cell r="K181">
            <v>-280.38</v>
          </cell>
          <cell r="L181">
            <v>0</v>
          </cell>
          <cell r="M181">
            <v>0</v>
          </cell>
          <cell r="N181">
            <v>0</v>
          </cell>
          <cell r="O181">
            <v>-196.25</v>
          </cell>
          <cell r="P181">
            <v>-3721.5400000000004</v>
          </cell>
          <cell r="Q181">
            <v>-3721.5400000000004</v>
          </cell>
        </row>
        <row r="182">
          <cell r="A182" t="str">
            <v>F50000E</v>
          </cell>
          <cell r="B182" t="str">
            <v>OPERATION SUPERVISION AND ENGINEERING</v>
          </cell>
          <cell r="C182">
            <v>0</v>
          </cell>
          <cell r="D182">
            <v>-23361.68</v>
          </cell>
          <cell r="E182">
            <v>54621.04</v>
          </cell>
          <cell r="F182">
            <v>2894.35</v>
          </cell>
          <cell r="G182">
            <v>40132.67</v>
          </cell>
          <cell r="H182">
            <v>4528.8999999999996</v>
          </cell>
          <cell r="I182">
            <v>88147.64</v>
          </cell>
          <cell r="J182">
            <v>176713.34</v>
          </cell>
          <cell r="K182">
            <v>6159.32</v>
          </cell>
          <cell r="L182">
            <v>2596.08</v>
          </cell>
          <cell r="M182">
            <v>118013.06</v>
          </cell>
          <cell r="N182">
            <v>3532.16</v>
          </cell>
          <cell r="O182">
            <v>1218.82</v>
          </cell>
          <cell r="P182">
            <v>475195.7</v>
          </cell>
          <cell r="Q182">
            <v>475195.7</v>
          </cell>
        </row>
        <row r="183">
          <cell r="A183" t="str">
            <v>F50010E</v>
          </cell>
          <cell r="B183" t="str">
            <v>OPERATION SUPERVISION AND ENGINEERING</v>
          </cell>
          <cell r="C183">
            <v>0</v>
          </cell>
          <cell r="D183">
            <v>8703.7800000000007</v>
          </cell>
          <cell r="E183">
            <v>-5094.2700000000004</v>
          </cell>
          <cell r="F183">
            <v>0</v>
          </cell>
          <cell r="G183">
            <v>0</v>
          </cell>
          <cell r="H183">
            <v>0</v>
          </cell>
          <cell r="I183">
            <v>78.09</v>
          </cell>
          <cell r="J183">
            <v>0</v>
          </cell>
          <cell r="K183">
            <v>0</v>
          </cell>
          <cell r="L183">
            <v>0</v>
          </cell>
          <cell r="M183">
            <v>12.68</v>
          </cell>
          <cell r="N183">
            <v>0</v>
          </cell>
          <cell r="O183">
            <v>9628.92</v>
          </cell>
          <cell r="P183">
            <v>13329.2</v>
          </cell>
          <cell r="Q183">
            <v>13329.2</v>
          </cell>
        </row>
        <row r="184">
          <cell r="A184" t="str">
            <v>F50040E</v>
          </cell>
          <cell r="B184" t="str">
            <v>OPERATION SUPERVISION AND ENGINEERING</v>
          </cell>
          <cell r="C184">
            <v>0</v>
          </cell>
          <cell r="D184">
            <v>0</v>
          </cell>
          <cell r="E184">
            <v>179.1</v>
          </cell>
          <cell r="F184">
            <v>-172.52</v>
          </cell>
          <cell r="G184">
            <v>0</v>
          </cell>
          <cell r="H184">
            <v>31.09</v>
          </cell>
          <cell r="I184">
            <v>0</v>
          </cell>
          <cell r="J184">
            <v>242.82</v>
          </cell>
          <cell r="K184">
            <v>0</v>
          </cell>
          <cell r="L184">
            <v>791.3</v>
          </cell>
          <cell r="M184">
            <v>35.299999999999997</v>
          </cell>
          <cell r="N184">
            <v>0</v>
          </cell>
          <cell r="O184">
            <v>0</v>
          </cell>
          <cell r="P184">
            <v>1107.0899999999999</v>
          </cell>
          <cell r="Q184">
            <v>1107.0899999999999</v>
          </cell>
        </row>
        <row r="185">
          <cell r="A185" t="str">
            <v>F50060E</v>
          </cell>
          <cell r="B185" t="str">
            <v>OPERATION SUPERVISION AND ENGINEERING</v>
          </cell>
          <cell r="C185">
            <v>0</v>
          </cell>
          <cell r="D185">
            <v>3141.15</v>
          </cell>
          <cell r="E185">
            <v>4978.1099999999997</v>
          </cell>
          <cell r="F185">
            <v>3897.27</v>
          </cell>
          <cell r="G185">
            <v>-617.62</v>
          </cell>
          <cell r="H185">
            <v>1689.62</v>
          </cell>
          <cell r="I185">
            <v>482.44</v>
          </cell>
          <cell r="J185">
            <v>680.64</v>
          </cell>
          <cell r="K185">
            <v>1253.96</v>
          </cell>
          <cell r="L185">
            <v>1198.03</v>
          </cell>
          <cell r="M185">
            <v>1464.11</v>
          </cell>
          <cell r="N185">
            <v>988.28</v>
          </cell>
          <cell r="O185">
            <v>-859.12</v>
          </cell>
          <cell r="P185">
            <v>18296.87</v>
          </cell>
          <cell r="Q185">
            <v>18296.87</v>
          </cell>
        </row>
        <row r="186">
          <cell r="A186" t="str">
            <v>F50070E</v>
          </cell>
          <cell r="B186" t="str">
            <v>OPERATION SUPERVISION AND ENGINEERING</v>
          </cell>
          <cell r="C186">
            <v>0</v>
          </cell>
          <cell r="D186">
            <v>3576.65</v>
          </cell>
          <cell r="E186">
            <v>4575.6499999999996</v>
          </cell>
          <cell r="F186">
            <v>3664.94</v>
          </cell>
          <cell r="G186">
            <v>3125.85</v>
          </cell>
          <cell r="H186">
            <v>3883.44</v>
          </cell>
          <cell r="I186">
            <v>1356.5</v>
          </cell>
          <cell r="J186">
            <v>2362.5500000000002</v>
          </cell>
          <cell r="K186">
            <v>3118.39</v>
          </cell>
          <cell r="L186">
            <v>2674.83</v>
          </cell>
          <cell r="M186">
            <v>3667.78</v>
          </cell>
          <cell r="N186">
            <v>2317.8000000000002</v>
          </cell>
          <cell r="O186">
            <v>5043.75</v>
          </cell>
          <cell r="P186">
            <v>39368.129999999997</v>
          </cell>
          <cell r="Q186">
            <v>39368.129999999997</v>
          </cell>
        </row>
        <row r="187">
          <cell r="A187" t="str">
            <v>F50100E</v>
          </cell>
          <cell r="B187" t="str">
            <v>FUEL</v>
          </cell>
          <cell r="C187">
            <v>0</v>
          </cell>
          <cell r="D187">
            <v>0</v>
          </cell>
          <cell r="E187">
            <v>655952.35</v>
          </cell>
          <cell r="F187">
            <v>89.25</v>
          </cell>
          <cell r="G187">
            <v>1657.03</v>
          </cell>
          <cell r="H187">
            <v>68</v>
          </cell>
          <cell r="I187">
            <v>26625.18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684391.81</v>
          </cell>
          <cell r="Q187">
            <v>684391.81</v>
          </cell>
        </row>
        <row r="188">
          <cell r="A188" t="str">
            <v>F50140E</v>
          </cell>
          <cell r="B188" t="str">
            <v>FUEL</v>
          </cell>
          <cell r="C188">
            <v>0</v>
          </cell>
          <cell r="D188">
            <v>0</v>
          </cell>
          <cell r="E188">
            <v>1191.8599999999999</v>
          </cell>
          <cell r="F188">
            <v>212.97</v>
          </cell>
          <cell r="G188">
            <v>0</v>
          </cell>
          <cell r="H188">
            <v>285.82</v>
          </cell>
          <cell r="I188">
            <v>470.18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2160.83</v>
          </cell>
          <cell r="Q188">
            <v>2160.83</v>
          </cell>
        </row>
        <row r="189">
          <cell r="A189" t="str">
            <v>F50200E</v>
          </cell>
          <cell r="B189" t="str">
            <v>STEAM EXPENSES</v>
          </cell>
          <cell r="C189">
            <v>0</v>
          </cell>
          <cell r="D189">
            <v>225.8</v>
          </cell>
          <cell r="E189">
            <v>11.06</v>
          </cell>
          <cell r="F189">
            <v>-64.19</v>
          </cell>
          <cell r="G189">
            <v>156.13999999999999</v>
          </cell>
          <cell r="H189">
            <v>0</v>
          </cell>
          <cell r="I189">
            <v>33.950000000000003</v>
          </cell>
          <cell r="J189">
            <v>37.68</v>
          </cell>
          <cell r="K189">
            <v>31.67</v>
          </cell>
          <cell r="L189">
            <v>65</v>
          </cell>
          <cell r="M189">
            <v>98.98</v>
          </cell>
          <cell r="N189">
            <v>0</v>
          </cell>
          <cell r="O189">
            <v>90.5</v>
          </cell>
          <cell r="P189">
            <v>686.59</v>
          </cell>
          <cell r="Q189">
            <v>686.59</v>
          </cell>
        </row>
        <row r="190">
          <cell r="A190" t="str">
            <v>F50210E</v>
          </cell>
          <cell r="B190" t="str">
            <v>STEAM EXPENSES</v>
          </cell>
          <cell r="C190">
            <v>0</v>
          </cell>
          <cell r="D190">
            <v>78.94</v>
          </cell>
          <cell r="E190">
            <v>0</v>
          </cell>
          <cell r="F190">
            <v>0</v>
          </cell>
          <cell r="G190">
            <v>118.39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197.32999999999998</v>
          </cell>
          <cell r="Q190">
            <v>197.32999999999998</v>
          </cell>
        </row>
        <row r="191">
          <cell r="A191" t="str">
            <v>F50500E</v>
          </cell>
          <cell r="B191" t="str">
            <v>ELECTRIC EXPENSES</v>
          </cell>
          <cell r="C191">
            <v>0</v>
          </cell>
          <cell r="D191">
            <v>2035.04</v>
          </cell>
          <cell r="E191">
            <v>3668.63</v>
          </cell>
          <cell r="F191">
            <v>2884.34</v>
          </cell>
          <cell r="G191">
            <v>2169.0700000000002</v>
          </cell>
          <cell r="H191">
            <v>3192.71</v>
          </cell>
          <cell r="I191">
            <v>1205.17</v>
          </cell>
          <cell r="J191">
            <v>2029.09</v>
          </cell>
          <cell r="K191">
            <v>2306.54</v>
          </cell>
          <cell r="L191">
            <v>1526.48</v>
          </cell>
          <cell r="M191">
            <v>2791.42</v>
          </cell>
          <cell r="N191">
            <v>1409.82</v>
          </cell>
          <cell r="O191">
            <v>3089.77</v>
          </cell>
          <cell r="P191">
            <v>28308.079999999998</v>
          </cell>
          <cell r="Q191">
            <v>28308.079999999998</v>
          </cell>
        </row>
        <row r="192">
          <cell r="A192" t="str">
            <v>F50510E</v>
          </cell>
          <cell r="B192" t="str">
            <v>ELECTRIC EXPENSES</v>
          </cell>
          <cell r="C192">
            <v>0</v>
          </cell>
          <cell r="D192">
            <v>312.97000000000003</v>
          </cell>
          <cell r="E192">
            <v>422.64</v>
          </cell>
          <cell r="F192">
            <v>331.5</v>
          </cell>
          <cell r="G192">
            <v>501.08</v>
          </cell>
          <cell r="H192">
            <v>480.04</v>
          </cell>
          <cell r="I192">
            <v>21.77</v>
          </cell>
          <cell r="J192">
            <v>223.24</v>
          </cell>
          <cell r="K192">
            <v>432.96</v>
          </cell>
          <cell r="L192">
            <v>361.26</v>
          </cell>
          <cell r="M192">
            <v>492.29</v>
          </cell>
          <cell r="N192">
            <v>332.06</v>
          </cell>
          <cell r="O192">
            <v>403.98</v>
          </cell>
          <cell r="P192">
            <v>4315.79</v>
          </cell>
          <cell r="Q192">
            <v>4315.79</v>
          </cell>
        </row>
        <row r="193">
          <cell r="A193" t="str">
            <v>F50540E</v>
          </cell>
          <cell r="B193" t="str">
            <v>ELECTRIC EXPENSES</v>
          </cell>
          <cell r="C193">
            <v>0</v>
          </cell>
          <cell r="D193">
            <v>3125.84</v>
          </cell>
          <cell r="E193">
            <v>4122.9799999999996</v>
          </cell>
          <cell r="F193">
            <v>2946.37</v>
          </cell>
          <cell r="G193">
            <v>3388.22</v>
          </cell>
          <cell r="H193">
            <v>3447.73</v>
          </cell>
          <cell r="I193">
            <v>2013.64</v>
          </cell>
          <cell r="J193">
            <v>1811.01</v>
          </cell>
          <cell r="K193">
            <v>2175.9299999999998</v>
          </cell>
          <cell r="L193">
            <v>1871.43</v>
          </cell>
          <cell r="M193">
            <v>2523.34</v>
          </cell>
          <cell r="N193">
            <v>1551.31</v>
          </cell>
          <cell r="O193">
            <v>8743.8799999999992</v>
          </cell>
          <cell r="P193">
            <v>37721.68</v>
          </cell>
          <cell r="Q193">
            <v>37721.68</v>
          </cell>
        </row>
        <row r="194">
          <cell r="A194" t="str">
            <v>F50560E</v>
          </cell>
          <cell r="B194" t="str">
            <v>ELECTRIC EXPENSES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-8130.15</v>
          </cell>
          <cell r="P194">
            <v>-8130.15</v>
          </cell>
          <cell r="Q194">
            <v>-8130.15</v>
          </cell>
        </row>
        <row r="195">
          <cell r="A195" t="str">
            <v>F50600E</v>
          </cell>
          <cell r="B195" t="str">
            <v>MISCELLANEOUS STEAM POWER EXPENSES</v>
          </cell>
          <cell r="C195">
            <v>0</v>
          </cell>
          <cell r="D195">
            <v>19588.13</v>
          </cell>
          <cell r="E195">
            <v>110057.82</v>
          </cell>
          <cell r="F195">
            <v>28104.97</v>
          </cell>
          <cell r="G195">
            <v>58428.28</v>
          </cell>
          <cell r="H195">
            <v>23486.39</v>
          </cell>
          <cell r="I195">
            <v>4229.79</v>
          </cell>
          <cell r="J195">
            <v>2151.5700000000002</v>
          </cell>
          <cell r="K195">
            <v>-2230.85</v>
          </cell>
          <cell r="L195">
            <v>7966.09</v>
          </cell>
          <cell r="M195">
            <v>2987.3</v>
          </cell>
          <cell r="N195">
            <v>2182.38</v>
          </cell>
          <cell r="O195">
            <v>1747.99</v>
          </cell>
          <cell r="P195">
            <v>258699.86000000002</v>
          </cell>
          <cell r="Q195">
            <v>258699.86000000002</v>
          </cell>
        </row>
        <row r="196">
          <cell r="A196" t="str">
            <v>F50700E</v>
          </cell>
          <cell r="B196" t="str">
            <v>RENTS</v>
          </cell>
          <cell r="C196">
            <v>0</v>
          </cell>
          <cell r="D196">
            <v>13053</v>
          </cell>
          <cell r="E196">
            <v>5095.8500000000004</v>
          </cell>
          <cell r="F196">
            <v>21033</v>
          </cell>
          <cell r="G196">
            <v>13067</v>
          </cell>
          <cell r="H196">
            <v>38484</v>
          </cell>
          <cell r="I196">
            <v>15294</v>
          </cell>
          <cell r="J196">
            <v>13009</v>
          </cell>
          <cell r="K196">
            <v>13009</v>
          </cell>
          <cell r="L196">
            <v>13009</v>
          </cell>
          <cell r="M196">
            <v>13009</v>
          </cell>
          <cell r="N196">
            <v>13009</v>
          </cell>
          <cell r="O196">
            <v>13009</v>
          </cell>
          <cell r="P196">
            <v>184080.85</v>
          </cell>
          <cell r="Q196">
            <v>184080.85</v>
          </cell>
        </row>
        <row r="197">
          <cell r="A197" t="str">
            <v>F51000E</v>
          </cell>
          <cell r="B197" t="str">
            <v>MAINTENANCE SUPERVISION AND ENGINEERING</v>
          </cell>
          <cell r="C197">
            <v>0</v>
          </cell>
          <cell r="D197">
            <v>111.91</v>
          </cell>
          <cell r="E197">
            <v>0</v>
          </cell>
          <cell r="F197">
            <v>28055.75</v>
          </cell>
          <cell r="G197">
            <v>-26665.65</v>
          </cell>
          <cell r="H197">
            <v>1159.29</v>
          </cell>
          <cell r="I197">
            <v>33.67</v>
          </cell>
          <cell r="J197">
            <v>79.37</v>
          </cell>
          <cell r="K197">
            <v>167.02</v>
          </cell>
          <cell r="L197">
            <v>97.33</v>
          </cell>
          <cell r="M197">
            <v>142.81</v>
          </cell>
          <cell r="N197">
            <v>25.16</v>
          </cell>
          <cell r="O197">
            <v>78.48</v>
          </cell>
          <cell r="P197">
            <v>3285.1399999999981</v>
          </cell>
          <cell r="Q197">
            <v>3285.1399999999981</v>
          </cell>
        </row>
        <row r="198">
          <cell r="A198" t="str">
            <v>F51010E</v>
          </cell>
          <cell r="B198" t="str">
            <v>MAINTENANCE SUPERVISION AND ENGINEERING</v>
          </cell>
          <cell r="C198">
            <v>0</v>
          </cell>
          <cell r="D198">
            <v>7104.31</v>
          </cell>
          <cell r="E198">
            <v>-3007.6</v>
          </cell>
          <cell r="F198">
            <v>2178.3200000000002</v>
          </cell>
          <cell r="G198">
            <v>1662.13</v>
          </cell>
          <cell r="H198">
            <v>1582.1</v>
          </cell>
          <cell r="I198">
            <v>1491.17</v>
          </cell>
          <cell r="J198">
            <v>1836.65</v>
          </cell>
          <cell r="K198">
            <v>1700.82</v>
          </cell>
          <cell r="L198">
            <v>1691.28</v>
          </cell>
          <cell r="M198">
            <v>1686.46</v>
          </cell>
          <cell r="N198">
            <v>1577.53</v>
          </cell>
          <cell r="O198">
            <v>10938.85</v>
          </cell>
          <cell r="P198">
            <v>30442.019999999997</v>
          </cell>
          <cell r="Q198">
            <v>30442.019999999997</v>
          </cell>
        </row>
        <row r="199">
          <cell r="A199" t="str">
            <v>F51020E</v>
          </cell>
          <cell r="B199" t="str">
            <v>MAINTENANCE SUPERVISION AND ENGINEERING</v>
          </cell>
          <cell r="C199">
            <v>0</v>
          </cell>
          <cell r="D199">
            <v>226.71</v>
          </cell>
          <cell r="E199">
            <v>193.92</v>
          </cell>
          <cell r="F199">
            <v>161.6</v>
          </cell>
          <cell r="G199">
            <v>161.6</v>
          </cell>
          <cell r="H199">
            <v>267.2</v>
          </cell>
          <cell r="I199">
            <v>2768.24</v>
          </cell>
          <cell r="J199">
            <v>429.12</v>
          </cell>
          <cell r="K199">
            <v>670.92</v>
          </cell>
          <cell r="L199">
            <v>625.12</v>
          </cell>
          <cell r="M199">
            <v>484</v>
          </cell>
          <cell r="N199">
            <v>313.83999999999997</v>
          </cell>
          <cell r="O199">
            <v>-961</v>
          </cell>
          <cell r="P199">
            <v>5341.2699999999995</v>
          </cell>
          <cell r="Q199">
            <v>5341.2699999999995</v>
          </cell>
        </row>
        <row r="200">
          <cell r="A200" t="str">
            <v>F51100E</v>
          </cell>
          <cell r="B200" t="str">
            <v>MAINTENANCE OF STRUCTURES</v>
          </cell>
          <cell r="C200">
            <v>0</v>
          </cell>
          <cell r="D200">
            <v>-63901.760000000002</v>
          </cell>
          <cell r="E200">
            <v>5601.73</v>
          </cell>
          <cell r="F200">
            <v>13491.29</v>
          </cell>
          <cell r="G200">
            <v>23688.78</v>
          </cell>
          <cell r="H200">
            <v>19192.41</v>
          </cell>
          <cell r="I200">
            <v>3383.13</v>
          </cell>
          <cell r="J200">
            <v>-15997.47</v>
          </cell>
          <cell r="K200">
            <v>-235.48</v>
          </cell>
          <cell r="L200">
            <v>14656.06</v>
          </cell>
          <cell r="M200">
            <v>11745.84</v>
          </cell>
          <cell r="N200">
            <v>14814.94</v>
          </cell>
          <cell r="O200">
            <v>16158.6</v>
          </cell>
          <cell r="P200">
            <v>42598.07</v>
          </cell>
          <cell r="Q200">
            <v>42598.07</v>
          </cell>
        </row>
        <row r="201">
          <cell r="A201" t="str">
            <v>F51200E</v>
          </cell>
          <cell r="B201" t="str">
            <v>MAINTENANCE OF BOILER PLANT</v>
          </cell>
          <cell r="C201">
            <v>0</v>
          </cell>
          <cell r="D201">
            <v>39.78</v>
          </cell>
          <cell r="E201">
            <v>88.7</v>
          </cell>
          <cell r="F201">
            <v>11167.01</v>
          </cell>
          <cell r="G201">
            <v>7044.36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245.51</v>
          </cell>
          <cell r="P201">
            <v>18585.359999999997</v>
          </cell>
          <cell r="Q201">
            <v>18585.359999999997</v>
          </cell>
        </row>
        <row r="202">
          <cell r="A202" t="str">
            <v>F51300E</v>
          </cell>
          <cell r="B202" t="str">
            <v>MAINTENANCE OF ELECTRIC PLANT</v>
          </cell>
          <cell r="C202">
            <v>0</v>
          </cell>
          <cell r="D202">
            <v>0</v>
          </cell>
          <cell r="E202">
            <v>240.2</v>
          </cell>
          <cell r="F202">
            <v>10.94</v>
          </cell>
          <cell r="G202">
            <v>47.28</v>
          </cell>
          <cell r="H202">
            <v>0</v>
          </cell>
          <cell r="I202">
            <v>0</v>
          </cell>
          <cell r="J202">
            <v>0</v>
          </cell>
          <cell r="K202">
            <v>-41976.42</v>
          </cell>
          <cell r="L202">
            <v>0</v>
          </cell>
          <cell r="M202">
            <v>0</v>
          </cell>
          <cell r="N202">
            <v>543.9</v>
          </cell>
          <cell r="O202">
            <v>1176</v>
          </cell>
          <cell r="P202">
            <v>-39958.1</v>
          </cell>
          <cell r="Q202">
            <v>-39958.1</v>
          </cell>
        </row>
        <row r="203">
          <cell r="A203" t="str">
            <v>F51320E</v>
          </cell>
          <cell r="B203" t="str">
            <v>MAINTENANCE OF ELECTRIC PLANT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525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525</v>
          </cell>
          <cell r="Q203">
            <v>525</v>
          </cell>
        </row>
        <row r="204">
          <cell r="A204" t="str">
            <v>F51400E</v>
          </cell>
          <cell r="B204" t="str">
            <v>MAINTENANCE OF MISCELLANEOUS STEAM PLAN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53.6</v>
          </cell>
          <cell r="H204">
            <v>26.8</v>
          </cell>
          <cell r="I204">
            <v>0</v>
          </cell>
          <cell r="J204">
            <v>0</v>
          </cell>
          <cell r="K204">
            <v>58.04</v>
          </cell>
          <cell r="L204">
            <v>-15.73</v>
          </cell>
          <cell r="M204">
            <v>0</v>
          </cell>
          <cell r="N204">
            <v>26.8</v>
          </cell>
          <cell r="O204">
            <v>86.4</v>
          </cell>
          <cell r="P204">
            <v>235.91</v>
          </cell>
          <cell r="Q204">
            <v>235.91</v>
          </cell>
        </row>
        <row r="205">
          <cell r="A205" t="str">
            <v>F51700E</v>
          </cell>
          <cell r="B205" t="str">
            <v>OPERATION SUPERVISION AND ENGINEERING</v>
          </cell>
          <cell r="C205">
            <v>0</v>
          </cell>
          <cell r="D205">
            <v>1657913.45</v>
          </cell>
          <cell r="E205">
            <v>2168543.09</v>
          </cell>
          <cell r="F205">
            <v>1179145.76</v>
          </cell>
          <cell r="G205">
            <v>461787.08</v>
          </cell>
          <cell r="H205">
            <v>1025362.02</v>
          </cell>
          <cell r="I205">
            <v>1339941.94</v>
          </cell>
          <cell r="J205">
            <v>982753.34</v>
          </cell>
          <cell r="K205">
            <v>1117134.53</v>
          </cell>
          <cell r="L205">
            <v>969091.08</v>
          </cell>
          <cell r="M205">
            <v>1268005.8899999999</v>
          </cell>
          <cell r="N205">
            <v>1571005.99</v>
          </cell>
          <cell r="O205">
            <v>-1842938.17</v>
          </cell>
          <cell r="P205">
            <v>11897746</v>
          </cell>
          <cell r="Q205">
            <v>11897746</v>
          </cell>
        </row>
        <row r="206">
          <cell r="A206" t="str">
            <v>F51800E</v>
          </cell>
          <cell r="B206" t="str">
            <v>FUEL</v>
          </cell>
          <cell r="C206">
            <v>0</v>
          </cell>
          <cell r="D206">
            <v>1523872.23</v>
          </cell>
          <cell r="E206">
            <v>1541355.09</v>
          </cell>
          <cell r="F206">
            <v>1656518.25</v>
          </cell>
          <cell r="G206">
            <v>1724390.77</v>
          </cell>
          <cell r="H206">
            <v>1772790.69</v>
          </cell>
          <cell r="I206">
            <v>1713301.73</v>
          </cell>
          <cell r="J206">
            <v>1772306.13</v>
          </cell>
          <cell r="K206">
            <v>1754976.22</v>
          </cell>
          <cell r="L206">
            <v>1694421.42</v>
          </cell>
          <cell r="M206">
            <v>951698.7</v>
          </cell>
          <cell r="N206">
            <v>1045448.94</v>
          </cell>
          <cell r="O206">
            <v>1379054.32</v>
          </cell>
          <cell r="P206">
            <v>18530134.490000002</v>
          </cell>
          <cell r="Q206">
            <v>18530134.490000002</v>
          </cell>
        </row>
        <row r="207">
          <cell r="A207" t="str">
            <v>F51900E</v>
          </cell>
          <cell r="B207" t="str">
            <v>COOLANTS AND WATER</v>
          </cell>
          <cell r="C207">
            <v>0</v>
          </cell>
          <cell r="D207">
            <v>11594.8</v>
          </cell>
          <cell r="E207">
            <v>12333.53</v>
          </cell>
          <cell r="F207">
            <v>5032.0600000000004</v>
          </cell>
          <cell r="G207">
            <v>19943.13</v>
          </cell>
          <cell r="H207">
            <v>10656.04</v>
          </cell>
          <cell r="I207">
            <v>5369.68</v>
          </cell>
          <cell r="J207">
            <v>8237.23</v>
          </cell>
          <cell r="K207">
            <v>13183.66</v>
          </cell>
          <cell r="L207">
            <v>1916.89</v>
          </cell>
          <cell r="M207">
            <v>13015.51</v>
          </cell>
          <cell r="N207">
            <v>15731.64</v>
          </cell>
          <cell r="O207">
            <v>10745.73</v>
          </cell>
          <cell r="P207">
            <v>127759.9</v>
          </cell>
          <cell r="Q207">
            <v>127759.9</v>
          </cell>
        </row>
        <row r="208">
          <cell r="A208" t="str">
            <v>F52000E</v>
          </cell>
          <cell r="B208" t="str">
            <v>STEAM EXPENSES</v>
          </cell>
          <cell r="C208">
            <v>0</v>
          </cell>
          <cell r="D208">
            <v>716129.2</v>
          </cell>
          <cell r="E208">
            <v>1327641.56</v>
          </cell>
          <cell r="F208">
            <v>689610.94</v>
          </cell>
          <cell r="G208">
            <v>228066.62</v>
          </cell>
          <cell r="H208">
            <v>314017.71000000002</v>
          </cell>
          <cell r="I208">
            <v>387141.8</v>
          </cell>
          <cell r="J208">
            <v>591080.56000000006</v>
          </cell>
          <cell r="K208">
            <v>526445.1</v>
          </cell>
          <cell r="L208">
            <v>722196.12</v>
          </cell>
          <cell r="M208">
            <v>636911.96</v>
          </cell>
          <cell r="N208">
            <v>525339.43000000005</v>
          </cell>
          <cell r="O208">
            <v>478125.18</v>
          </cell>
          <cell r="P208">
            <v>7142706.1799999997</v>
          </cell>
          <cell r="Q208">
            <v>7142706.1799999997</v>
          </cell>
        </row>
        <row r="209">
          <cell r="A209" t="str">
            <v>F52300E</v>
          </cell>
          <cell r="B209" t="str">
            <v>ELECTRIC EXPENSES</v>
          </cell>
          <cell r="C209">
            <v>0</v>
          </cell>
          <cell r="D209">
            <v>229938.48</v>
          </cell>
          <cell r="E209">
            <v>160436.10999999999</v>
          </cell>
          <cell r="F209">
            <v>192499.31</v>
          </cell>
          <cell r="G209">
            <v>163975.82999999999</v>
          </cell>
          <cell r="H209">
            <v>141805.20000000001</v>
          </cell>
          <cell r="I209">
            <v>162591.62</v>
          </cell>
          <cell r="J209">
            <v>181050.18</v>
          </cell>
          <cell r="K209">
            <v>151496.37</v>
          </cell>
          <cell r="L209">
            <v>181820.2</v>
          </cell>
          <cell r="M209">
            <v>89860.58</v>
          </cell>
          <cell r="N209">
            <v>141022.75</v>
          </cell>
          <cell r="O209">
            <v>343056.65</v>
          </cell>
          <cell r="P209">
            <v>2139553.2799999998</v>
          </cell>
          <cell r="Q209">
            <v>2139553.2799999998</v>
          </cell>
        </row>
        <row r="210">
          <cell r="A210" t="str">
            <v>F52400E</v>
          </cell>
          <cell r="B210" t="str">
            <v>MISCELLANEOUS NUCLEAR POWER EXPENSES</v>
          </cell>
          <cell r="C210">
            <v>0</v>
          </cell>
          <cell r="D210">
            <v>2038658.34</v>
          </cell>
          <cell r="E210">
            <v>1647961.1</v>
          </cell>
          <cell r="F210">
            <v>100610.95</v>
          </cell>
          <cell r="G210">
            <v>1484101.2</v>
          </cell>
          <cell r="H210">
            <v>1587885.12</v>
          </cell>
          <cell r="I210">
            <v>1360933.8</v>
          </cell>
          <cell r="J210">
            <v>1840281.9</v>
          </cell>
          <cell r="K210">
            <v>1465022.53</v>
          </cell>
          <cell r="L210">
            <v>1228495.8400000001</v>
          </cell>
          <cell r="M210">
            <v>2100082.6800000002</v>
          </cell>
          <cell r="N210">
            <v>1289283.2</v>
          </cell>
          <cell r="O210">
            <v>3264145.3</v>
          </cell>
          <cell r="P210">
            <v>19407461.959999997</v>
          </cell>
          <cell r="Q210">
            <v>19407461.959999997</v>
          </cell>
        </row>
        <row r="211">
          <cell r="A211" t="str">
            <v>F52500E</v>
          </cell>
          <cell r="B211" t="str">
            <v>RENTS</v>
          </cell>
          <cell r="C211">
            <v>0</v>
          </cell>
          <cell r="D211">
            <v>-141.46</v>
          </cell>
          <cell r="E211">
            <v>17859.28</v>
          </cell>
          <cell r="F211">
            <v>28539.53</v>
          </cell>
          <cell r="G211">
            <v>-3686.63</v>
          </cell>
          <cell r="H211">
            <v>11633.18</v>
          </cell>
          <cell r="I211">
            <v>28559.73</v>
          </cell>
          <cell r="J211">
            <v>11601.02</v>
          </cell>
          <cell r="K211">
            <v>11614.34</v>
          </cell>
          <cell r="L211">
            <v>28540.89</v>
          </cell>
          <cell r="M211">
            <v>10736.25</v>
          </cell>
          <cell r="N211">
            <v>11735.54</v>
          </cell>
          <cell r="O211">
            <v>100782.43</v>
          </cell>
          <cell r="P211">
            <v>257774.1</v>
          </cell>
          <cell r="Q211">
            <v>257774.1</v>
          </cell>
        </row>
        <row r="212">
          <cell r="A212" t="str">
            <v>F52800E</v>
          </cell>
          <cell r="B212" t="str">
            <v>MAINTENANCE SUPERVISION AND ENGINEERING</v>
          </cell>
          <cell r="C212">
            <v>0</v>
          </cell>
          <cell r="D212">
            <v>306721.84000000003</v>
          </cell>
          <cell r="E212">
            <v>1285775.99</v>
          </cell>
          <cell r="F212">
            <v>246132.4</v>
          </cell>
          <cell r="G212">
            <v>-34791.089999999997</v>
          </cell>
          <cell r="H212">
            <v>304267.09999999998</v>
          </cell>
          <cell r="I212">
            <v>420102.36</v>
          </cell>
          <cell r="J212">
            <v>472856.6</v>
          </cell>
          <cell r="K212">
            <v>325309.48</v>
          </cell>
          <cell r="L212">
            <v>531253.67000000004</v>
          </cell>
          <cell r="M212">
            <v>362278.12</v>
          </cell>
          <cell r="N212">
            <v>1451173.27</v>
          </cell>
          <cell r="O212">
            <v>726516.28</v>
          </cell>
          <cell r="P212">
            <v>6397596.0200000005</v>
          </cell>
          <cell r="Q212">
            <v>6397596.0200000005</v>
          </cell>
        </row>
        <row r="213">
          <cell r="A213" t="str">
            <v>F52900E</v>
          </cell>
          <cell r="B213" t="str">
            <v>MAINTENANCE OF STRUCTURES</v>
          </cell>
          <cell r="C213">
            <v>0</v>
          </cell>
          <cell r="D213">
            <v>179294.85</v>
          </cell>
          <cell r="E213">
            <v>336955.13</v>
          </cell>
          <cell r="F213">
            <v>151590.29999999999</v>
          </cell>
          <cell r="G213">
            <v>209092.64</v>
          </cell>
          <cell r="H213">
            <v>139670.59</v>
          </cell>
          <cell r="I213">
            <v>136693.04</v>
          </cell>
          <cell r="J213">
            <v>224817.68</v>
          </cell>
          <cell r="K213">
            <v>236351.63</v>
          </cell>
          <cell r="L213">
            <v>227524.12</v>
          </cell>
          <cell r="M213">
            <v>166311</v>
          </cell>
          <cell r="N213">
            <v>387890.92</v>
          </cell>
          <cell r="O213">
            <v>1041633.32</v>
          </cell>
          <cell r="P213">
            <v>3437825.2199999997</v>
          </cell>
          <cell r="Q213">
            <v>3437825.2199999997</v>
          </cell>
        </row>
        <row r="214">
          <cell r="A214" t="str">
            <v>F53000E</v>
          </cell>
          <cell r="B214" t="str">
            <v>MAINTENANCE OF REACTOR PLANT EQUIPMENT</v>
          </cell>
          <cell r="C214">
            <v>0</v>
          </cell>
          <cell r="D214">
            <v>572762.28</v>
          </cell>
          <cell r="E214">
            <v>628120.97</v>
          </cell>
          <cell r="F214">
            <v>268143.19</v>
          </cell>
          <cell r="G214">
            <v>43224.91</v>
          </cell>
          <cell r="H214">
            <v>179553.28</v>
          </cell>
          <cell r="I214">
            <v>332953.65000000002</v>
          </cell>
          <cell r="J214">
            <v>361496.68</v>
          </cell>
          <cell r="K214">
            <v>342764.95</v>
          </cell>
          <cell r="L214">
            <v>408326.51</v>
          </cell>
          <cell r="M214">
            <v>552665.68000000005</v>
          </cell>
          <cell r="N214">
            <v>716779.1</v>
          </cell>
          <cell r="O214">
            <v>2698115.94</v>
          </cell>
          <cell r="P214">
            <v>7104907.1400000006</v>
          </cell>
          <cell r="Q214">
            <v>7104907.1400000006</v>
          </cell>
        </row>
        <row r="215">
          <cell r="A215" t="str">
            <v>F53100E</v>
          </cell>
          <cell r="B215" t="str">
            <v>MAINTENANCE OF ELECTRIC PLANT</v>
          </cell>
          <cell r="C215">
            <v>0</v>
          </cell>
          <cell r="D215">
            <v>404696.85</v>
          </cell>
          <cell r="E215">
            <v>295914.8</v>
          </cell>
          <cell r="F215">
            <v>194465.61</v>
          </cell>
          <cell r="G215">
            <v>242813.68</v>
          </cell>
          <cell r="H215">
            <v>214194.2</v>
          </cell>
          <cell r="I215">
            <v>178817.77</v>
          </cell>
          <cell r="J215">
            <v>217529.96</v>
          </cell>
          <cell r="K215">
            <v>209180.23</v>
          </cell>
          <cell r="L215">
            <v>239443.13</v>
          </cell>
          <cell r="M215">
            <v>25643.78</v>
          </cell>
          <cell r="N215">
            <v>216175.38</v>
          </cell>
          <cell r="O215">
            <v>1289266.53</v>
          </cell>
          <cell r="P215">
            <v>3728141.92</v>
          </cell>
          <cell r="Q215">
            <v>3728141.92</v>
          </cell>
        </row>
        <row r="216">
          <cell r="A216" t="str">
            <v>F53200E</v>
          </cell>
          <cell r="B216" t="str">
            <v>MAINTENANCE OF MISCELLANEOUS NUCLEAR PL</v>
          </cell>
          <cell r="C216">
            <v>0</v>
          </cell>
          <cell r="D216">
            <v>702351.52</v>
          </cell>
          <cell r="E216">
            <v>2659673.39</v>
          </cell>
          <cell r="F216">
            <v>316311.27</v>
          </cell>
          <cell r="G216">
            <v>-1123141.3899999999</v>
          </cell>
          <cell r="H216">
            <v>70398.55</v>
          </cell>
          <cell r="I216">
            <v>471932.85</v>
          </cell>
          <cell r="J216">
            <v>572345.43999999994</v>
          </cell>
          <cell r="K216">
            <v>948294.51</v>
          </cell>
          <cell r="L216">
            <v>1700584.11</v>
          </cell>
          <cell r="M216">
            <v>1911587.71</v>
          </cell>
          <cell r="N216">
            <v>817966.14</v>
          </cell>
          <cell r="O216">
            <v>-553279.34</v>
          </cell>
          <cell r="P216">
            <v>8495024.7599999998</v>
          </cell>
          <cell r="Q216">
            <v>8495024.7599999998</v>
          </cell>
        </row>
        <row r="217">
          <cell r="A217" t="str">
            <v>F54600E</v>
          </cell>
          <cell r="B217" t="str">
            <v>OPERATION SUPERVISION AND ENGINEERING</v>
          </cell>
          <cell r="C217">
            <v>0</v>
          </cell>
          <cell r="D217">
            <v>0</v>
          </cell>
          <cell r="E217">
            <v>0</v>
          </cell>
          <cell r="F217">
            <v>50.72</v>
          </cell>
          <cell r="G217">
            <v>584.66999999999996</v>
          </cell>
          <cell r="H217">
            <v>218.22</v>
          </cell>
          <cell r="I217">
            <v>552.83000000000004</v>
          </cell>
          <cell r="J217">
            <v>619.17999999999995</v>
          </cell>
          <cell r="K217">
            <v>971.58</v>
          </cell>
          <cell r="L217">
            <v>82.48</v>
          </cell>
          <cell r="M217">
            <v>644.44000000000005</v>
          </cell>
          <cell r="N217">
            <v>69.319999999999993</v>
          </cell>
          <cell r="O217">
            <v>56</v>
          </cell>
          <cell r="P217">
            <v>3849.44</v>
          </cell>
          <cell r="Q217">
            <v>3849.44</v>
          </cell>
        </row>
        <row r="218">
          <cell r="A218" t="str">
            <v>F54700E</v>
          </cell>
          <cell r="B218" t="str">
            <v>FUEL</v>
          </cell>
          <cell r="C218">
            <v>0</v>
          </cell>
          <cell r="D218">
            <v>0</v>
          </cell>
          <cell r="E218">
            <v>0</v>
          </cell>
          <cell r="F218">
            <v>168.19</v>
          </cell>
          <cell r="G218">
            <v>745.1</v>
          </cell>
          <cell r="H218">
            <v>185.72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1099.01</v>
          </cell>
          <cell r="Q218">
            <v>1099.01</v>
          </cell>
        </row>
        <row r="219">
          <cell r="A219" t="str">
            <v>F54900E</v>
          </cell>
          <cell r="B219" t="str">
            <v>MISCELLANEOUS OTHER POWER GENERATION EX</v>
          </cell>
          <cell r="C219">
            <v>0</v>
          </cell>
          <cell r="D219">
            <v>4167.43</v>
          </cell>
          <cell r="E219">
            <v>4455.4399999999996</v>
          </cell>
          <cell r="F219">
            <v>3625.85</v>
          </cell>
          <cell r="G219">
            <v>-11002.18</v>
          </cell>
          <cell r="H219">
            <v>19570.05</v>
          </cell>
          <cell r="I219">
            <v>-16319.78</v>
          </cell>
          <cell r="J219">
            <v>6807.78</v>
          </cell>
          <cell r="K219">
            <v>4103.76</v>
          </cell>
          <cell r="L219">
            <v>9556.08</v>
          </cell>
          <cell r="M219">
            <v>620.86</v>
          </cell>
          <cell r="N219">
            <v>1616.06</v>
          </cell>
          <cell r="O219">
            <v>0</v>
          </cell>
          <cell r="P219">
            <v>27201.35</v>
          </cell>
          <cell r="Q219">
            <v>27201.35</v>
          </cell>
        </row>
        <row r="220">
          <cell r="A220" t="str">
            <v>F55300E</v>
          </cell>
          <cell r="B220" t="str">
            <v>MAINTENANCE OF GENERATING AND ELECTRIC</v>
          </cell>
          <cell r="C220">
            <v>0</v>
          </cell>
          <cell r="D220">
            <v>315179.78000000003</v>
          </cell>
          <cell r="E220">
            <v>266.61</v>
          </cell>
          <cell r="F220">
            <v>146.65</v>
          </cell>
          <cell r="G220">
            <v>-873.85</v>
          </cell>
          <cell r="H220">
            <v>68.540000000000006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92.81</v>
          </cell>
          <cell r="P220">
            <v>314880.54000000004</v>
          </cell>
          <cell r="Q220">
            <v>314880.54000000004</v>
          </cell>
        </row>
        <row r="221">
          <cell r="A221" t="str">
            <v>F55500E</v>
          </cell>
          <cell r="B221" t="str">
            <v>PURCHASED POWER</v>
          </cell>
          <cell r="C221">
            <v>0</v>
          </cell>
          <cell r="D221">
            <v>15895299.98</v>
          </cell>
          <cell r="E221">
            <v>16565112.390000001</v>
          </cell>
          <cell r="F221">
            <v>17047682.989999998</v>
          </cell>
          <cell r="G221">
            <v>15707132.890000001</v>
          </cell>
          <cell r="H221">
            <v>18895118.420000002</v>
          </cell>
          <cell r="I221">
            <v>22378964.73</v>
          </cell>
          <cell r="J221">
            <v>26035654.039999999</v>
          </cell>
          <cell r="K221">
            <v>27727482.579999998</v>
          </cell>
          <cell r="L221">
            <v>25418705.879999999</v>
          </cell>
          <cell r="M221">
            <v>28417367.949999999</v>
          </cell>
          <cell r="N221">
            <v>19145698.210000001</v>
          </cell>
          <cell r="O221">
            <v>24021595.77</v>
          </cell>
          <cell r="P221">
            <v>257255815.82999998</v>
          </cell>
          <cell r="Q221">
            <v>257255815.82999998</v>
          </cell>
        </row>
        <row r="222">
          <cell r="A222" t="str">
            <v>F55501E</v>
          </cell>
          <cell r="B222" t="str">
            <v>PX POWER</v>
          </cell>
          <cell r="C222">
            <v>0</v>
          </cell>
          <cell r="D222">
            <v>40423265.009999998</v>
          </cell>
          <cell r="E222">
            <v>37128481.57</v>
          </cell>
          <cell r="F222">
            <v>39427705.960000001</v>
          </cell>
          <cell r="G222">
            <v>42194307.840000004</v>
          </cell>
          <cell r="H222">
            <v>79900437.870000005</v>
          </cell>
          <cell r="I222">
            <v>194232110.15000001</v>
          </cell>
          <cell r="J222">
            <v>176812997.88999999</v>
          </cell>
          <cell r="K222">
            <v>268417371.74000001</v>
          </cell>
          <cell r="L222">
            <v>187147741.44</v>
          </cell>
          <cell r="M222">
            <v>132613815.55</v>
          </cell>
          <cell r="N222">
            <v>197410188.13999999</v>
          </cell>
          <cell r="O222">
            <v>326109204.73000002</v>
          </cell>
          <cell r="P222">
            <v>1721817627.8899999</v>
          </cell>
          <cell r="Q222">
            <v>1721817627.8899999</v>
          </cell>
        </row>
        <row r="223">
          <cell r="A223" t="str">
            <v>F55600E</v>
          </cell>
          <cell r="B223" t="str">
            <v>SYSTEM CONTROL AND LOAD DISPATCHING</v>
          </cell>
          <cell r="C223">
            <v>0</v>
          </cell>
          <cell r="D223">
            <v>88255.65</v>
          </cell>
          <cell r="E223">
            <v>107142.05</v>
          </cell>
          <cell r="F223">
            <v>99784.960000000006</v>
          </cell>
          <cell r="G223">
            <v>79820.929999999993</v>
          </cell>
          <cell r="H223">
            <v>103000.53</v>
          </cell>
          <cell r="I223">
            <v>69160.05</v>
          </cell>
          <cell r="J223">
            <v>78210.070000000007</v>
          </cell>
          <cell r="K223">
            <v>90256.19</v>
          </cell>
          <cell r="L223">
            <v>98500.27</v>
          </cell>
          <cell r="M223">
            <v>102171.17</v>
          </cell>
          <cell r="N223">
            <v>87916.94</v>
          </cell>
          <cell r="O223">
            <v>76353.63</v>
          </cell>
          <cell r="P223">
            <v>1080572.44</v>
          </cell>
          <cell r="Q223">
            <v>1080572.44</v>
          </cell>
        </row>
        <row r="224">
          <cell r="A224" t="str">
            <v>F55700E</v>
          </cell>
          <cell r="B224" t="str">
            <v>OTHER EXPENSES</v>
          </cell>
          <cell r="C224">
            <v>0</v>
          </cell>
          <cell r="D224">
            <v>3525110.86</v>
          </cell>
          <cell r="E224">
            <v>481690.28</v>
          </cell>
          <cell r="F224">
            <v>386818.43</v>
          </cell>
          <cell r="G224">
            <v>609208.56999999995</v>
          </cell>
          <cell r="H224">
            <v>655174.42000000004</v>
          </cell>
          <cell r="I224">
            <v>415852.45</v>
          </cell>
          <cell r="J224">
            <v>449193.09</v>
          </cell>
          <cell r="K224">
            <v>458562.23</v>
          </cell>
          <cell r="L224">
            <v>421377.07</v>
          </cell>
          <cell r="M224">
            <v>409426.3</v>
          </cell>
          <cell r="N224">
            <v>514452.56</v>
          </cell>
          <cell r="O224">
            <v>442449.7</v>
          </cell>
          <cell r="P224">
            <v>8769315.959999999</v>
          </cell>
          <cell r="Q224">
            <v>8769315.959999999</v>
          </cell>
        </row>
        <row r="225">
          <cell r="A225" t="str">
            <v>F55720E</v>
          </cell>
          <cell r="B225" t="str">
            <v>OTHER EXPENSES</v>
          </cell>
          <cell r="C225">
            <v>0</v>
          </cell>
          <cell r="D225">
            <v>30579.16</v>
          </cell>
          <cell r="E225">
            <v>27051.64</v>
          </cell>
          <cell r="F225">
            <v>21722.74</v>
          </cell>
          <cell r="G225">
            <v>28575.439999999999</v>
          </cell>
          <cell r="H225">
            <v>31197.759999999998</v>
          </cell>
          <cell r="I225">
            <v>27948.26</v>
          </cell>
          <cell r="J225">
            <v>33657.99</v>
          </cell>
          <cell r="K225">
            <v>56068.6</v>
          </cell>
          <cell r="L225">
            <v>33382.080000000002</v>
          </cell>
          <cell r="M225">
            <v>42174.71</v>
          </cell>
          <cell r="N225">
            <v>33079.99</v>
          </cell>
          <cell r="O225">
            <v>36774.71</v>
          </cell>
          <cell r="P225">
            <v>402213.08000000007</v>
          </cell>
          <cell r="Q225">
            <v>402213.08000000007</v>
          </cell>
        </row>
        <row r="226">
          <cell r="A226" t="str">
            <v>F55780E</v>
          </cell>
          <cell r="B226" t="str">
            <v>OTHER EXPENSES</v>
          </cell>
          <cell r="C226">
            <v>0</v>
          </cell>
          <cell r="D226">
            <v>44831.839999999997</v>
          </cell>
          <cell r="E226">
            <v>28761.01</v>
          </cell>
          <cell r="F226">
            <v>24752.75</v>
          </cell>
          <cell r="G226">
            <v>26411</v>
          </cell>
          <cell r="H226">
            <v>26635.77</v>
          </cell>
          <cell r="I226">
            <v>17035.27</v>
          </cell>
          <cell r="J226">
            <v>20029.43</v>
          </cell>
          <cell r="K226">
            <v>20974.03</v>
          </cell>
          <cell r="L226">
            <v>18567.12</v>
          </cell>
          <cell r="M226">
            <v>22075.01</v>
          </cell>
          <cell r="N226">
            <v>17816.37</v>
          </cell>
          <cell r="O226">
            <v>18061.38</v>
          </cell>
          <cell r="P226">
            <v>285950.98</v>
          </cell>
          <cell r="Q226">
            <v>285950.98</v>
          </cell>
        </row>
        <row r="227">
          <cell r="A227" t="str">
            <v>F55790E</v>
          </cell>
          <cell r="B227" t="str">
            <v>OTHER EXPENSES-PX ADMIN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6275.54</v>
          </cell>
          <cell r="I227">
            <v>126057.79</v>
          </cell>
          <cell r="J227">
            <v>0</v>
          </cell>
          <cell r="K227">
            <v>0</v>
          </cell>
          <cell r="L227">
            <v>0</v>
          </cell>
          <cell r="M227">
            <v>34888.46</v>
          </cell>
          <cell r="N227">
            <v>58938.16</v>
          </cell>
          <cell r="O227">
            <v>25767.25</v>
          </cell>
          <cell r="P227">
            <v>251927.19999999998</v>
          </cell>
          <cell r="Q227">
            <v>251927.19999999998</v>
          </cell>
        </row>
        <row r="228">
          <cell r="A228" t="str">
            <v>F56000E</v>
          </cell>
          <cell r="B228" t="str">
            <v>OPERATION SUPERVISION AND ENGINEERING</v>
          </cell>
          <cell r="C228">
            <v>0</v>
          </cell>
          <cell r="D228">
            <v>13353.72</v>
          </cell>
          <cell r="E228">
            <v>4463.28</v>
          </cell>
          <cell r="F228">
            <v>2828.23</v>
          </cell>
          <cell r="G228">
            <v>15053.44</v>
          </cell>
          <cell r="H228">
            <v>6506.74</v>
          </cell>
          <cell r="I228">
            <v>21900.94</v>
          </cell>
          <cell r="J228">
            <v>973.49</v>
          </cell>
          <cell r="K228">
            <v>4007.79</v>
          </cell>
          <cell r="L228">
            <v>395.86</v>
          </cell>
          <cell r="M228">
            <v>1774.16</v>
          </cell>
          <cell r="N228">
            <v>62788.75</v>
          </cell>
          <cell r="O228">
            <v>2284.85</v>
          </cell>
          <cell r="P228">
            <v>136331.25</v>
          </cell>
          <cell r="Q228">
            <v>136331.25</v>
          </cell>
        </row>
        <row r="229">
          <cell r="A229" t="str">
            <v>F56010E</v>
          </cell>
          <cell r="B229" t="str">
            <v>OPERATION SUPERVISION AND ENGINEERING</v>
          </cell>
          <cell r="C229">
            <v>0</v>
          </cell>
          <cell r="D229">
            <v>101900.27</v>
          </cell>
          <cell r="E229">
            <v>141766.12</v>
          </cell>
          <cell r="F229">
            <v>109241.05</v>
          </cell>
          <cell r="G229">
            <v>116872.32000000001</v>
          </cell>
          <cell r="H229">
            <v>138433.17000000001</v>
          </cell>
          <cell r="I229">
            <v>133198.66</v>
          </cell>
          <cell r="J229">
            <v>160126.01999999999</v>
          </cell>
          <cell r="K229">
            <v>184976.99</v>
          </cell>
          <cell r="L229">
            <v>152819.64000000001</v>
          </cell>
          <cell r="M229">
            <v>183931.04</v>
          </cell>
          <cell r="N229">
            <v>157993.9</v>
          </cell>
          <cell r="O229">
            <v>203021.05</v>
          </cell>
          <cell r="P229">
            <v>1784280.2300000002</v>
          </cell>
          <cell r="Q229">
            <v>1784280.2300000002</v>
          </cell>
        </row>
        <row r="230">
          <cell r="A230" t="str">
            <v>F56020E</v>
          </cell>
          <cell r="B230" t="str">
            <v>OPERATION SUPERVISION AND ENGINEERING</v>
          </cell>
          <cell r="C230">
            <v>0</v>
          </cell>
          <cell r="D230">
            <v>23351.72</v>
          </cell>
          <cell r="E230">
            <v>30924.57</v>
          </cell>
          <cell r="F230">
            <v>26790.76</v>
          </cell>
          <cell r="G230">
            <v>24840.83</v>
          </cell>
          <cell r="H230">
            <v>34452.65</v>
          </cell>
          <cell r="I230">
            <v>23971.35</v>
          </cell>
          <cell r="J230">
            <v>25228.03</v>
          </cell>
          <cell r="K230">
            <v>31611.22</v>
          </cell>
          <cell r="L230">
            <v>29219.53</v>
          </cell>
          <cell r="M230">
            <v>34355.06</v>
          </cell>
          <cell r="N230">
            <v>24786.37</v>
          </cell>
          <cell r="O230">
            <v>26256.09</v>
          </cell>
          <cell r="P230">
            <v>335788.18</v>
          </cell>
          <cell r="Q230">
            <v>335788.18</v>
          </cell>
        </row>
        <row r="231">
          <cell r="A231" t="str">
            <v>F56100E</v>
          </cell>
          <cell r="B231" t="str">
            <v>LOAD DISPATCHING</v>
          </cell>
          <cell r="C231">
            <v>0</v>
          </cell>
          <cell r="D231">
            <v>170497.57</v>
          </cell>
          <cell r="E231">
            <v>232461.05</v>
          </cell>
          <cell r="F231">
            <v>234832.43</v>
          </cell>
          <cell r="G231">
            <v>170422.05</v>
          </cell>
          <cell r="H231">
            <v>220248.44</v>
          </cell>
          <cell r="I231">
            <v>162101.04999999999</v>
          </cell>
          <cell r="J231">
            <v>155578.29999999999</v>
          </cell>
          <cell r="K231">
            <v>211523.45</v>
          </cell>
          <cell r="L231">
            <v>166445.26</v>
          </cell>
          <cell r="M231">
            <v>236830.41</v>
          </cell>
          <cell r="N231">
            <v>195497.27</v>
          </cell>
          <cell r="O231">
            <v>222403.29</v>
          </cell>
          <cell r="P231">
            <v>2378840.5699999998</v>
          </cell>
          <cell r="Q231">
            <v>2378840.5699999998</v>
          </cell>
        </row>
        <row r="232">
          <cell r="A232" t="str">
            <v>F56200E</v>
          </cell>
          <cell r="B232" t="str">
            <v>STATION EXPENSES</v>
          </cell>
          <cell r="C232">
            <v>0</v>
          </cell>
          <cell r="D232">
            <v>976.55</v>
          </cell>
          <cell r="E232">
            <v>950.77</v>
          </cell>
          <cell r="F232">
            <v>2715.96</v>
          </cell>
          <cell r="G232">
            <v>1076.08</v>
          </cell>
          <cell r="H232">
            <v>1125.8699999999999</v>
          </cell>
          <cell r="I232">
            <v>1696.23</v>
          </cell>
          <cell r="J232">
            <v>1125.8699999999999</v>
          </cell>
          <cell r="K232">
            <v>2865.67</v>
          </cell>
          <cell r="L232">
            <v>2113.8000000000002</v>
          </cell>
          <cell r="M232">
            <v>514.4</v>
          </cell>
          <cell r="N232">
            <v>852.1</v>
          </cell>
          <cell r="O232">
            <v>2006.14</v>
          </cell>
          <cell r="P232">
            <v>18019.439999999999</v>
          </cell>
          <cell r="Q232">
            <v>18019.439999999999</v>
          </cell>
        </row>
        <row r="233">
          <cell r="A233" t="str">
            <v>F56210E</v>
          </cell>
          <cell r="B233" t="str">
            <v>STATION EXPENSES</v>
          </cell>
          <cell r="C233">
            <v>0</v>
          </cell>
          <cell r="D233">
            <v>7349.93</v>
          </cell>
          <cell r="E233">
            <v>11346.64</v>
          </cell>
          <cell r="F233">
            <v>11090.17</v>
          </cell>
          <cell r="G233">
            <v>10750.61</v>
          </cell>
          <cell r="H233">
            <v>11165.16</v>
          </cell>
          <cell r="I233">
            <v>12578.53</v>
          </cell>
          <cell r="J233">
            <v>12702.67</v>
          </cell>
          <cell r="K233">
            <v>14283.8</v>
          </cell>
          <cell r="L233">
            <v>7951.38</v>
          </cell>
          <cell r="M233">
            <v>8543.1299999999992</v>
          </cell>
          <cell r="N233">
            <v>13238.39</v>
          </cell>
          <cell r="O233">
            <v>14337.32</v>
          </cell>
          <cell r="P233">
            <v>135337.73000000001</v>
          </cell>
          <cell r="Q233">
            <v>135337.73000000001</v>
          </cell>
        </row>
        <row r="234">
          <cell r="A234" t="str">
            <v>F56300E</v>
          </cell>
          <cell r="B234" t="str">
            <v>OVERHEAD LINE EXPENSES</v>
          </cell>
          <cell r="C234">
            <v>0</v>
          </cell>
          <cell r="D234">
            <v>1961.09</v>
          </cell>
          <cell r="E234">
            <v>2919.43</v>
          </cell>
          <cell r="F234">
            <v>1943.41</v>
          </cell>
          <cell r="G234">
            <v>2735.87</v>
          </cell>
          <cell r="H234">
            <v>6911.75</v>
          </cell>
          <cell r="I234">
            <v>3308.93</v>
          </cell>
          <cell r="J234">
            <v>2441.3000000000002</v>
          </cell>
          <cell r="K234">
            <v>36809.22</v>
          </cell>
          <cell r="L234">
            <v>-15409.24</v>
          </cell>
          <cell r="M234">
            <v>4409.32</v>
          </cell>
          <cell r="N234">
            <v>329.15</v>
          </cell>
          <cell r="O234">
            <v>2580.02</v>
          </cell>
          <cell r="P234">
            <v>50940.25</v>
          </cell>
          <cell r="Q234">
            <v>50940.25</v>
          </cell>
        </row>
        <row r="235">
          <cell r="A235" t="str">
            <v>F56310E</v>
          </cell>
          <cell r="B235" t="str">
            <v>OVERHEAD LINE EXPENSES</v>
          </cell>
          <cell r="C235">
            <v>0</v>
          </cell>
          <cell r="D235">
            <v>29015.95</v>
          </cell>
          <cell r="E235">
            <v>23658.799999999999</v>
          </cell>
          <cell r="F235">
            <v>41182.29</v>
          </cell>
          <cell r="G235">
            <v>33717.5</v>
          </cell>
          <cell r="H235">
            <v>37326.870000000003</v>
          </cell>
          <cell r="I235">
            <v>37617.339999999997</v>
          </cell>
          <cell r="J235">
            <v>33630.239999999998</v>
          </cell>
          <cell r="K235">
            <v>10970.08</v>
          </cell>
          <cell r="L235">
            <v>62593.78</v>
          </cell>
          <cell r="M235">
            <v>49898.35</v>
          </cell>
          <cell r="N235">
            <v>33772</v>
          </cell>
          <cell r="O235">
            <v>27042.5</v>
          </cell>
          <cell r="P235">
            <v>420425.69999999995</v>
          </cell>
          <cell r="Q235">
            <v>420425.69999999995</v>
          </cell>
        </row>
        <row r="236">
          <cell r="A236" t="str">
            <v>F56320E</v>
          </cell>
          <cell r="B236" t="str">
            <v>OVERHEAD LINE EXPENSES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61.44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61.44</v>
          </cell>
          <cell r="Q236">
            <v>61.44</v>
          </cell>
        </row>
        <row r="237">
          <cell r="A237" t="str">
            <v>F56400E</v>
          </cell>
          <cell r="B237" t="str">
            <v>UNDERGROUND LINE EXPENSES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99.06</v>
          </cell>
          <cell r="J237">
            <v>0</v>
          </cell>
          <cell r="K237">
            <v>798.59</v>
          </cell>
          <cell r="L237">
            <v>33.840000000000003</v>
          </cell>
          <cell r="M237">
            <v>0</v>
          </cell>
          <cell r="N237">
            <v>0</v>
          </cell>
          <cell r="O237">
            <v>22.69</v>
          </cell>
          <cell r="P237">
            <v>954.18000000000018</v>
          </cell>
          <cell r="Q237">
            <v>954.18000000000018</v>
          </cell>
        </row>
        <row r="238">
          <cell r="A238" t="str">
            <v>F56500E</v>
          </cell>
          <cell r="B238" t="str">
            <v>TRANSMISSION OF ELECTRICITY BY OTHERS</v>
          </cell>
          <cell r="C238">
            <v>0</v>
          </cell>
          <cell r="D238">
            <v>534341.64</v>
          </cell>
          <cell r="E238">
            <v>613787.19999999995</v>
          </cell>
          <cell r="F238">
            <v>607105.82999999996</v>
          </cell>
          <cell r="G238">
            <v>597783.82999999996</v>
          </cell>
          <cell r="H238">
            <v>568134.52</v>
          </cell>
          <cell r="I238">
            <v>570664.82999999996</v>
          </cell>
          <cell r="J238">
            <v>596204.09</v>
          </cell>
          <cell r="K238">
            <v>596676.44999999995</v>
          </cell>
          <cell r="L238">
            <v>542799.68000000005</v>
          </cell>
          <cell r="M238">
            <v>513665.26</v>
          </cell>
          <cell r="N238">
            <v>514302.83</v>
          </cell>
          <cell r="O238">
            <v>514172.46</v>
          </cell>
          <cell r="P238">
            <v>6769638.6199999992</v>
          </cell>
          <cell r="Q238">
            <v>6769638.6199999992</v>
          </cell>
        </row>
        <row r="239">
          <cell r="A239" t="str">
            <v>F56600E</v>
          </cell>
          <cell r="B239" t="str">
            <v>MISCELLANEOUS TRANSMISSION EXPENSES</v>
          </cell>
          <cell r="C239">
            <v>0</v>
          </cell>
          <cell r="D239">
            <v>3987272.91</v>
          </cell>
          <cell r="E239">
            <v>5246668.07</v>
          </cell>
          <cell r="F239">
            <v>7384421.4400000004</v>
          </cell>
          <cell r="G239">
            <v>5638178.1699999999</v>
          </cell>
          <cell r="H239">
            <v>4785391.4400000004</v>
          </cell>
          <cell r="I239">
            <v>4089071.75</v>
          </cell>
          <cell r="J239">
            <v>2226701.77</v>
          </cell>
          <cell r="K239">
            <v>-12747419.279999999</v>
          </cell>
          <cell r="L239">
            <v>3145175.92</v>
          </cell>
          <cell r="M239">
            <v>5871980.9699999997</v>
          </cell>
          <cell r="N239">
            <v>5775577.3300000001</v>
          </cell>
          <cell r="O239">
            <v>5000102.97</v>
          </cell>
          <cell r="P239">
            <v>40403123.460000001</v>
          </cell>
          <cell r="Q239">
            <v>40403123.460000001</v>
          </cell>
        </row>
        <row r="240">
          <cell r="A240" t="str">
            <v>F56620E</v>
          </cell>
          <cell r="B240" t="str">
            <v>MISCELLANEOUS TRANSMISSION EXPENSES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37.71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37.71</v>
          </cell>
          <cell r="Q240">
            <v>37.71</v>
          </cell>
        </row>
        <row r="241">
          <cell r="A241" t="str">
            <v>F56700E</v>
          </cell>
          <cell r="B241" t="str">
            <v>RENTS</v>
          </cell>
          <cell r="C241">
            <v>0</v>
          </cell>
          <cell r="D241">
            <v>464.93</v>
          </cell>
          <cell r="E241">
            <v>413170.93</v>
          </cell>
          <cell r="F241">
            <v>38823.019999999997</v>
          </cell>
          <cell r="G241">
            <v>838.06</v>
          </cell>
          <cell r="H241">
            <v>19252.84</v>
          </cell>
          <cell r="I241">
            <v>332.54</v>
          </cell>
          <cell r="J241">
            <v>405967.5</v>
          </cell>
          <cell r="K241">
            <v>14040</v>
          </cell>
          <cell r="L241">
            <v>2940.4</v>
          </cell>
          <cell r="M241">
            <v>29962.37</v>
          </cell>
          <cell r="N241">
            <v>29908.5</v>
          </cell>
          <cell r="O241">
            <v>1058.8800000000001</v>
          </cell>
          <cell r="P241">
            <v>956759.97000000009</v>
          </cell>
          <cell r="Q241">
            <v>956759.97000000009</v>
          </cell>
        </row>
        <row r="242">
          <cell r="A242" t="str">
            <v>F56800E</v>
          </cell>
          <cell r="B242" t="str">
            <v>MAINTENANCE SUPERVISION AND ENGINEERING</v>
          </cell>
          <cell r="C242">
            <v>0</v>
          </cell>
          <cell r="D242">
            <v>0</v>
          </cell>
          <cell r="E242">
            <v>336.45</v>
          </cell>
          <cell r="F242">
            <v>1636.55</v>
          </cell>
          <cell r="G242">
            <v>-206.33</v>
          </cell>
          <cell r="H242">
            <v>29165.88</v>
          </cell>
          <cell r="I242">
            <v>3362.58</v>
          </cell>
          <cell r="J242">
            <v>753.93</v>
          </cell>
          <cell r="K242">
            <v>7536.92</v>
          </cell>
          <cell r="L242">
            <v>2208.85</v>
          </cell>
          <cell r="M242">
            <v>6627.7</v>
          </cell>
          <cell r="N242">
            <v>5383.95</v>
          </cell>
          <cell r="O242">
            <v>5659.49</v>
          </cell>
          <cell r="P242">
            <v>62465.969999999994</v>
          </cell>
          <cell r="Q242">
            <v>62465.969999999994</v>
          </cell>
        </row>
        <row r="243">
          <cell r="A243" t="str">
            <v>F56810E</v>
          </cell>
          <cell r="B243" t="str">
            <v>MAINTENANCE SUPERVISION AND ENGINEERING</v>
          </cell>
          <cell r="C243">
            <v>0</v>
          </cell>
          <cell r="D243">
            <v>12732.21</v>
          </cell>
          <cell r="E243">
            <v>16178.26</v>
          </cell>
          <cell r="F243">
            <v>11486.74</v>
          </cell>
          <cell r="G243">
            <v>12551.45</v>
          </cell>
          <cell r="H243">
            <v>15628.37</v>
          </cell>
          <cell r="I243">
            <v>14363.96</v>
          </cell>
          <cell r="J243">
            <v>17620.03</v>
          </cell>
          <cell r="K243">
            <v>27908.57</v>
          </cell>
          <cell r="L243">
            <v>23806.34</v>
          </cell>
          <cell r="M243">
            <v>25201.34</v>
          </cell>
          <cell r="N243">
            <v>20983.33</v>
          </cell>
          <cell r="O243">
            <v>22948.12</v>
          </cell>
          <cell r="P243">
            <v>221408.71999999997</v>
          </cell>
          <cell r="Q243">
            <v>221408.71999999997</v>
          </cell>
        </row>
        <row r="244">
          <cell r="A244" t="str">
            <v>F56820E</v>
          </cell>
          <cell r="B244" t="str">
            <v>MAINTENANCE SUPERVISION AND ENGINEERING</v>
          </cell>
          <cell r="C244">
            <v>0</v>
          </cell>
          <cell r="D244">
            <v>10.69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10.69</v>
          </cell>
          <cell r="Q244">
            <v>10.69</v>
          </cell>
        </row>
        <row r="245">
          <cell r="A245" t="str">
            <v>F56900E</v>
          </cell>
          <cell r="B245" t="str">
            <v>MAINTENANCE OF STRUCTURES</v>
          </cell>
          <cell r="C245">
            <v>0</v>
          </cell>
          <cell r="D245">
            <v>116.9</v>
          </cell>
          <cell r="E245">
            <v>1186.9100000000001</v>
          </cell>
          <cell r="F245">
            <v>-421.43</v>
          </cell>
          <cell r="G245">
            <v>546.6</v>
          </cell>
          <cell r="H245">
            <v>2</v>
          </cell>
          <cell r="I245">
            <v>0</v>
          </cell>
          <cell r="J245">
            <v>108.99</v>
          </cell>
          <cell r="K245">
            <v>52</v>
          </cell>
          <cell r="L245">
            <v>36.1</v>
          </cell>
          <cell r="M245">
            <v>0</v>
          </cell>
          <cell r="N245">
            <v>61.6</v>
          </cell>
          <cell r="O245">
            <v>0</v>
          </cell>
          <cell r="P245">
            <v>1689.6699999999998</v>
          </cell>
          <cell r="Q245">
            <v>1689.6699999999998</v>
          </cell>
        </row>
        <row r="246">
          <cell r="A246" t="str">
            <v>F57000E</v>
          </cell>
          <cell r="B246" t="str">
            <v>MAINTENANCE OF STATION EQUIPMENT</v>
          </cell>
          <cell r="C246">
            <v>0</v>
          </cell>
          <cell r="D246">
            <v>21009.200000000001</v>
          </cell>
          <cell r="E246">
            <v>37025.11</v>
          </cell>
          <cell r="F246">
            <v>32553.54</v>
          </cell>
          <cell r="G246">
            <v>20978.11</v>
          </cell>
          <cell r="H246">
            <v>38978.44</v>
          </cell>
          <cell r="I246">
            <v>23285.54</v>
          </cell>
          <cell r="J246">
            <v>33578.68</v>
          </cell>
          <cell r="K246">
            <v>34636.629999999997</v>
          </cell>
          <cell r="L246">
            <v>43022.97</v>
          </cell>
          <cell r="M246">
            <v>2755.38</v>
          </cell>
          <cell r="N246">
            <v>83902.66</v>
          </cell>
          <cell r="O246">
            <v>38668.43</v>
          </cell>
          <cell r="P246">
            <v>410394.69</v>
          </cell>
          <cell r="Q246">
            <v>410394.69</v>
          </cell>
        </row>
        <row r="247">
          <cell r="A247" t="str">
            <v>F57010E</v>
          </cell>
          <cell r="B247" t="str">
            <v>MAINTENANCE OF STATION EQUIPMENT</v>
          </cell>
          <cell r="C247">
            <v>0</v>
          </cell>
          <cell r="D247">
            <v>89927.43</v>
          </cell>
          <cell r="E247">
            <v>105925.56</v>
          </cell>
          <cell r="F247">
            <v>77006.61</v>
          </cell>
          <cell r="G247">
            <v>67983</v>
          </cell>
          <cell r="H247">
            <v>133490.32</v>
          </cell>
          <cell r="I247">
            <v>81734.22</v>
          </cell>
          <cell r="J247">
            <v>100997.53</v>
          </cell>
          <cell r="K247">
            <v>147219.07</v>
          </cell>
          <cell r="L247">
            <v>184353.99</v>
          </cell>
          <cell r="M247">
            <v>172692.91</v>
          </cell>
          <cell r="N247">
            <v>94312.71</v>
          </cell>
          <cell r="O247">
            <v>89056.38</v>
          </cell>
          <cell r="P247">
            <v>1344699.73</v>
          </cell>
          <cell r="Q247">
            <v>1344699.73</v>
          </cell>
        </row>
        <row r="248">
          <cell r="A248" t="str">
            <v>F57020E</v>
          </cell>
          <cell r="B248" t="str">
            <v>MAINTENANCE OF STATION EQUIPMENT</v>
          </cell>
          <cell r="C248">
            <v>0</v>
          </cell>
          <cell r="D248">
            <v>5977.51</v>
          </cell>
          <cell r="E248">
            <v>13787.4</v>
          </cell>
          <cell r="F248">
            <v>14766.79</v>
          </cell>
          <cell r="G248">
            <v>13827.62</v>
          </cell>
          <cell r="H248">
            <v>19092.7</v>
          </cell>
          <cell r="I248">
            <v>17927.88</v>
          </cell>
          <cell r="J248">
            <v>6646.68</v>
          </cell>
          <cell r="K248">
            <v>20327.16</v>
          </cell>
          <cell r="L248">
            <v>15751.79</v>
          </cell>
          <cell r="M248">
            <v>15645.19</v>
          </cell>
          <cell r="N248">
            <v>13452.31</v>
          </cell>
          <cell r="O248">
            <v>13215.03</v>
          </cell>
          <cell r="P248">
            <v>170418.06000000003</v>
          </cell>
          <cell r="Q248">
            <v>170418.06000000003</v>
          </cell>
        </row>
        <row r="249">
          <cell r="A249" t="str">
            <v>F57050E</v>
          </cell>
          <cell r="B249" t="str">
            <v>MAINTENANCE OF STATION EQUIPMENT</v>
          </cell>
          <cell r="C249">
            <v>0</v>
          </cell>
          <cell r="D249">
            <v>793.93</v>
          </cell>
          <cell r="E249">
            <v>0</v>
          </cell>
          <cell r="F249">
            <v>423</v>
          </cell>
          <cell r="G249">
            <v>0</v>
          </cell>
          <cell r="H249">
            <v>0</v>
          </cell>
          <cell r="I249">
            <v>0</v>
          </cell>
          <cell r="J249">
            <v>518.16</v>
          </cell>
          <cell r="K249">
            <v>0</v>
          </cell>
          <cell r="L249">
            <v>1445.97</v>
          </cell>
          <cell r="M249">
            <v>0</v>
          </cell>
          <cell r="N249">
            <v>698.48</v>
          </cell>
          <cell r="O249">
            <v>0</v>
          </cell>
          <cell r="P249">
            <v>3879.5399999999995</v>
          </cell>
          <cell r="Q249">
            <v>3879.5399999999995</v>
          </cell>
        </row>
        <row r="250">
          <cell r="A250" t="str">
            <v>F57060E</v>
          </cell>
          <cell r="B250" t="str">
            <v>MAINTENANCE OF STATION EQUIPMENT</v>
          </cell>
          <cell r="C250">
            <v>0</v>
          </cell>
          <cell r="D250">
            <v>2767.48</v>
          </cell>
          <cell r="E250">
            <v>1750.38</v>
          </cell>
          <cell r="F250">
            <v>958.92</v>
          </cell>
          <cell r="G250">
            <v>19364.43</v>
          </cell>
          <cell r="H250">
            <v>15481.42</v>
          </cell>
          <cell r="I250">
            <v>217.21</v>
          </cell>
          <cell r="J250">
            <v>744.1</v>
          </cell>
          <cell r="K250">
            <v>0</v>
          </cell>
          <cell r="L250">
            <v>534.09</v>
          </cell>
          <cell r="M250">
            <v>2508.1</v>
          </cell>
          <cell r="N250">
            <v>16202.82</v>
          </cell>
          <cell r="O250">
            <v>890.25</v>
          </cell>
          <cell r="P250">
            <v>61419.19999999999</v>
          </cell>
          <cell r="Q250">
            <v>61419.19999999999</v>
          </cell>
        </row>
        <row r="251">
          <cell r="A251" t="str">
            <v>F57070E</v>
          </cell>
          <cell r="B251" t="str">
            <v>MAINTENANCE OF STATION EQUIPMENT</v>
          </cell>
          <cell r="C251">
            <v>0</v>
          </cell>
          <cell r="D251">
            <v>12195.11</v>
          </cell>
          <cell r="E251">
            <v>1480.04</v>
          </cell>
          <cell r="F251">
            <v>4057.61</v>
          </cell>
          <cell r="G251">
            <v>256.85000000000002</v>
          </cell>
          <cell r="H251">
            <v>-87.87</v>
          </cell>
          <cell r="I251">
            <v>197.25</v>
          </cell>
          <cell r="J251">
            <v>1548.9</v>
          </cell>
          <cell r="K251">
            <v>484.91</v>
          </cell>
          <cell r="L251">
            <v>630.49</v>
          </cell>
          <cell r="M251">
            <v>37618.589999999997</v>
          </cell>
          <cell r="N251">
            <v>2197.79</v>
          </cell>
          <cell r="O251">
            <v>337</v>
          </cell>
          <cell r="P251">
            <v>60916.670000000006</v>
          </cell>
          <cell r="Q251">
            <v>60916.670000000006</v>
          </cell>
        </row>
        <row r="252">
          <cell r="A252" t="str">
            <v>F57100E</v>
          </cell>
          <cell r="B252" t="str">
            <v>MAINTENANCE OF OVERHEAD LINES</v>
          </cell>
          <cell r="C252">
            <v>0</v>
          </cell>
          <cell r="D252">
            <v>60032.84</v>
          </cell>
          <cell r="E252">
            <v>81153.509999999995</v>
          </cell>
          <cell r="F252">
            <v>36747.760000000002</v>
          </cell>
          <cell r="G252">
            <v>92064.37</v>
          </cell>
          <cell r="H252">
            <v>139132.15</v>
          </cell>
          <cell r="I252">
            <v>195714.43</v>
          </cell>
          <cell r="J252">
            <v>95298.74</v>
          </cell>
          <cell r="K252">
            <v>160235.23000000001</v>
          </cell>
          <cell r="L252">
            <v>141800.74</v>
          </cell>
          <cell r="M252">
            <v>90432.4</v>
          </cell>
          <cell r="N252">
            <v>96086.79</v>
          </cell>
          <cell r="O252">
            <v>93370.23</v>
          </cell>
          <cell r="P252">
            <v>1282069.19</v>
          </cell>
          <cell r="Q252">
            <v>1282069.19</v>
          </cell>
        </row>
        <row r="253">
          <cell r="A253" t="str">
            <v>F57110E</v>
          </cell>
          <cell r="B253" t="str">
            <v>MAINTENANCE OF OVERHEAD LINES</v>
          </cell>
          <cell r="C253">
            <v>0</v>
          </cell>
          <cell r="D253">
            <v>16755.96</v>
          </cell>
          <cell r="E253">
            <v>18191.599999999999</v>
          </cell>
          <cell r="F253">
            <v>10707.46</v>
          </cell>
          <cell r="G253">
            <v>27363.41</v>
          </cell>
          <cell r="H253">
            <v>28982.54</v>
          </cell>
          <cell r="I253">
            <v>15938.15</v>
          </cell>
          <cell r="J253">
            <v>9474.93</v>
          </cell>
          <cell r="K253">
            <v>30247.64</v>
          </cell>
          <cell r="L253">
            <v>10242.61</v>
          </cell>
          <cell r="M253">
            <v>69658.89</v>
          </cell>
          <cell r="N253">
            <v>18936.22</v>
          </cell>
          <cell r="O253">
            <v>13294.9</v>
          </cell>
          <cell r="P253">
            <v>269794.31</v>
          </cell>
          <cell r="Q253">
            <v>269794.31</v>
          </cell>
        </row>
        <row r="254">
          <cell r="A254" t="str">
            <v>F57120E</v>
          </cell>
          <cell r="B254" t="str">
            <v>MAINTENANCE OF OVERHEAD LINES</v>
          </cell>
          <cell r="C254">
            <v>0</v>
          </cell>
          <cell r="D254">
            <v>-90945.78</v>
          </cell>
          <cell r="E254">
            <v>4651.58</v>
          </cell>
          <cell r="F254">
            <v>13454.45</v>
          </cell>
          <cell r="G254">
            <v>6268.36</v>
          </cell>
          <cell r="H254">
            <v>5966.78</v>
          </cell>
          <cell r="I254">
            <v>41630.79</v>
          </cell>
          <cell r="J254">
            <v>36041.29</v>
          </cell>
          <cell r="K254">
            <v>73977.2</v>
          </cell>
          <cell r="L254">
            <v>53049.8</v>
          </cell>
          <cell r="M254">
            <v>35815.39</v>
          </cell>
          <cell r="N254">
            <v>29773.55</v>
          </cell>
          <cell r="O254">
            <v>133821.43</v>
          </cell>
          <cell r="P254">
            <v>343504.83999999997</v>
          </cell>
          <cell r="Q254">
            <v>343504.83999999997</v>
          </cell>
        </row>
        <row r="255">
          <cell r="A255" t="str">
            <v>F57130E</v>
          </cell>
          <cell r="B255" t="str">
            <v>MAINTENANCE OF OVERHEAD LINES</v>
          </cell>
          <cell r="C255">
            <v>0</v>
          </cell>
          <cell r="D255">
            <v>59307.71</v>
          </cell>
          <cell r="E255">
            <v>92509.15</v>
          </cell>
          <cell r="F255">
            <v>57476.959999999999</v>
          </cell>
          <cell r="G255">
            <v>77705.740000000005</v>
          </cell>
          <cell r="H255">
            <v>91521.96</v>
          </cell>
          <cell r="I255">
            <v>75285.509999999995</v>
          </cell>
          <cell r="J255">
            <v>74035.320000000007</v>
          </cell>
          <cell r="K255">
            <v>108251.46</v>
          </cell>
          <cell r="L255">
            <v>78622.5</v>
          </cell>
          <cell r="M255">
            <v>108044.03</v>
          </cell>
          <cell r="N255">
            <v>76364.56</v>
          </cell>
          <cell r="O255">
            <v>78780.350000000006</v>
          </cell>
          <cell r="P255">
            <v>977905.25000000012</v>
          </cell>
          <cell r="Q255">
            <v>977905.25000000012</v>
          </cell>
        </row>
        <row r="256">
          <cell r="A256" t="str">
            <v>F57170E</v>
          </cell>
          <cell r="B256" t="str">
            <v>MAINTENANCE OF OVERHEAD LINES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2975</v>
          </cell>
          <cell r="K256">
            <v>0</v>
          </cell>
          <cell r="L256">
            <v>-1700</v>
          </cell>
          <cell r="M256">
            <v>1072.3399999999999</v>
          </cell>
          <cell r="N256">
            <v>0</v>
          </cell>
          <cell r="O256">
            <v>2604.33</v>
          </cell>
          <cell r="P256">
            <v>4951.67</v>
          </cell>
          <cell r="Q256">
            <v>4951.67</v>
          </cell>
        </row>
        <row r="257">
          <cell r="A257" t="str">
            <v>F57180E</v>
          </cell>
          <cell r="B257" t="str">
            <v>MAINTENANCE OF OVERHEAD LINES</v>
          </cell>
          <cell r="C257">
            <v>0</v>
          </cell>
          <cell r="D257">
            <v>10978.44</v>
          </cell>
          <cell r="E257">
            <v>9543</v>
          </cell>
          <cell r="F257">
            <v>5461.93</v>
          </cell>
          <cell r="G257">
            <v>1494.91</v>
          </cell>
          <cell r="H257">
            <v>11881.71</v>
          </cell>
          <cell r="I257">
            <v>6658.92</v>
          </cell>
          <cell r="J257">
            <v>4641.46</v>
          </cell>
          <cell r="K257">
            <v>3329.05</v>
          </cell>
          <cell r="L257">
            <v>692.55</v>
          </cell>
          <cell r="M257">
            <v>0</v>
          </cell>
          <cell r="N257">
            <v>155.46</v>
          </cell>
          <cell r="O257">
            <v>0</v>
          </cell>
          <cell r="P257">
            <v>54837.430000000008</v>
          </cell>
          <cell r="Q257">
            <v>54837.430000000008</v>
          </cell>
        </row>
        <row r="258">
          <cell r="A258" t="str">
            <v>F57190E</v>
          </cell>
          <cell r="B258" t="str">
            <v>MAINTENANCE OF OVERHEAD LINES</v>
          </cell>
          <cell r="C258">
            <v>0</v>
          </cell>
          <cell r="D258">
            <v>62.95</v>
          </cell>
          <cell r="E258">
            <v>859.14</v>
          </cell>
          <cell r="F258">
            <v>0</v>
          </cell>
          <cell r="G258">
            <v>0</v>
          </cell>
          <cell r="H258">
            <v>0</v>
          </cell>
          <cell r="I258">
            <v>59.6</v>
          </cell>
          <cell r="J258">
            <v>0</v>
          </cell>
          <cell r="K258">
            <v>299.7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1281.3900000000001</v>
          </cell>
          <cell r="Q258">
            <v>1281.3900000000001</v>
          </cell>
        </row>
        <row r="259">
          <cell r="A259" t="str">
            <v>F57200E</v>
          </cell>
          <cell r="B259" t="str">
            <v>MAINTENANCE OF UNDERGROUND LINES</v>
          </cell>
          <cell r="C259">
            <v>0</v>
          </cell>
          <cell r="D259">
            <v>10394.799999999999</v>
          </cell>
          <cell r="E259">
            <v>340.91</v>
          </cell>
          <cell r="F259">
            <v>538.72</v>
          </cell>
          <cell r="G259">
            <v>732.35</v>
          </cell>
          <cell r="H259">
            <v>618.21</v>
          </cell>
          <cell r="I259">
            <v>745.55</v>
          </cell>
          <cell r="J259">
            <v>401.78</v>
          </cell>
          <cell r="K259">
            <v>454.01</v>
          </cell>
          <cell r="L259">
            <v>1321.79</v>
          </cell>
          <cell r="M259">
            <v>972.75</v>
          </cell>
          <cell r="N259">
            <v>434.25</v>
          </cell>
          <cell r="O259">
            <v>14243.05</v>
          </cell>
          <cell r="P259">
            <v>31198.17</v>
          </cell>
          <cell r="Q259">
            <v>31198.17</v>
          </cell>
        </row>
        <row r="260">
          <cell r="A260" t="str">
            <v>F57300E</v>
          </cell>
          <cell r="B260" t="str">
            <v>MAINTENANCE OF MISCELLANEOUS TRANSMISSI</v>
          </cell>
          <cell r="C260">
            <v>0</v>
          </cell>
          <cell r="D260">
            <v>-15.18</v>
          </cell>
          <cell r="E260">
            <v>87.28</v>
          </cell>
          <cell r="F260">
            <v>1254.01</v>
          </cell>
          <cell r="G260">
            <v>831.19</v>
          </cell>
          <cell r="H260">
            <v>2704.82</v>
          </cell>
          <cell r="I260">
            <v>246.38</v>
          </cell>
          <cell r="J260">
            <v>857.19</v>
          </cell>
          <cell r="K260">
            <v>182.63</v>
          </cell>
          <cell r="L260">
            <v>3492.94</v>
          </cell>
          <cell r="M260">
            <v>828</v>
          </cell>
          <cell r="N260">
            <v>353.59</v>
          </cell>
          <cell r="O260">
            <v>2823.22</v>
          </cell>
          <cell r="P260">
            <v>13646.07</v>
          </cell>
          <cell r="Q260">
            <v>13646.07</v>
          </cell>
        </row>
        <row r="261">
          <cell r="A261" t="str">
            <v>F58000E</v>
          </cell>
          <cell r="B261" t="str">
            <v>OPERATION SUPERVISION AND ENGINEERING</v>
          </cell>
          <cell r="C261">
            <v>0</v>
          </cell>
          <cell r="D261">
            <v>425078.05</v>
          </cell>
          <cell r="E261">
            <v>524648.75</v>
          </cell>
          <cell r="F261">
            <v>418279.32</v>
          </cell>
          <cell r="G261">
            <v>337827.76</v>
          </cell>
          <cell r="H261">
            <v>651301.11</v>
          </cell>
          <cell r="I261">
            <v>327631.18</v>
          </cell>
          <cell r="J261">
            <v>330113.12</v>
          </cell>
          <cell r="K261">
            <v>575709.14</v>
          </cell>
          <cell r="L261">
            <v>404921.39</v>
          </cell>
          <cell r="M261">
            <v>621841.82999999996</v>
          </cell>
          <cell r="N261">
            <v>462601.25</v>
          </cell>
          <cell r="O261">
            <v>486107.21</v>
          </cell>
          <cell r="P261">
            <v>5566060.1100000003</v>
          </cell>
          <cell r="Q261">
            <v>5566060.1100000003</v>
          </cell>
        </row>
        <row r="262">
          <cell r="A262" t="str">
            <v>F58010E</v>
          </cell>
          <cell r="B262" t="str">
            <v>OPERATION SUPERVISION AND ENGINEERING</v>
          </cell>
          <cell r="C262">
            <v>0</v>
          </cell>
          <cell r="D262">
            <v>75051.78</v>
          </cell>
          <cell r="E262">
            <v>76830.53</v>
          </cell>
          <cell r="F262">
            <v>81029.38</v>
          </cell>
          <cell r="G262">
            <v>70925.070000000007</v>
          </cell>
          <cell r="H262">
            <v>119025</v>
          </cell>
          <cell r="I262">
            <v>190137.19</v>
          </cell>
          <cell r="J262">
            <v>91852.49</v>
          </cell>
          <cell r="K262">
            <v>135477.35</v>
          </cell>
          <cell r="L262">
            <v>110811.6</v>
          </cell>
          <cell r="M262">
            <v>170947.45</v>
          </cell>
          <cell r="N262">
            <v>129360.14</v>
          </cell>
          <cell r="O262">
            <v>211338.26</v>
          </cell>
          <cell r="P262">
            <v>1462786.2399999998</v>
          </cell>
          <cell r="Q262">
            <v>1462786.2399999998</v>
          </cell>
        </row>
        <row r="263">
          <cell r="A263" t="str">
            <v>F58020E</v>
          </cell>
          <cell r="B263" t="str">
            <v>OPERATION SUPERVISION AND ENGINEERING</v>
          </cell>
          <cell r="C263">
            <v>0</v>
          </cell>
          <cell r="D263">
            <v>66694.16</v>
          </cell>
          <cell r="E263">
            <v>70742.06</v>
          </cell>
          <cell r="F263">
            <v>69163.240000000005</v>
          </cell>
          <cell r="G263">
            <v>75106.59</v>
          </cell>
          <cell r="H263">
            <v>78454.990000000005</v>
          </cell>
          <cell r="I263">
            <v>94353.58</v>
          </cell>
          <cell r="J263">
            <v>101914.04</v>
          </cell>
          <cell r="K263">
            <v>92881.42</v>
          </cell>
          <cell r="L263">
            <v>75889.36</v>
          </cell>
          <cell r="M263">
            <v>103634.97</v>
          </cell>
          <cell r="N263">
            <v>12348.85</v>
          </cell>
          <cell r="O263">
            <v>82297.259999999995</v>
          </cell>
          <cell r="P263">
            <v>923480.52</v>
          </cell>
          <cell r="Q263">
            <v>923480.52</v>
          </cell>
        </row>
        <row r="264">
          <cell r="A264" t="str">
            <v>F58040E</v>
          </cell>
          <cell r="B264" t="str">
            <v>OPERATION SUPERVISION AND ENGINEERING</v>
          </cell>
          <cell r="C264">
            <v>0</v>
          </cell>
          <cell r="D264">
            <v>2283.83</v>
          </cell>
          <cell r="E264">
            <v>2185.4699999999998</v>
          </cell>
          <cell r="F264">
            <v>2248.4899999999998</v>
          </cell>
          <cell r="G264">
            <v>2290.4499999999998</v>
          </cell>
          <cell r="H264">
            <v>1916.02</v>
          </cell>
          <cell r="I264">
            <v>1920.19</v>
          </cell>
          <cell r="J264">
            <v>1486.88</v>
          </cell>
          <cell r="K264">
            <v>2499.6799999999998</v>
          </cell>
          <cell r="L264">
            <v>2196.75</v>
          </cell>
          <cell r="M264">
            <v>2400.02</v>
          </cell>
          <cell r="N264">
            <v>2306.5500000000002</v>
          </cell>
          <cell r="O264">
            <v>1938.66</v>
          </cell>
          <cell r="P264">
            <v>25672.989999999998</v>
          </cell>
          <cell r="Q264">
            <v>25672.989999999998</v>
          </cell>
        </row>
        <row r="265">
          <cell r="A265" t="str">
            <v>F58100E</v>
          </cell>
          <cell r="B265" t="str">
            <v>LOAD DISPATCHING</v>
          </cell>
          <cell r="C265">
            <v>0</v>
          </cell>
          <cell r="D265">
            <v>88673.7</v>
          </cell>
          <cell r="E265">
            <v>109851.6</v>
          </cell>
          <cell r="F265">
            <v>94299.11</v>
          </cell>
          <cell r="G265">
            <v>103617.43</v>
          </cell>
          <cell r="H265">
            <v>111466.69</v>
          </cell>
          <cell r="I265">
            <v>67809.31</v>
          </cell>
          <cell r="J265">
            <v>72288.490000000005</v>
          </cell>
          <cell r="K265">
            <v>96982.13</v>
          </cell>
          <cell r="L265">
            <v>74462.960000000006</v>
          </cell>
          <cell r="M265">
            <v>100875.91</v>
          </cell>
          <cell r="N265">
            <v>81325.899999999994</v>
          </cell>
          <cell r="O265">
            <v>81578.67</v>
          </cell>
          <cell r="P265">
            <v>1083231.8999999999</v>
          </cell>
          <cell r="Q265">
            <v>1083231.8999999999</v>
          </cell>
        </row>
        <row r="266">
          <cell r="A266" t="str">
            <v>F58200E</v>
          </cell>
          <cell r="B266" t="str">
            <v>STATION EXPENSES</v>
          </cell>
          <cell r="C266">
            <v>0</v>
          </cell>
          <cell r="D266">
            <v>95096.4</v>
          </cell>
          <cell r="E266">
            <v>59837.24</v>
          </cell>
          <cell r="F266">
            <v>64211.72</v>
          </cell>
          <cell r="G266">
            <v>59330.93</v>
          </cell>
          <cell r="H266">
            <v>91869.95</v>
          </cell>
          <cell r="I266">
            <v>92156.31</v>
          </cell>
          <cell r="J266">
            <v>134971.84</v>
          </cell>
          <cell r="K266">
            <v>77004.509999999995</v>
          </cell>
          <cell r="L266">
            <v>74882.009999999995</v>
          </cell>
          <cell r="M266">
            <v>57993.89</v>
          </cell>
          <cell r="N266">
            <v>56409.54</v>
          </cell>
          <cell r="O266">
            <v>72013.39</v>
          </cell>
          <cell r="P266">
            <v>935777.7300000001</v>
          </cell>
          <cell r="Q266">
            <v>935777.7300000001</v>
          </cell>
        </row>
        <row r="267">
          <cell r="A267" t="str">
            <v>F58210E</v>
          </cell>
          <cell r="B267" t="str">
            <v>STATION EXPENSES</v>
          </cell>
          <cell r="C267">
            <v>0</v>
          </cell>
          <cell r="D267">
            <v>71836.91</v>
          </cell>
          <cell r="E267">
            <v>82969.539999999994</v>
          </cell>
          <cell r="F267">
            <v>82503.72</v>
          </cell>
          <cell r="G267">
            <v>78765.39</v>
          </cell>
          <cell r="H267">
            <v>87618.57</v>
          </cell>
          <cell r="I267">
            <v>76139.929999999993</v>
          </cell>
          <cell r="J267">
            <v>69282.320000000007</v>
          </cell>
          <cell r="K267">
            <v>84345.18</v>
          </cell>
          <cell r="L267">
            <v>78079.95</v>
          </cell>
          <cell r="M267">
            <v>96098.45</v>
          </cell>
          <cell r="N267">
            <v>73436.78</v>
          </cell>
          <cell r="O267">
            <v>79705.960000000006</v>
          </cell>
          <cell r="P267">
            <v>960782.7</v>
          </cell>
          <cell r="Q267">
            <v>960782.7</v>
          </cell>
        </row>
        <row r="268">
          <cell r="A268" t="str">
            <v>F58220E</v>
          </cell>
          <cell r="B268" t="str">
            <v>STATION EXPENSES</v>
          </cell>
          <cell r="C268">
            <v>0</v>
          </cell>
          <cell r="D268">
            <v>61.64</v>
          </cell>
          <cell r="E268">
            <v>48.78</v>
          </cell>
          <cell r="F268">
            <v>104.02</v>
          </cell>
          <cell r="G268">
            <v>1584.98</v>
          </cell>
          <cell r="H268">
            <v>260.41000000000003</v>
          </cell>
          <cell r="I268">
            <v>1860.85</v>
          </cell>
          <cell r="J268">
            <v>183.49</v>
          </cell>
          <cell r="K268">
            <v>383.14</v>
          </cell>
          <cell r="L268">
            <v>209.68</v>
          </cell>
          <cell r="M268">
            <v>0</v>
          </cell>
          <cell r="N268">
            <v>652.16</v>
          </cell>
          <cell r="O268">
            <v>677.5</v>
          </cell>
          <cell r="P268">
            <v>6026.6500000000005</v>
          </cell>
          <cell r="Q268">
            <v>6026.6500000000005</v>
          </cell>
        </row>
        <row r="269">
          <cell r="A269" t="str">
            <v>F58230E</v>
          </cell>
          <cell r="B269" t="str">
            <v>STATION EXPENSES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185.95</v>
          </cell>
          <cell r="P269">
            <v>185.95</v>
          </cell>
          <cell r="Q269">
            <v>185.95</v>
          </cell>
        </row>
        <row r="270">
          <cell r="A270" t="str">
            <v>F58240E</v>
          </cell>
          <cell r="B270" t="str">
            <v>STATION EXPENSES</v>
          </cell>
          <cell r="C270">
            <v>0</v>
          </cell>
          <cell r="D270">
            <v>0</v>
          </cell>
          <cell r="E270">
            <v>70.69</v>
          </cell>
          <cell r="F270">
            <v>0</v>
          </cell>
          <cell r="G270">
            <v>0</v>
          </cell>
          <cell r="H270">
            <v>145.65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18.54</v>
          </cell>
          <cell r="N270">
            <v>0</v>
          </cell>
          <cell r="O270">
            <v>12.2</v>
          </cell>
          <cell r="P270">
            <v>247.07999999999998</v>
          </cell>
          <cell r="Q270">
            <v>247.07999999999998</v>
          </cell>
        </row>
        <row r="271">
          <cell r="A271" t="str">
            <v>F58250E</v>
          </cell>
          <cell r="B271" t="str">
            <v>STATION EXPENSES</v>
          </cell>
          <cell r="C271">
            <v>0</v>
          </cell>
          <cell r="D271">
            <v>857.97</v>
          </cell>
          <cell r="E271">
            <v>1160.8900000000001</v>
          </cell>
          <cell r="F271">
            <v>859.57</v>
          </cell>
          <cell r="G271">
            <v>1363.25</v>
          </cell>
          <cell r="H271">
            <v>2010.66</v>
          </cell>
          <cell r="I271">
            <v>1409.14</v>
          </cell>
          <cell r="J271">
            <v>1828.36</v>
          </cell>
          <cell r="K271">
            <v>2377.67</v>
          </cell>
          <cell r="L271">
            <v>1271.8900000000001</v>
          </cell>
          <cell r="M271">
            <v>1620.4</v>
          </cell>
          <cell r="N271">
            <v>1337.11</v>
          </cell>
          <cell r="O271">
            <v>1270.6199999999999</v>
          </cell>
          <cell r="P271">
            <v>17367.53</v>
          </cell>
          <cell r="Q271">
            <v>17367.53</v>
          </cell>
        </row>
        <row r="272">
          <cell r="A272" t="str">
            <v>F58270E</v>
          </cell>
          <cell r="B272" t="str">
            <v>STATION EXPENSES</v>
          </cell>
          <cell r="C272">
            <v>0</v>
          </cell>
          <cell r="D272">
            <v>52224.58</v>
          </cell>
          <cell r="E272">
            <v>120819.94</v>
          </cell>
          <cell r="F272">
            <v>331671.76</v>
          </cell>
          <cell r="G272">
            <v>-210714.1</v>
          </cell>
          <cell r="H272">
            <v>100313.66</v>
          </cell>
          <cell r="I272">
            <v>111444.61</v>
          </cell>
          <cell r="J272">
            <v>55414.91</v>
          </cell>
          <cell r="K272">
            <v>122616.19</v>
          </cell>
          <cell r="L272">
            <v>99323.54</v>
          </cell>
          <cell r="M272">
            <v>91606.720000000001</v>
          </cell>
          <cell r="N272">
            <v>150819.35</v>
          </cell>
          <cell r="O272">
            <v>156858.64000000001</v>
          </cell>
          <cell r="P272">
            <v>1182399.8</v>
          </cell>
          <cell r="Q272">
            <v>1182399.8</v>
          </cell>
        </row>
        <row r="273">
          <cell r="A273" t="str">
            <v>F58300E</v>
          </cell>
          <cell r="B273" t="str">
            <v>OVERHEAD LINE EXPENSES</v>
          </cell>
          <cell r="C273">
            <v>0</v>
          </cell>
          <cell r="D273">
            <v>50312.72</v>
          </cell>
          <cell r="E273">
            <v>79107.02</v>
          </cell>
          <cell r="F273">
            <v>82626.84</v>
          </cell>
          <cell r="G273">
            <v>83290.7</v>
          </cell>
          <cell r="H273">
            <v>92342.73</v>
          </cell>
          <cell r="I273">
            <v>54342.41</v>
          </cell>
          <cell r="J273">
            <v>67107.289999999994</v>
          </cell>
          <cell r="K273">
            <v>99768.15</v>
          </cell>
          <cell r="L273">
            <v>205557.41</v>
          </cell>
          <cell r="M273">
            <v>94833.75</v>
          </cell>
          <cell r="N273">
            <v>87656.18</v>
          </cell>
          <cell r="O273">
            <v>72992.990000000005</v>
          </cell>
          <cell r="P273">
            <v>1069938.19</v>
          </cell>
          <cell r="Q273">
            <v>1069938.19</v>
          </cell>
        </row>
        <row r="274">
          <cell r="A274" t="str">
            <v>F58310E</v>
          </cell>
          <cell r="B274" t="str">
            <v>OVERHEAD LINE EXPENSES</v>
          </cell>
          <cell r="C274">
            <v>0</v>
          </cell>
          <cell r="D274">
            <v>54782.94</v>
          </cell>
          <cell r="E274">
            <v>56742.39</v>
          </cell>
          <cell r="F274">
            <v>51935.6</v>
          </cell>
          <cell r="G274">
            <v>64768.85</v>
          </cell>
          <cell r="H274">
            <v>94098.76</v>
          </cell>
          <cell r="I274">
            <v>61770.720000000001</v>
          </cell>
          <cell r="J274">
            <v>66118.53</v>
          </cell>
          <cell r="K274">
            <v>128950.78</v>
          </cell>
          <cell r="L274">
            <v>86415.01</v>
          </cell>
          <cell r="M274">
            <v>85731.82</v>
          </cell>
          <cell r="N274">
            <v>63409.24</v>
          </cell>
          <cell r="O274">
            <v>60822.17</v>
          </cell>
          <cell r="P274">
            <v>875546.81000000017</v>
          </cell>
          <cell r="Q274">
            <v>875546.81000000017</v>
          </cell>
        </row>
        <row r="275">
          <cell r="A275" t="str">
            <v>F58330E</v>
          </cell>
          <cell r="B275" t="str">
            <v>OVERHEAD LINE EXPENSES</v>
          </cell>
          <cell r="C275">
            <v>0</v>
          </cell>
          <cell r="D275">
            <v>-49168.34</v>
          </cell>
          <cell r="E275">
            <v>3433.14</v>
          </cell>
          <cell r="F275">
            <v>1088.18</v>
          </cell>
          <cell r="G275">
            <v>-103478.65</v>
          </cell>
          <cell r="H275">
            <v>-49307.34</v>
          </cell>
          <cell r="I275">
            <v>-39712.11</v>
          </cell>
          <cell r="J275">
            <v>-14109.6</v>
          </cell>
          <cell r="K275">
            <v>-29106.77</v>
          </cell>
          <cell r="L275">
            <v>-43630.21</v>
          </cell>
          <cell r="M275">
            <v>-118619.68</v>
          </cell>
          <cell r="N275">
            <v>-44700.24</v>
          </cell>
          <cell r="O275">
            <v>-32147.84</v>
          </cell>
          <cell r="P275">
            <v>-519459.46</v>
          </cell>
          <cell r="Q275">
            <v>-519459.46</v>
          </cell>
        </row>
        <row r="276">
          <cell r="A276" t="str">
            <v>F58350E</v>
          </cell>
          <cell r="B276" t="str">
            <v>OVERHEAD LINE EXPENSES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121.28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121.28</v>
          </cell>
          <cell r="Q276">
            <v>121.28</v>
          </cell>
        </row>
        <row r="277">
          <cell r="A277" t="str">
            <v>F58360E</v>
          </cell>
          <cell r="B277" t="str">
            <v>OVERHEAD LINE EXPENSES</v>
          </cell>
          <cell r="C277">
            <v>0</v>
          </cell>
          <cell r="D277">
            <v>1194.45</v>
          </cell>
          <cell r="E277">
            <v>1844.15</v>
          </cell>
          <cell r="F277">
            <v>1145.23</v>
          </cell>
          <cell r="G277">
            <v>1584.05</v>
          </cell>
          <cell r="H277">
            <v>2191.79</v>
          </cell>
          <cell r="I277">
            <v>1531.24</v>
          </cell>
          <cell r="J277">
            <v>1750.4</v>
          </cell>
          <cell r="K277">
            <v>1847.82</v>
          </cell>
          <cell r="L277">
            <v>1329.05</v>
          </cell>
          <cell r="M277">
            <v>1568.46</v>
          </cell>
          <cell r="N277">
            <v>1397.54</v>
          </cell>
          <cell r="O277">
            <v>1406.11</v>
          </cell>
          <cell r="P277">
            <v>18790.29</v>
          </cell>
          <cell r="Q277">
            <v>18790.29</v>
          </cell>
        </row>
        <row r="278">
          <cell r="A278" t="str">
            <v>F58400E</v>
          </cell>
          <cell r="B278" t="str">
            <v>UNDERGROUND LINE EXPENSES</v>
          </cell>
          <cell r="C278">
            <v>0</v>
          </cell>
          <cell r="D278">
            <v>95119.64</v>
          </cell>
          <cell r="E278">
            <v>168872.9</v>
          </cell>
          <cell r="F278">
            <v>165791.89000000001</v>
          </cell>
          <cell r="G278">
            <v>188786.4</v>
          </cell>
          <cell r="H278">
            <v>183608.97</v>
          </cell>
          <cell r="I278">
            <v>209003.36</v>
          </cell>
          <cell r="J278">
            <v>182978.48</v>
          </cell>
          <cell r="K278">
            <v>249805.93</v>
          </cell>
          <cell r="L278">
            <v>195526.54</v>
          </cell>
          <cell r="M278">
            <v>240974.3</v>
          </cell>
          <cell r="N278">
            <v>172871.66</v>
          </cell>
          <cell r="O278">
            <v>229760.19</v>
          </cell>
          <cell r="P278">
            <v>2283100.2599999998</v>
          </cell>
          <cell r="Q278">
            <v>2283100.2599999998</v>
          </cell>
        </row>
        <row r="279">
          <cell r="A279" t="str">
            <v>F58410E</v>
          </cell>
          <cell r="B279" t="str">
            <v>UNDERGROUND LINE EXPENSES</v>
          </cell>
          <cell r="C279">
            <v>0</v>
          </cell>
          <cell r="D279">
            <v>52867.360000000001</v>
          </cell>
          <cell r="E279">
            <v>30563.69</v>
          </cell>
          <cell r="F279">
            <v>35137.96</v>
          </cell>
          <cell r="G279">
            <v>31035.1</v>
          </cell>
          <cell r="H279">
            <v>31829.82</v>
          </cell>
          <cell r="I279">
            <v>28630.16</v>
          </cell>
          <cell r="J279">
            <v>27845.71</v>
          </cell>
          <cell r="K279">
            <v>88739.14</v>
          </cell>
          <cell r="L279">
            <v>60282.07</v>
          </cell>
          <cell r="M279">
            <v>43980.82</v>
          </cell>
          <cell r="N279">
            <v>39388.959999999999</v>
          </cell>
          <cell r="O279">
            <v>36306.85</v>
          </cell>
          <cell r="P279">
            <v>506607.64</v>
          </cell>
          <cell r="Q279">
            <v>506607.64</v>
          </cell>
        </row>
        <row r="280">
          <cell r="A280" t="str">
            <v>F58420E</v>
          </cell>
          <cell r="B280" t="str">
            <v>UNDERGROUND LINE EXPENSES</v>
          </cell>
          <cell r="C280">
            <v>0</v>
          </cell>
          <cell r="D280">
            <v>-47402.2</v>
          </cell>
          <cell r="E280">
            <v>5569.11</v>
          </cell>
          <cell r="F280">
            <v>5737.6</v>
          </cell>
          <cell r="G280">
            <v>-253402.61</v>
          </cell>
          <cell r="H280">
            <v>-89973.16</v>
          </cell>
          <cell r="I280">
            <v>-94184.91</v>
          </cell>
          <cell r="J280">
            <v>-112253.49</v>
          </cell>
          <cell r="K280">
            <v>-101907.49</v>
          </cell>
          <cell r="L280">
            <v>-161692.23000000001</v>
          </cell>
          <cell r="M280">
            <v>-109910.56</v>
          </cell>
          <cell r="N280">
            <v>-130460.77</v>
          </cell>
          <cell r="O280">
            <v>-108942.67</v>
          </cell>
          <cell r="P280">
            <v>-1198823.3799999999</v>
          </cell>
          <cell r="Q280">
            <v>-1198823.3799999999</v>
          </cell>
        </row>
        <row r="281">
          <cell r="A281" t="str">
            <v>F58430E</v>
          </cell>
          <cell r="B281" t="str">
            <v>UNDERGROUND LINE EXPENSES</v>
          </cell>
          <cell r="C281">
            <v>0</v>
          </cell>
          <cell r="D281">
            <v>0</v>
          </cell>
          <cell r="E281">
            <v>0</v>
          </cell>
          <cell r="F281">
            <v>2793.76</v>
          </cell>
          <cell r="G281">
            <v>6432.76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9226.52</v>
          </cell>
          <cell r="Q281">
            <v>9226.52</v>
          </cell>
        </row>
        <row r="282">
          <cell r="A282" t="str">
            <v>F58440E</v>
          </cell>
          <cell r="B282" t="str">
            <v>UNDERGROUND LINE EXPENSES</v>
          </cell>
          <cell r="C282">
            <v>0</v>
          </cell>
          <cell r="D282">
            <v>0</v>
          </cell>
          <cell r="E282">
            <v>91.26</v>
          </cell>
          <cell r="F282">
            <v>339.95</v>
          </cell>
          <cell r="G282">
            <v>0</v>
          </cell>
          <cell r="H282">
            <v>0</v>
          </cell>
          <cell r="I282">
            <v>0</v>
          </cell>
          <cell r="J282">
            <v>13.88</v>
          </cell>
          <cell r="K282">
            <v>400.24</v>
          </cell>
          <cell r="L282">
            <v>265.89999999999998</v>
          </cell>
          <cell r="M282">
            <v>49.85</v>
          </cell>
          <cell r="N282">
            <v>339.12</v>
          </cell>
          <cell r="O282">
            <v>0</v>
          </cell>
          <cell r="P282">
            <v>1500.1999999999998</v>
          </cell>
          <cell r="Q282">
            <v>1500.1999999999998</v>
          </cell>
        </row>
        <row r="283">
          <cell r="A283" t="str">
            <v>F58450E</v>
          </cell>
          <cell r="B283" t="str">
            <v>UNDERGROUND LINE EXPENSES</v>
          </cell>
          <cell r="C283">
            <v>0</v>
          </cell>
          <cell r="D283">
            <v>1052.4100000000001</v>
          </cell>
          <cell r="E283">
            <v>1079.76</v>
          </cell>
          <cell r="F283">
            <v>922.86</v>
          </cell>
          <cell r="G283">
            <v>2065.39</v>
          </cell>
          <cell r="H283">
            <v>2752.96</v>
          </cell>
          <cell r="I283">
            <v>1641.46</v>
          </cell>
          <cell r="J283">
            <v>2125.6</v>
          </cell>
          <cell r="K283">
            <v>2472.77</v>
          </cell>
          <cell r="L283">
            <v>1977.18</v>
          </cell>
          <cell r="M283">
            <v>2205.35</v>
          </cell>
          <cell r="N283">
            <v>1944.44</v>
          </cell>
          <cell r="O283">
            <v>1870.03</v>
          </cell>
          <cell r="P283">
            <v>22110.21</v>
          </cell>
          <cell r="Q283">
            <v>22110.21</v>
          </cell>
        </row>
        <row r="284">
          <cell r="A284" t="str">
            <v>F58460E</v>
          </cell>
          <cell r="B284" t="str">
            <v>UNDERGROUND LINE EXPENSES</v>
          </cell>
          <cell r="C284">
            <v>0</v>
          </cell>
          <cell r="D284">
            <v>112432.41</v>
          </cell>
          <cell r="E284">
            <v>108309.04</v>
          </cell>
          <cell r="F284">
            <v>99164.01</v>
          </cell>
          <cell r="G284">
            <v>121338.79</v>
          </cell>
          <cell r="H284">
            <v>158119.32</v>
          </cell>
          <cell r="I284">
            <v>78621.64</v>
          </cell>
          <cell r="J284">
            <v>103770.52</v>
          </cell>
          <cell r="K284">
            <v>111105.24</v>
          </cell>
          <cell r="L284">
            <v>89171.23</v>
          </cell>
          <cell r="M284">
            <v>106199.4</v>
          </cell>
          <cell r="N284">
            <v>104879.24</v>
          </cell>
          <cell r="O284">
            <v>136460.37</v>
          </cell>
          <cell r="P284">
            <v>1329571.21</v>
          </cell>
          <cell r="Q284">
            <v>1329571.21</v>
          </cell>
        </row>
        <row r="285">
          <cell r="A285" t="str">
            <v>F58500E</v>
          </cell>
          <cell r="B285" t="str">
            <v>STREET LIGHTING AND SIGNAL SYSTEM EXPEN</v>
          </cell>
          <cell r="C285">
            <v>0</v>
          </cell>
          <cell r="D285">
            <v>1781.63</v>
          </cell>
          <cell r="E285">
            <v>1629.27</v>
          </cell>
          <cell r="F285">
            <v>4975.9799999999996</v>
          </cell>
          <cell r="G285">
            <v>1146.33</v>
          </cell>
          <cell r="H285">
            <v>9179.33</v>
          </cell>
          <cell r="I285">
            <v>7093.09</v>
          </cell>
          <cell r="J285">
            <v>2840.51</v>
          </cell>
          <cell r="K285">
            <v>3107.22</v>
          </cell>
          <cell r="L285">
            <v>3521.74</v>
          </cell>
          <cell r="M285">
            <v>2661.32</v>
          </cell>
          <cell r="N285">
            <v>2012.48</v>
          </cell>
          <cell r="O285">
            <v>7974.58</v>
          </cell>
          <cell r="P285">
            <v>47923.48</v>
          </cell>
          <cell r="Q285">
            <v>47923.48</v>
          </cell>
        </row>
        <row r="286">
          <cell r="A286" t="str">
            <v>F58510E</v>
          </cell>
          <cell r="B286" t="str">
            <v>STREET LIGHTING AND SIGNAL SYSTEM EXPEN</v>
          </cell>
          <cell r="C286">
            <v>0</v>
          </cell>
          <cell r="D286">
            <v>37957.25</v>
          </cell>
          <cell r="E286">
            <v>50815.74</v>
          </cell>
          <cell r="F286">
            <v>32533.37</v>
          </cell>
          <cell r="G286">
            <v>54690.43</v>
          </cell>
          <cell r="H286">
            <v>37250.92</v>
          </cell>
          <cell r="I286">
            <v>37292.28</v>
          </cell>
          <cell r="J286">
            <v>25378.17</v>
          </cell>
          <cell r="K286">
            <v>35733.81</v>
          </cell>
          <cell r="L286">
            <v>27612.959999999999</v>
          </cell>
          <cell r="M286">
            <v>37369.699999999997</v>
          </cell>
          <cell r="N286">
            <v>21962.52</v>
          </cell>
          <cell r="O286">
            <v>48317.919999999998</v>
          </cell>
          <cell r="P286">
            <v>446915.07</v>
          </cell>
          <cell r="Q286">
            <v>446915.07</v>
          </cell>
        </row>
        <row r="287">
          <cell r="A287" t="str">
            <v>F58540E</v>
          </cell>
          <cell r="B287" t="str">
            <v>STREET LIGHTING AND SIGNAL SYSTEM EXPEN</v>
          </cell>
          <cell r="C287">
            <v>0</v>
          </cell>
          <cell r="D287">
            <v>1347.64</v>
          </cell>
          <cell r="E287">
            <v>897.78</v>
          </cell>
          <cell r="F287">
            <v>882.9</v>
          </cell>
          <cell r="G287">
            <v>2200.11</v>
          </cell>
          <cell r="H287">
            <v>1230.79</v>
          </cell>
          <cell r="I287">
            <v>3550.23</v>
          </cell>
          <cell r="J287">
            <v>3255.52</v>
          </cell>
          <cell r="K287">
            <v>3474.83</v>
          </cell>
          <cell r="L287">
            <v>2986.65</v>
          </cell>
          <cell r="M287">
            <v>3088.01</v>
          </cell>
          <cell r="N287">
            <v>3578.03</v>
          </cell>
          <cell r="O287">
            <v>5075.95</v>
          </cell>
          <cell r="P287">
            <v>31568.440000000006</v>
          </cell>
          <cell r="Q287">
            <v>31568.440000000006</v>
          </cell>
        </row>
        <row r="288">
          <cell r="A288" t="str">
            <v>F58560E</v>
          </cell>
          <cell r="B288" t="str">
            <v>STREET LIGHTING AND SIGNAL SYSTEM EXPEN</v>
          </cell>
          <cell r="C288">
            <v>0</v>
          </cell>
          <cell r="D288">
            <v>-2486.7399999999998</v>
          </cell>
          <cell r="E288">
            <v>111.06</v>
          </cell>
          <cell r="F288">
            <v>2099.21</v>
          </cell>
          <cell r="G288">
            <v>-2087.9</v>
          </cell>
          <cell r="H288">
            <v>-2279.91</v>
          </cell>
          <cell r="I288">
            <v>-1361.73</v>
          </cell>
          <cell r="J288">
            <v>-2.59</v>
          </cell>
          <cell r="K288">
            <v>1218.1500000000001</v>
          </cell>
          <cell r="L288">
            <v>-603.34</v>
          </cell>
          <cell r="M288">
            <v>649.03</v>
          </cell>
          <cell r="N288">
            <v>73.31</v>
          </cell>
          <cell r="O288">
            <v>2416.41</v>
          </cell>
          <cell r="P288">
            <v>-2255.0400000000009</v>
          </cell>
          <cell r="Q288">
            <v>-2255.0400000000009</v>
          </cell>
        </row>
        <row r="289">
          <cell r="A289" t="str">
            <v>F58600E</v>
          </cell>
          <cell r="B289" t="str">
            <v>METER EXPENSES</v>
          </cell>
          <cell r="C289">
            <v>0</v>
          </cell>
          <cell r="D289">
            <v>75714.28</v>
          </cell>
          <cell r="E289">
            <v>80086.41</v>
          </cell>
          <cell r="F289">
            <v>56783.05</v>
          </cell>
          <cell r="G289">
            <v>51546.080000000002</v>
          </cell>
          <cell r="H289">
            <v>-5314.35</v>
          </cell>
          <cell r="I289">
            <v>77348.27</v>
          </cell>
          <cell r="J289">
            <v>66865.649999999994</v>
          </cell>
          <cell r="K289">
            <v>92083.87</v>
          </cell>
          <cell r="L289">
            <v>82873.210000000006</v>
          </cell>
          <cell r="M289">
            <v>176628.87</v>
          </cell>
          <cell r="N289">
            <v>91952.2</v>
          </cell>
          <cell r="O289">
            <v>136621.79</v>
          </cell>
          <cell r="P289">
            <v>983189.33</v>
          </cell>
          <cell r="Q289">
            <v>983189.33</v>
          </cell>
        </row>
        <row r="290">
          <cell r="A290" t="str">
            <v>F58610E</v>
          </cell>
          <cell r="B290" t="str">
            <v>METER EXPENSES</v>
          </cell>
          <cell r="C290">
            <v>0</v>
          </cell>
          <cell r="D290">
            <v>22246.720000000001</v>
          </cell>
          <cell r="E290">
            <v>22658.9</v>
          </cell>
          <cell r="F290">
            <v>21854.83</v>
          </cell>
          <cell r="G290">
            <v>22125.84</v>
          </cell>
          <cell r="H290">
            <v>22216.36</v>
          </cell>
          <cell r="I290">
            <v>17207.04</v>
          </cell>
          <cell r="J290">
            <v>16435.47</v>
          </cell>
          <cell r="K290">
            <v>23591.09</v>
          </cell>
          <cell r="L290">
            <v>19746.349999999999</v>
          </cell>
          <cell r="M290">
            <v>44212.26</v>
          </cell>
          <cell r="N290">
            <v>19055.52</v>
          </cell>
          <cell r="O290">
            <v>20743.04</v>
          </cell>
          <cell r="P290">
            <v>272093.42</v>
          </cell>
          <cell r="Q290">
            <v>272093.42</v>
          </cell>
        </row>
        <row r="291">
          <cell r="A291" t="str">
            <v>F58620E</v>
          </cell>
          <cell r="B291" t="str">
            <v>METER EXPENSES</v>
          </cell>
          <cell r="C291">
            <v>0</v>
          </cell>
          <cell r="D291">
            <v>20237.080000000002</v>
          </cell>
          <cell r="E291">
            <v>29948.92</v>
          </cell>
          <cell r="F291">
            <v>21784.5</v>
          </cell>
          <cell r="G291">
            <v>20756.02</v>
          </cell>
          <cell r="H291">
            <v>25206.22</v>
          </cell>
          <cell r="I291">
            <v>35926.54</v>
          </cell>
          <cell r="J291">
            <v>18986.59</v>
          </cell>
          <cell r="K291">
            <v>26514.5</v>
          </cell>
          <cell r="L291">
            <v>16700.09</v>
          </cell>
          <cell r="M291">
            <v>22680.49</v>
          </cell>
          <cell r="N291">
            <v>14824.16</v>
          </cell>
          <cell r="O291">
            <v>15563.57</v>
          </cell>
          <cell r="P291">
            <v>269128.68</v>
          </cell>
          <cell r="Q291">
            <v>269128.68</v>
          </cell>
        </row>
        <row r="292">
          <cell r="A292" t="str">
            <v>F58630E</v>
          </cell>
          <cell r="B292" t="str">
            <v>METER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120.03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120.03</v>
          </cell>
          <cell r="Q292">
            <v>120.03</v>
          </cell>
        </row>
        <row r="293">
          <cell r="A293" t="str">
            <v>F58640E</v>
          </cell>
          <cell r="B293" t="str">
            <v>METER EXPENSES</v>
          </cell>
          <cell r="C293">
            <v>0</v>
          </cell>
          <cell r="D293">
            <v>136254.04</v>
          </cell>
          <cell r="E293">
            <v>157556.69</v>
          </cell>
          <cell r="F293">
            <v>137963.98000000001</v>
          </cell>
          <cell r="G293">
            <v>135680.13</v>
          </cell>
          <cell r="H293">
            <v>162895.84</v>
          </cell>
          <cell r="I293">
            <v>134276</v>
          </cell>
          <cell r="J293">
            <v>134319.97</v>
          </cell>
          <cell r="K293">
            <v>168055.21</v>
          </cell>
          <cell r="L293">
            <v>149656.78</v>
          </cell>
          <cell r="M293">
            <v>154893.56</v>
          </cell>
          <cell r="N293">
            <v>108586.23</v>
          </cell>
          <cell r="O293">
            <v>140662.19</v>
          </cell>
          <cell r="P293">
            <v>1720800.6199999999</v>
          </cell>
          <cell r="Q293">
            <v>1720800.6199999999</v>
          </cell>
        </row>
        <row r="294">
          <cell r="A294" t="str">
            <v>F58650E</v>
          </cell>
          <cell r="B294" t="str">
            <v>METER EXPENSES</v>
          </cell>
          <cell r="C294">
            <v>0</v>
          </cell>
          <cell r="D294">
            <v>38.6</v>
          </cell>
          <cell r="E294">
            <v>147.84</v>
          </cell>
          <cell r="F294">
            <v>0</v>
          </cell>
          <cell r="G294">
            <v>37.25</v>
          </cell>
          <cell r="H294">
            <v>36.42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260.11</v>
          </cell>
          <cell r="Q294">
            <v>260.11</v>
          </cell>
        </row>
        <row r="295">
          <cell r="A295" t="str">
            <v>F58700E</v>
          </cell>
          <cell r="B295" t="str">
            <v>CUSTOMER INSTALLATIONS EXPENSES</v>
          </cell>
          <cell r="C295">
            <v>0</v>
          </cell>
          <cell r="D295">
            <v>59347.1</v>
          </cell>
          <cell r="E295">
            <v>67282.84</v>
          </cell>
          <cell r="F295">
            <v>45391.87</v>
          </cell>
          <cell r="G295">
            <v>48734.66</v>
          </cell>
          <cell r="H295">
            <v>61802.080000000002</v>
          </cell>
          <cell r="I295">
            <v>47956.14</v>
          </cell>
          <cell r="J295">
            <v>44446.080000000002</v>
          </cell>
          <cell r="K295">
            <v>54122.93</v>
          </cell>
          <cell r="L295">
            <v>52031.09</v>
          </cell>
          <cell r="M295">
            <v>64031.71</v>
          </cell>
          <cell r="N295">
            <v>52339.73</v>
          </cell>
          <cell r="O295">
            <v>49573.98</v>
          </cell>
          <cell r="P295">
            <v>647060.21</v>
          </cell>
          <cell r="Q295">
            <v>647060.21</v>
          </cell>
        </row>
        <row r="296">
          <cell r="A296" t="str">
            <v>F58710E</v>
          </cell>
          <cell r="B296" t="str">
            <v>CUSTOMER INSTALLATIONS EXPENSES</v>
          </cell>
          <cell r="C296">
            <v>0</v>
          </cell>
          <cell r="D296">
            <v>1068.78</v>
          </cell>
          <cell r="E296">
            <v>4934.5600000000004</v>
          </cell>
          <cell r="F296">
            <v>2618.4499999999998</v>
          </cell>
          <cell r="G296">
            <v>1863.54</v>
          </cell>
          <cell r="H296">
            <v>864.8</v>
          </cell>
          <cell r="I296">
            <v>1243.76</v>
          </cell>
          <cell r="J296">
            <v>638.47</v>
          </cell>
          <cell r="K296">
            <v>1086.47</v>
          </cell>
          <cell r="L296">
            <v>1343.01</v>
          </cell>
          <cell r="M296">
            <v>1807.99</v>
          </cell>
          <cell r="N296">
            <v>1877.53</v>
          </cell>
          <cell r="O296">
            <v>1570.04</v>
          </cell>
          <cell r="P296">
            <v>20917.400000000001</v>
          </cell>
          <cell r="Q296">
            <v>20917.400000000001</v>
          </cell>
        </row>
        <row r="297">
          <cell r="A297" t="str">
            <v>F58720E</v>
          </cell>
          <cell r="B297" t="str">
            <v>CUSTOMER INSTALLATIONS EXPENSES</v>
          </cell>
          <cell r="C297">
            <v>0</v>
          </cell>
          <cell r="D297">
            <v>129516.22</v>
          </cell>
          <cell r="E297">
            <v>136263.57</v>
          </cell>
          <cell r="F297">
            <v>126415.32</v>
          </cell>
          <cell r="G297">
            <v>116799.69</v>
          </cell>
          <cell r="H297">
            <v>135284.68</v>
          </cell>
          <cell r="I297">
            <v>111689.01</v>
          </cell>
          <cell r="J297">
            <v>110996.5</v>
          </cell>
          <cell r="K297">
            <v>143107.89000000001</v>
          </cell>
          <cell r="L297">
            <v>119419.26</v>
          </cell>
          <cell r="M297">
            <v>152195.96</v>
          </cell>
          <cell r="N297">
            <v>134627.98000000001</v>
          </cell>
          <cell r="O297">
            <v>137070.64000000001</v>
          </cell>
          <cell r="P297">
            <v>1553386.7199999997</v>
          </cell>
          <cell r="Q297">
            <v>1553386.7199999997</v>
          </cell>
        </row>
        <row r="298">
          <cell r="A298" t="str">
            <v>F58740E</v>
          </cell>
          <cell r="B298" t="str">
            <v>CUSTOMER INSTALLATIONS EXPENSES</v>
          </cell>
          <cell r="C298">
            <v>0</v>
          </cell>
          <cell r="D298">
            <v>18836.740000000002</v>
          </cell>
          <cell r="E298">
            <v>75938</v>
          </cell>
          <cell r="F298">
            <v>26081.56</v>
          </cell>
          <cell r="G298">
            <v>9233.18</v>
          </cell>
          <cell r="H298">
            <v>20739.560000000001</v>
          </cell>
          <cell r="I298">
            <v>14820.48</v>
          </cell>
          <cell r="J298">
            <v>7830.25</v>
          </cell>
          <cell r="K298">
            <v>4628.12</v>
          </cell>
          <cell r="L298">
            <v>10612.48</v>
          </cell>
          <cell r="M298">
            <v>6959.77</v>
          </cell>
          <cell r="N298">
            <v>13178.91</v>
          </cell>
          <cell r="O298">
            <v>13047.48</v>
          </cell>
          <cell r="P298">
            <v>221906.53000000003</v>
          </cell>
          <cell r="Q298">
            <v>221906.53000000003</v>
          </cell>
        </row>
        <row r="299">
          <cell r="A299" t="str">
            <v>F58800E</v>
          </cell>
          <cell r="B299" t="str">
            <v>MISCELLANEOUS EXPENSES</v>
          </cell>
          <cell r="C299">
            <v>0</v>
          </cell>
          <cell r="D299">
            <v>68374.2</v>
          </cell>
          <cell r="E299">
            <v>483807</v>
          </cell>
          <cell r="F299">
            <v>250293.6</v>
          </cell>
          <cell r="G299">
            <v>256177.32</v>
          </cell>
          <cell r="H299">
            <v>139406.71</v>
          </cell>
          <cell r="I299">
            <v>77604.929999999993</v>
          </cell>
          <cell r="J299">
            <v>92327.07</v>
          </cell>
          <cell r="K299">
            <v>145954.28</v>
          </cell>
          <cell r="L299">
            <v>93003.28</v>
          </cell>
          <cell r="M299">
            <v>124625.34</v>
          </cell>
          <cell r="N299">
            <v>134629.29999999999</v>
          </cell>
          <cell r="O299">
            <v>98218.15</v>
          </cell>
          <cell r="P299">
            <v>1964421.18</v>
          </cell>
          <cell r="Q299">
            <v>1964421.18</v>
          </cell>
        </row>
        <row r="300">
          <cell r="A300" t="str">
            <v>F58810E</v>
          </cell>
          <cell r="B300" t="str">
            <v>MISCELLANEOUS EXPENSES</v>
          </cell>
          <cell r="C300">
            <v>0</v>
          </cell>
          <cell r="D300">
            <v>70757.02</v>
          </cell>
          <cell r="E300">
            <v>86671.98</v>
          </cell>
          <cell r="F300">
            <v>71729.39</v>
          </cell>
          <cell r="G300">
            <v>76915.360000000001</v>
          </cell>
          <cell r="H300">
            <v>78194.69</v>
          </cell>
          <cell r="I300">
            <v>63273.26</v>
          </cell>
          <cell r="J300">
            <v>66670.7</v>
          </cell>
          <cell r="K300">
            <v>93132.55</v>
          </cell>
          <cell r="L300">
            <v>67484.09</v>
          </cell>
          <cell r="M300">
            <v>87459.63</v>
          </cell>
          <cell r="N300">
            <v>67859.759999999995</v>
          </cell>
          <cell r="O300">
            <v>79577.31</v>
          </cell>
          <cell r="P300">
            <v>909725.74</v>
          </cell>
          <cell r="Q300">
            <v>909725.74</v>
          </cell>
        </row>
        <row r="301">
          <cell r="A301" t="str">
            <v>F58840E</v>
          </cell>
          <cell r="B301" t="str">
            <v>MISCELLANEOUS EXPENSES</v>
          </cell>
          <cell r="C301">
            <v>0</v>
          </cell>
          <cell r="D301">
            <v>7725.55</v>
          </cell>
          <cell r="E301">
            <v>7981.82</v>
          </cell>
          <cell r="F301">
            <v>34853.72</v>
          </cell>
          <cell r="G301">
            <v>49036.97</v>
          </cell>
          <cell r="H301">
            <v>12566.59</v>
          </cell>
          <cell r="I301">
            <v>94363.16</v>
          </cell>
          <cell r="J301">
            <v>34893.300000000003</v>
          </cell>
          <cell r="K301">
            <v>40112.18</v>
          </cell>
          <cell r="L301">
            <v>23437.96</v>
          </cell>
          <cell r="M301">
            <v>71926.31</v>
          </cell>
          <cell r="N301">
            <v>13049.42</v>
          </cell>
          <cell r="O301">
            <v>29323.18</v>
          </cell>
          <cell r="P301">
            <v>419270.16</v>
          </cell>
          <cell r="Q301">
            <v>419270.16</v>
          </cell>
        </row>
        <row r="302">
          <cell r="A302" t="str">
            <v>F58900E</v>
          </cell>
          <cell r="B302" t="str">
            <v>RENTS</v>
          </cell>
          <cell r="C302">
            <v>0</v>
          </cell>
          <cell r="D302">
            <v>109</v>
          </cell>
          <cell r="E302">
            <v>1093.5899999999999</v>
          </cell>
          <cell r="F302">
            <v>5447.84</v>
          </cell>
          <cell r="G302">
            <v>3689.04</v>
          </cell>
          <cell r="H302">
            <v>763.5</v>
          </cell>
          <cell r="I302">
            <v>1075.33</v>
          </cell>
          <cell r="J302">
            <v>976.52</v>
          </cell>
          <cell r="K302">
            <v>12711.76</v>
          </cell>
          <cell r="L302">
            <v>1072.68</v>
          </cell>
          <cell r="M302">
            <v>14283.12</v>
          </cell>
          <cell r="N302">
            <v>38644.839999999997</v>
          </cell>
          <cell r="O302">
            <v>780.68</v>
          </cell>
          <cell r="P302">
            <v>80647.899999999994</v>
          </cell>
          <cell r="Q302">
            <v>80647.899999999994</v>
          </cell>
        </row>
        <row r="303">
          <cell r="A303" t="str">
            <v>F59000E</v>
          </cell>
          <cell r="B303" t="str">
            <v>MAINTENANCE SUPERVISION AND ENGINEERING</v>
          </cell>
          <cell r="C303">
            <v>0</v>
          </cell>
          <cell r="D303">
            <v>17958.04</v>
          </cell>
          <cell r="E303">
            <v>28947.200000000001</v>
          </cell>
          <cell r="F303">
            <v>31778.05</v>
          </cell>
          <cell r="G303">
            <v>25324.14</v>
          </cell>
          <cell r="H303">
            <v>29559.94</v>
          </cell>
          <cell r="I303">
            <v>16797.419999999998</v>
          </cell>
          <cell r="J303">
            <v>22825.81</v>
          </cell>
          <cell r="K303">
            <v>70984.45</v>
          </cell>
          <cell r="L303">
            <v>22280.22</v>
          </cell>
          <cell r="M303">
            <v>29265.02</v>
          </cell>
          <cell r="N303">
            <v>20549.240000000002</v>
          </cell>
          <cell r="O303">
            <v>24367.88</v>
          </cell>
          <cell r="P303">
            <v>340637.41000000003</v>
          </cell>
          <cell r="Q303">
            <v>340637.41000000003</v>
          </cell>
        </row>
        <row r="304">
          <cell r="A304" t="str">
            <v>F59010E</v>
          </cell>
          <cell r="B304" t="str">
            <v>MAINTENANCE SUPERVISION AND ENGINEERING</v>
          </cell>
          <cell r="C304">
            <v>0</v>
          </cell>
          <cell r="D304">
            <v>26454.54</v>
          </cell>
          <cell r="E304">
            <v>60198.51</v>
          </cell>
          <cell r="F304">
            <v>84662.52</v>
          </cell>
          <cell r="G304">
            <v>49194.6</v>
          </cell>
          <cell r="H304">
            <v>70426.19</v>
          </cell>
          <cell r="I304">
            <v>69887.240000000005</v>
          </cell>
          <cell r="J304">
            <v>27118.17</v>
          </cell>
          <cell r="K304">
            <v>6250.61</v>
          </cell>
          <cell r="L304">
            <v>-1606.62</v>
          </cell>
          <cell r="M304">
            <v>6369.63</v>
          </cell>
          <cell r="N304">
            <v>73550.539999999994</v>
          </cell>
          <cell r="O304">
            <v>97562.240000000005</v>
          </cell>
          <cell r="P304">
            <v>570068.16999999993</v>
          </cell>
          <cell r="Q304">
            <v>570068.16999999993</v>
          </cell>
        </row>
        <row r="305">
          <cell r="A305" t="str">
            <v>F59020E</v>
          </cell>
          <cell r="B305" t="str">
            <v>MAINTENANCE SUPERVISION AND ENGINEERING</v>
          </cell>
          <cell r="C305">
            <v>0</v>
          </cell>
          <cell r="D305">
            <v>2055.23</v>
          </cell>
          <cell r="E305">
            <v>978.37</v>
          </cell>
          <cell r="F305">
            <v>1223.31</v>
          </cell>
          <cell r="G305">
            <v>1561.8</v>
          </cell>
          <cell r="H305">
            <v>2367.14</v>
          </cell>
          <cell r="I305">
            <v>1527.1</v>
          </cell>
          <cell r="J305">
            <v>-6272.59</v>
          </cell>
          <cell r="K305">
            <v>31.87</v>
          </cell>
          <cell r="L305">
            <v>12528.96</v>
          </cell>
          <cell r="M305">
            <v>60.62</v>
          </cell>
          <cell r="N305">
            <v>0</v>
          </cell>
          <cell r="O305">
            <v>10149.98</v>
          </cell>
          <cell r="P305">
            <v>26211.79</v>
          </cell>
          <cell r="Q305">
            <v>26211.79</v>
          </cell>
        </row>
        <row r="306">
          <cell r="A306" t="str">
            <v>F59100E</v>
          </cell>
          <cell r="B306" t="str">
            <v>MAINTENANCE OF STRUCTURES</v>
          </cell>
          <cell r="C306">
            <v>0</v>
          </cell>
          <cell r="D306">
            <v>4764.6000000000004</v>
          </cell>
          <cell r="E306">
            <v>3781.19</v>
          </cell>
          <cell r="F306">
            <v>1720.56</v>
          </cell>
          <cell r="G306">
            <v>7494.43</v>
          </cell>
          <cell r="H306">
            <v>3507.03</v>
          </cell>
          <cell r="I306">
            <v>3315.72</v>
          </cell>
          <cell r="J306">
            <v>3306.35</v>
          </cell>
          <cell r="K306">
            <v>3298.22</v>
          </cell>
          <cell r="L306">
            <v>2558.79</v>
          </cell>
          <cell r="M306">
            <v>1644.96</v>
          </cell>
          <cell r="N306">
            <v>3918.24</v>
          </cell>
          <cell r="O306">
            <v>6774.06</v>
          </cell>
          <cell r="P306">
            <v>46084.149999999994</v>
          </cell>
          <cell r="Q306">
            <v>46084.149999999994</v>
          </cell>
        </row>
        <row r="307">
          <cell r="A307" t="str">
            <v>F59200E</v>
          </cell>
          <cell r="B307" t="str">
            <v>MAINTENANCE OF STATION EQUIPMENT</v>
          </cell>
          <cell r="C307">
            <v>0</v>
          </cell>
          <cell r="D307">
            <v>98265.57</v>
          </cell>
          <cell r="E307">
            <v>152954.20000000001</v>
          </cell>
          <cell r="F307">
            <v>191316.54</v>
          </cell>
          <cell r="G307">
            <v>112233.65</v>
          </cell>
          <cell r="H307">
            <v>160937.28</v>
          </cell>
          <cell r="I307">
            <v>-140840.06</v>
          </cell>
          <cell r="J307">
            <v>193323.32</v>
          </cell>
          <cell r="K307">
            <v>133237</v>
          </cell>
          <cell r="L307">
            <v>114352.96000000001</v>
          </cell>
          <cell r="M307">
            <v>145163.29999999999</v>
          </cell>
          <cell r="N307">
            <v>81616.83</v>
          </cell>
          <cell r="O307">
            <v>84247.38</v>
          </cell>
          <cell r="P307">
            <v>1326807.9700000002</v>
          </cell>
          <cell r="Q307">
            <v>1326807.9700000002</v>
          </cell>
        </row>
        <row r="308">
          <cell r="A308" t="str">
            <v>F59210E</v>
          </cell>
          <cell r="B308" t="str">
            <v>MAINTENANCE OF STATION EQUIPMENT</v>
          </cell>
          <cell r="C308">
            <v>0</v>
          </cell>
          <cell r="D308">
            <v>155217.99</v>
          </cell>
          <cell r="E308">
            <v>210648.58</v>
          </cell>
          <cell r="F308">
            <v>120701.98</v>
          </cell>
          <cell r="G308">
            <v>162524.38</v>
          </cell>
          <cell r="H308">
            <v>213209.61</v>
          </cell>
          <cell r="I308">
            <v>63238.03</v>
          </cell>
          <cell r="J308">
            <v>118595.81</v>
          </cell>
          <cell r="K308">
            <v>216218.99</v>
          </cell>
          <cell r="L308">
            <v>171083.77</v>
          </cell>
          <cell r="M308">
            <v>159675.65</v>
          </cell>
          <cell r="N308">
            <v>102486.46</v>
          </cell>
          <cell r="O308">
            <v>138150.12</v>
          </cell>
          <cell r="P308">
            <v>1831751.3699999996</v>
          </cell>
          <cell r="Q308">
            <v>1831751.3699999996</v>
          </cell>
        </row>
        <row r="309">
          <cell r="A309" t="str">
            <v>F59220E</v>
          </cell>
          <cell r="B309" t="str">
            <v>MAINTENANCE OF STATION EQUIPMENT</v>
          </cell>
          <cell r="C309">
            <v>0</v>
          </cell>
          <cell r="D309">
            <v>2960.68</v>
          </cell>
          <cell r="E309">
            <v>8013.13</v>
          </cell>
          <cell r="F309">
            <v>7429.5</v>
          </cell>
          <cell r="G309">
            <v>6182.08</v>
          </cell>
          <cell r="H309">
            <v>6139.36</v>
          </cell>
          <cell r="I309">
            <v>6226.86</v>
          </cell>
          <cell r="J309">
            <v>2363.61</v>
          </cell>
          <cell r="K309">
            <v>9010.7800000000007</v>
          </cell>
          <cell r="L309">
            <v>9941.27</v>
          </cell>
          <cell r="M309">
            <v>8169.92</v>
          </cell>
          <cell r="N309">
            <v>9864.65</v>
          </cell>
          <cell r="O309">
            <v>6319.55</v>
          </cell>
          <cell r="P309">
            <v>82621.39</v>
          </cell>
          <cell r="Q309">
            <v>82621.39</v>
          </cell>
        </row>
        <row r="310">
          <cell r="A310" t="str">
            <v>F59300E</v>
          </cell>
          <cell r="B310" t="str">
            <v>MAINTENANCE OF OVERHEAD LINES</v>
          </cell>
          <cell r="C310">
            <v>0</v>
          </cell>
          <cell r="D310">
            <v>573066.9</v>
          </cell>
          <cell r="E310">
            <v>-44466.879999999997</v>
          </cell>
          <cell r="F310">
            <v>320850.36</v>
          </cell>
          <cell r="G310">
            <v>252583.02</v>
          </cell>
          <cell r="H310">
            <v>-53096.17</v>
          </cell>
          <cell r="I310">
            <v>224237.11</v>
          </cell>
          <cell r="J310">
            <v>108475.89</v>
          </cell>
          <cell r="K310">
            <v>458561.76</v>
          </cell>
          <cell r="L310">
            <v>266003.5</v>
          </cell>
          <cell r="M310">
            <v>383585.9</v>
          </cell>
          <cell r="N310">
            <v>369844.6</v>
          </cell>
          <cell r="O310">
            <v>285379.17</v>
          </cell>
          <cell r="P310">
            <v>3145025.1599999997</v>
          </cell>
          <cell r="Q310">
            <v>3145025.1599999997</v>
          </cell>
        </row>
        <row r="311">
          <cell r="A311" t="str">
            <v>F59310E</v>
          </cell>
          <cell r="B311" t="str">
            <v>MAINTENANCE OF OVERHEAD LINES</v>
          </cell>
          <cell r="C311">
            <v>0</v>
          </cell>
          <cell r="D311">
            <v>73486.490000000005</v>
          </cell>
          <cell r="E311">
            <v>78309.94</v>
          </cell>
          <cell r="F311">
            <v>75067.14</v>
          </cell>
          <cell r="G311">
            <v>57542.92</v>
          </cell>
          <cell r="H311">
            <v>62531.37</v>
          </cell>
          <cell r="I311">
            <v>14720.36</v>
          </cell>
          <cell r="J311">
            <v>70146.429999999993</v>
          </cell>
          <cell r="K311">
            <v>63151.56</v>
          </cell>
          <cell r="L311">
            <v>58487.46</v>
          </cell>
          <cell r="M311">
            <v>59225.18</v>
          </cell>
          <cell r="N311">
            <v>55556.83</v>
          </cell>
          <cell r="O311">
            <v>73613.100000000006</v>
          </cell>
          <cell r="P311">
            <v>741838.77999999991</v>
          </cell>
          <cell r="Q311">
            <v>741838.77999999991</v>
          </cell>
        </row>
        <row r="312">
          <cell r="A312" t="str">
            <v>F59320E</v>
          </cell>
          <cell r="B312" t="str">
            <v>MAINTENANCE OF OVERHEAD LINES</v>
          </cell>
          <cell r="C312">
            <v>0</v>
          </cell>
          <cell r="D312">
            <v>-1244758.81</v>
          </cell>
          <cell r="E312">
            <v>479631.46</v>
          </cell>
          <cell r="F312">
            <v>1067275.58</v>
          </cell>
          <cell r="G312">
            <v>886858.92</v>
          </cell>
          <cell r="H312">
            <v>1893277.89</v>
          </cell>
          <cell r="I312">
            <v>986681.71</v>
          </cell>
          <cell r="J312">
            <v>876185.1</v>
          </cell>
          <cell r="K312">
            <v>1315576.55</v>
          </cell>
          <cell r="L312">
            <v>968219.76</v>
          </cell>
          <cell r="M312">
            <v>1254115.75</v>
          </cell>
          <cell r="N312">
            <v>1776562.87</v>
          </cell>
          <cell r="O312">
            <v>3233127.64</v>
          </cell>
          <cell r="P312">
            <v>13492754.420000002</v>
          </cell>
          <cell r="Q312">
            <v>13492754.420000002</v>
          </cell>
        </row>
        <row r="313">
          <cell r="A313" t="str">
            <v>F59340E</v>
          </cell>
          <cell r="B313" t="str">
            <v>MAINTENANCE OF OVERHEAD LINES</v>
          </cell>
          <cell r="C313">
            <v>0</v>
          </cell>
          <cell r="D313">
            <v>806.91</v>
          </cell>
          <cell r="E313">
            <v>0</v>
          </cell>
          <cell r="F313">
            <v>342.51</v>
          </cell>
          <cell r="G313">
            <v>463.75</v>
          </cell>
          <cell r="H313">
            <v>0</v>
          </cell>
          <cell r="I313">
            <v>210.41</v>
          </cell>
          <cell r="J313">
            <v>0</v>
          </cell>
          <cell r="K313">
            <v>250.4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2073.98</v>
          </cell>
          <cell r="Q313">
            <v>2073.98</v>
          </cell>
        </row>
        <row r="314">
          <cell r="A314" t="str">
            <v>F59350E</v>
          </cell>
          <cell r="B314" t="str">
            <v>MAINTENANCE OF OVERHEAD LINES</v>
          </cell>
          <cell r="C314">
            <v>0</v>
          </cell>
          <cell r="D314">
            <v>4435.74</v>
          </cell>
          <cell r="E314">
            <v>4616.88</v>
          </cell>
          <cell r="F314">
            <v>5883.98</v>
          </cell>
          <cell r="G314">
            <v>3074.02</v>
          </cell>
          <cell r="H314">
            <v>2588.6</v>
          </cell>
          <cell r="I314">
            <v>742.62</v>
          </cell>
          <cell r="J314">
            <v>2950.05</v>
          </cell>
          <cell r="K314">
            <v>3164.4</v>
          </cell>
          <cell r="L314">
            <v>6338.67</v>
          </cell>
          <cell r="M314">
            <v>2060.79</v>
          </cell>
          <cell r="N314">
            <v>2493.9899999999998</v>
          </cell>
          <cell r="O314">
            <v>3057.98</v>
          </cell>
          <cell r="P314">
            <v>41407.72</v>
          </cell>
          <cell r="Q314">
            <v>41407.72</v>
          </cell>
        </row>
        <row r="315">
          <cell r="A315" t="str">
            <v>F59370E</v>
          </cell>
          <cell r="B315" t="str">
            <v>MAINTENANCE OF OVERHEAD LINES</v>
          </cell>
          <cell r="C315">
            <v>0</v>
          </cell>
          <cell r="D315">
            <v>-1625.11</v>
          </cell>
          <cell r="E315">
            <v>-173.09</v>
          </cell>
          <cell r="F315">
            <v>-166.36</v>
          </cell>
          <cell r="G315">
            <v>0</v>
          </cell>
          <cell r="H315">
            <v>-266.60000000000002</v>
          </cell>
          <cell r="I315">
            <v>0</v>
          </cell>
          <cell r="J315">
            <v>0</v>
          </cell>
          <cell r="K315">
            <v>-887.7</v>
          </cell>
          <cell r="L315">
            <v>0</v>
          </cell>
          <cell r="M315">
            <v>0</v>
          </cell>
          <cell r="N315">
            <v>-1570.75</v>
          </cell>
          <cell r="O315">
            <v>140.19</v>
          </cell>
          <cell r="P315">
            <v>-4549.42</v>
          </cell>
          <cell r="Q315">
            <v>-4549.42</v>
          </cell>
        </row>
        <row r="316">
          <cell r="A316" t="str">
            <v>F59390E</v>
          </cell>
          <cell r="B316" t="str">
            <v>MAINTENANCE OF OVERHEAD LINES</v>
          </cell>
          <cell r="C316">
            <v>0</v>
          </cell>
          <cell r="D316">
            <v>174207</v>
          </cell>
          <cell r="E316">
            <v>157418.07</v>
          </cell>
          <cell r="F316">
            <v>169868.93</v>
          </cell>
          <cell r="G316">
            <v>138794.97</v>
          </cell>
          <cell r="H316">
            <v>172289.73</v>
          </cell>
          <cell r="I316">
            <v>145119.31</v>
          </cell>
          <cell r="J316">
            <v>150595.81</v>
          </cell>
          <cell r="K316">
            <v>176273.35</v>
          </cell>
          <cell r="L316">
            <v>152743.95000000001</v>
          </cell>
          <cell r="M316">
            <v>195253.09</v>
          </cell>
          <cell r="N316">
            <v>133348.99</v>
          </cell>
          <cell r="O316">
            <v>171189.85</v>
          </cell>
          <cell r="P316">
            <v>1937103.0500000003</v>
          </cell>
          <cell r="Q316">
            <v>1937103.0500000003</v>
          </cell>
        </row>
        <row r="317">
          <cell r="A317" t="str">
            <v>F59400E</v>
          </cell>
          <cell r="B317" t="str">
            <v>MAINTENANCE OF UNDERGROUND LINES</v>
          </cell>
          <cell r="C317">
            <v>0</v>
          </cell>
          <cell r="D317">
            <v>334459.34999999998</v>
          </cell>
          <cell r="E317">
            <v>142708.9</v>
          </cell>
          <cell r="F317">
            <v>160599.09</v>
          </cell>
          <cell r="G317">
            <v>164357.09</v>
          </cell>
          <cell r="H317">
            <v>62130.52</v>
          </cell>
          <cell r="I317">
            <v>108266.6</v>
          </cell>
          <cell r="J317">
            <v>248154.34</v>
          </cell>
          <cell r="K317">
            <v>276251.33</v>
          </cell>
          <cell r="L317">
            <v>143033.29999999999</v>
          </cell>
          <cell r="M317">
            <v>406466.64</v>
          </cell>
          <cell r="N317">
            <v>263425.02</v>
          </cell>
          <cell r="O317">
            <v>302479.71000000002</v>
          </cell>
          <cell r="P317">
            <v>2612331.89</v>
          </cell>
          <cell r="Q317">
            <v>2612331.89</v>
          </cell>
        </row>
        <row r="318">
          <cell r="A318" t="str">
            <v>F59410E</v>
          </cell>
          <cell r="B318" t="str">
            <v>MAINTENANCE OF UNDERGROUND LINES</v>
          </cell>
          <cell r="C318">
            <v>0</v>
          </cell>
          <cell r="D318">
            <v>50518.78</v>
          </cell>
          <cell r="E318">
            <v>58928.77</v>
          </cell>
          <cell r="F318">
            <v>61196.2</v>
          </cell>
          <cell r="G318">
            <v>86016.52</v>
          </cell>
          <cell r="H318">
            <v>75958.25</v>
          </cell>
          <cell r="I318">
            <v>87369.97</v>
          </cell>
          <cell r="J318">
            <v>72211.86</v>
          </cell>
          <cell r="K318">
            <v>14293.55</v>
          </cell>
          <cell r="L318">
            <v>62057.78</v>
          </cell>
          <cell r="M318">
            <v>97029.04</v>
          </cell>
          <cell r="N318">
            <v>86476.36</v>
          </cell>
          <cell r="O318">
            <v>88841.2</v>
          </cell>
          <cell r="P318">
            <v>840898.27999999991</v>
          </cell>
          <cell r="Q318">
            <v>840898.27999999991</v>
          </cell>
        </row>
        <row r="319">
          <cell r="A319" t="str">
            <v>F59420E</v>
          </cell>
          <cell r="B319" t="str">
            <v>MAINTENANCE OF UNDERGROUND LINES</v>
          </cell>
          <cell r="C319">
            <v>0</v>
          </cell>
          <cell r="D319">
            <v>48.61</v>
          </cell>
          <cell r="E319">
            <v>434.77</v>
          </cell>
          <cell r="F319">
            <v>0</v>
          </cell>
          <cell r="G319">
            <v>0</v>
          </cell>
          <cell r="H319">
            <v>105.07</v>
          </cell>
          <cell r="I319">
            <v>0</v>
          </cell>
          <cell r="J319">
            <v>10.72</v>
          </cell>
          <cell r="K319">
            <v>0</v>
          </cell>
          <cell r="L319">
            <v>711.85</v>
          </cell>
          <cell r="M319">
            <v>374.65</v>
          </cell>
          <cell r="N319">
            <v>432.97</v>
          </cell>
          <cell r="O319">
            <v>0</v>
          </cell>
          <cell r="P319">
            <v>2118.6400000000003</v>
          </cell>
          <cell r="Q319">
            <v>2118.6400000000003</v>
          </cell>
        </row>
        <row r="320">
          <cell r="A320" t="str">
            <v>F59450E</v>
          </cell>
          <cell r="B320" t="str">
            <v>MAINTENANCE OF UNDERGROUND LINES</v>
          </cell>
          <cell r="C320">
            <v>0</v>
          </cell>
          <cell r="D320">
            <v>-100.38</v>
          </cell>
          <cell r="E320">
            <v>-386.35</v>
          </cell>
          <cell r="F320">
            <v>429.13</v>
          </cell>
          <cell r="G320">
            <v>-1520.12</v>
          </cell>
          <cell r="H320">
            <v>1351.64</v>
          </cell>
          <cell r="I320">
            <v>4192.87</v>
          </cell>
          <cell r="J320">
            <v>2558.85</v>
          </cell>
          <cell r="K320">
            <v>1211.67</v>
          </cell>
          <cell r="L320">
            <v>-2202.91</v>
          </cell>
          <cell r="M320">
            <v>2137.44</v>
          </cell>
          <cell r="N320">
            <v>365.61</v>
          </cell>
          <cell r="O320">
            <v>0</v>
          </cell>
          <cell r="P320">
            <v>8037.45</v>
          </cell>
          <cell r="Q320">
            <v>8037.45</v>
          </cell>
        </row>
        <row r="321">
          <cell r="A321" t="str">
            <v>F59460E</v>
          </cell>
          <cell r="B321" t="str">
            <v>MAINTENANCE OF UNDERGROUND LINES</v>
          </cell>
          <cell r="C321">
            <v>0</v>
          </cell>
          <cell r="D321">
            <v>159691.85999999999</v>
          </cell>
          <cell r="E321">
            <v>185032.95</v>
          </cell>
          <cell r="F321">
            <v>165677.37</v>
          </cell>
          <cell r="G321">
            <v>179681.18</v>
          </cell>
          <cell r="H321">
            <v>241307.36</v>
          </cell>
          <cell r="I321">
            <v>186708.93</v>
          </cell>
          <cell r="J321">
            <v>157168.56</v>
          </cell>
          <cell r="K321">
            <v>186844.23</v>
          </cell>
          <cell r="L321">
            <v>193472.01</v>
          </cell>
          <cell r="M321">
            <v>228647.58</v>
          </cell>
          <cell r="N321">
            <v>199374.49</v>
          </cell>
          <cell r="O321">
            <v>262697.74</v>
          </cell>
          <cell r="P321">
            <v>2346304.2599999998</v>
          </cell>
          <cell r="Q321">
            <v>2346304.2599999998</v>
          </cell>
        </row>
        <row r="322">
          <cell r="A322" t="str">
            <v>F59500E</v>
          </cell>
          <cell r="B322" t="str">
            <v>MAINTENANCE OF LINE TRANSFORMERS</v>
          </cell>
          <cell r="C322">
            <v>0</v>
          </cell>
          <cell r="D322">
            <v>5024.42</v>
          </cell>
          <cell r="E322">
            <v>9539.57</v>
          </cell>
          <cell r="F322">
            <v>5471.38</v>
          </cell>
          <cell r="G322">
            <v>4822.79</v>
          </cell>
          <cell r="H322">
            <v>11929.32</v>
          </cell>
          <cell r="I322">
            <v>9430.31</v>
          </cell>
          <cell r="J322">
            <v>2394.73</v>
          </cell>
          <cell r="K322">
            <v>20594.419999999998</v>
          </cell>
          <cell r="L322">
            <v>8605.39</v>
          </cell>
          <cell r="M322">
            <v>3428.3</v>
          </cell>
          <cell r="N322">
            <v>5693.19</v>
          </cell>
          <cell r="O322">
            <v>13304.06</v>
          </cell>
          <cell r="P322">
            <v>100237.88</v>
          </cell>
          <cell r="Q322">
            <v>100237.88</v>
          </cell>
        </row>
        <row r="323">
          <cell r="A323" t="str">
            <v>F59510E</v>
          </cell>
          <cell r="B323" t="str">
            <v>MAINTENANCE OF LINE TRANSFORMERS</v>
          </cell>
          <cell r="C323">
            <v>0</v>
          </cell>
          <cell r="D323">
            <v>6766.48</v>
          </cell>
          <cell r="E323">
            <v>1537.94</v>
          </cell>
          <cell r="F323">
            <v>4030.89</v>
          </cell>
          <cell r="G323">
            <v>5651.4</v>
          </cell>
          <cell r="H323">
            <v>12328.81</v>
          </cell>
          <cell r="I323">
            <v>6675.46</v>
          </cell>
          <cell r="J323">
            <v>8874.59</v>
          </cell>
          <cell r="K323">
            <v>7803.27</v>
          </cell>
          <cell r="L323">
            <v>11537.92</v>
          </cell>
          <cell r="M323">
            <v>8662.2800000000007</v>
          </cell>
          <cell r="N323">
            <v>3144.14</v>
          </cell>
          <cell r="O323">
            <v>4680.2700000000004</v>
          </cell>
          <cell r="P323">
            <v>81693.45</v>
          </cell>
          <cell r="Q323">
            <v>81693.45</v>
          </cell>
        </row>
        <row r="324">
          <cell r="A324" t="str">
            <v>F59520E</v>
          </cell>
          <cell r="B324" t="str">
            <v>MAINTENANCE OF LINE TRANSFORMERS</v>
          </cell>
          <cell r="C324">
            <v>0</v>
          </cell>
          <cell r="D324">
            <v>3223.94</v>
          </cell>
          <cell r="E324">
            <v>2983.77</v>
          </cell>
          <cell r="F324">
            <v>3662.7</v>
          </cell>
          <cell r="G324">
            <v>2085.9499999999998</v>
          </cell>
          <cell r="H324">
            <v>4414.68</v>
          </cell>
          <cell r="I324">
            <v>6236.83</v>
          </cell>
          <cell r="J324">
            <v>4665.4399999999996</v>
          </cell>
          <cell r="K324">
            <v>6534.64</v>
          </cell>
          <cell r="L324">
            <v>1430.33</v>
          </cell>
          <cell r="M324">
            <v>3164.39</v>
          </cell>
          <cell r="N324">
            <v>2591.06</v>
          </cell>
          <cell r="O324">
            <v>3675.72</v>
          </cell>
          <cell r="P324">
            <v>44669.450000000004</v>
          </cell>
          <cell r="Q324">
            <v>44669.450000000004</v>
          </cell>
        </row>
        <row r="325">
          <cell r="A325" t="str">
            <v>F59550E</v>
          </cell>
          <cell r="B325" t="str">
            <v>MAINTENANCE OF LINE TRANSFORMERS</v>
          </cell>
          <cell r="C325">
            <v>0</v>
          </cell>
          <cell r="D325">
            <v>3539.21</v>
          </cell>
          <cell r="E325">
            <v>4921.4399999999996</v>
          </cell>
          <cell r="F325">
            <v>7523.87</v>
          </cell>
          <cell r="G325">
            <v>16141.9</v>
          </cell>
          <cell r="H325">
            <v>6754.97</v>
          </cell>
          <cell r="I325">
            <v>3613.04</v>
          </cell>
          <cell r="J325">
            <v>6253.35</v>
          </cell>
          <cell r="K325">
            <v>8449.3799999999992</v>
          </cell>
          <cell r="L325">
            <v>3088.85</v>
          </cell>
          <cell r="M325">
            <v>6387.58</v>
          </cell>
          <cell r="N325">
            <v>13464.91</v>
          </cell>
          <cell r="O325">
            <v>6383.93</v>
          </cell>
          <cell r="P325">
            <v>86522.43</v>
          </cell>
          <cell r="Q325">
            <v>86522.43</v>
          </cell>
        </row>
        <row r="326">
          <cell r="A326" t="str">
            <v>F59600E</v>
          </cell>
          <cell r="B326" t="str">
            <v>MAINTENANCE OF STREET LIGHTING AND SIGN</v>
          </cell>
          <cell r="C326">
            <v>0</v>
          </cell>
          <cell r="D326">
            <v>4303.17</v>
          </cell>
          <cell r="E326">
            <v>5109.3999999999996</v>
          </cell>
          <cell r="F326">
            <v>5592.4</v>
          </cell>
          <cell r="G326">
            <v>4536.62</v>
          </cell>
          <cell r="H326">
            <v>3661.75</v>
          </cell>
          <cell r="I326">
            <v>3983.58</v>
          </cell>
          <cell r="J326">
            <v>2490.38</v>
          </cell>
          <cell r="K326">
            <v>5105.7700000000004</v>
          </cell>
          <cell r="L326">
            <v>5246.23</v>
          </cell>
          <cell r="M326">
            <v>2695.94</v>
          </cell>
          <cell r="N326">
            <v>3046.29</v>
          </cell>
          <cell r="O326">
            <v>6561.16</v>
          </cell>
          <cell r="P326">
            <v>52332.69</v>
          </cell>
          <cell r="Q326">
            <v>52332.69</v>
          </cell>
        </row>
        <row r="327">
          <cell r="A327" t="str">
            <v>F59700E</v>
          </cell>
          <cell r="B327" t="str">
            <v>MAINTENANCE OF METERS</v>
          </cell>
          <cell r="C327">
            <v>0</v>
          </cell>
          <cell r="D327">
            <v>43284.639999999999</v>
          </cell>
          <cell r="E327">
            <v>38882.19</v>
          </cell>
          <cell r="F327">
            <v>43048.38</v>
          </cell>
          <cell r="G327">
            <v>28876.2</v>
          </cell>
          <cell r="H327">
            <v>72441.22</v>
          </cell>
          <cell r="I327">
            <v>46160.17</v>
          </cell>
          <cell r="J327">
            <v>29466.03</v>
          </cell>
          <cell r="K327">
            <v>44738.98</v>
          </cell>
          <cell r="L327">
            <v>47133.21</v>
          </cell>
          <cell r="M327">
            <v>63817.41</v>
          </cell>
          <cell r="N327">
            <v>44477.04</v>
          </cell>
          <cell r="O327">
            <v>54107.68</v>
          </cell>
          <cell r="P327">
            <v>556433.14999999991</v>
          </cell>
          <cell r="Q327">
            <v>556433.14999999991</v>
          </cell>
        </row>
        <row r="328">
          <cell r="A328" t="str">
            <v>F59800E</v>
          </cell>
          <cell r="B328" t="str">
            <v>MAINTENANCE OF MISCELLANEOUS DISTRIBUTI</v>
          </cell>
          <cell r="C328">
            <v>0</v>
          </cell>
          <cell r="D328">
            <v>42986.6</v>
          </cell>
          <cell r="E328">
            <v>60515.12</v>
          </cell>
          <cell r="F328">
            <v>57531.16</v>
          </cell>
          <cell r="G328">
            <v>63905.14</v>
          </cell>
          <cell r="H328">
            <v>80296.460000000006</v>
          </cell>
          <cell r="I328">
            <v>60718.35</v>
          </cell>
          <cell r="J328">
            <v>40551.730000000003</v>
          </cell>
          <cell r="K328">
            <v>95678.36</v>
          </cell>
          <cell r="L328">
            <v>56722.94</v>
          </cell>
          <cell r="M328">
            <v>71501.52</v>
          </cell>
          <cell r="N328">
            <v>16848.78</v>
          </cell>
          <cell r="O328">
            <v>78239.34</v>
          </cell>
          <cell r="P328">
            <v>725495.5</v>
          </cell>
          <cell r="Q328">
            <v>725495.5</v>
          </cell>
        </row>
        <row r="329">
          <cell r="A329" t="str">
            <v>F80300G</v>
          </cell>
          <cell r="B329" t="str">
            <v>NATURAL GAS TRANSMISSION LINE PURCHASES</v>
          </cell>
          <cell r="C329">
            <v>0</v>
          </cell>
          <cell r="D329">
            <v>10376053.890000001</v>
          </cell>
          <cell r="E329">
            <v>17679830.370000001</v>
          </cell>
          <cell r="F329">
            <v>19193469.440000001</v>
          </cell>
          <cell r="G329">
            <v>22347135.829999998</v>
          </cell>
          <cell r="H329">
            <v>15592051.529999999</v>
          </cell>
          <cell r="I329">
            <v>17462140.98</v>
          </cell>
          <cell r="J329">
            <v>24983434.789999999</v>
          </cell>
          <cell r="K329">
            <v>10834816.42</v>
          </cell>
          <cell r="L329">
            <v>16649940.42</v>
          </cell>
          <cell r="M329">
            <v>26370530.399999999</v>
          </cell>
          <cell r="N329">
            <v>24963205.719999999</v>
          </cell>
          <cell r="O329">
            <v>69472122.349999994</v>
          </cell>
          <cell r="P329">
            <v>275924732.13999999</v>
          </cell>
          <cell r="Q329">
            <v>275924732.13999999</v>
          </cell>
        </row>
        <row r="330">
          <cell r="A330" t="str">
            <v>F80410G</v>
          </cell>
          <cell r="B330" t="str">
            <v>LNG PURCHASES</v>
          </cell>
          <cell r="C330">
            <v>0</v>
          </cell>
          <cell r="D330">
            <v>13760.99</v>
          </cell>
          <cell r="E330">
            <v>8177.84</v>
          </cell>
          <cell r="F330">
            <v>8245.06</v>
          </cell>
          <cell r="G330">
            <v>3989.63</v>
          </cell>
          <cell r="H330">
            <v>2805.35</v>
          </cell>
          <cell r="I330">
            <v>2752.15</v>
          </cell>
          <cell r="J330">
            <v>2997.3</v>
          </cell>
          <cell r="K330">
            <v>-316.18</v>
          </cell>
          <cell r="L330">
            <v>2897.32</v>
          </cell>
          <cell r="M330">
            <v>3282.51</v>
          </cell>
          <cell r="N330">
            <v>13221.9</v>
          </cell>
          <cell r="O330">
            <v>14426.85</v>
          </cell>
          <cell r="P330">
            <v>76240.72</v>
          </cell>
          <cell r="Q330">
            <v>76240.72</v>
          </cell>
        </row>
        <row r="331">
          <cell r="A331" t="str">
            <v>F80720G</v>
          </cell>
          <cell r="B331" t="str">
            <v>OPERATION OF PURCH GAS MEASURING STATIO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57.53</v>
          </cell>
          <cell r="P331">
            <v>57.53</v>
          </cell>
          <cell r="Q331">
            <v>57.53</v>
          </cell>
        </row>
        <row r="332">
          <cell r="A332" t="str">
            <v>F80740G</v>
          </cell>
          <cell r="B332" t="str">
            <v>PURCHASED GAS CALCULATIONS EXPENSE</v>
          </cell>
          <cell r="C332">
            <v>0</v>
          </cell>
          <cell r="D332">
            <v>1980.38</v>
          </cell>
          <cell r="E332">
            <v>2681.18</v>
          </cell>
          <cell r="F332">
            <v>2228.0500000000002</v>
          </cell>
          <cell r="G332">
            <v>2261.06</v>
          </cell>
          <cell r="H332">
            <v>2611.02</v>
          </cell>
          <cell r="I332">
            <v>1937.31</v>
          </cell>
          <cell r="J332">
            <v>1986.03</v>
          </cell>
          <cell r="K332">
            <v>2299.6</v>
          </cell>
          <cell r="L332">
            <v>1486.91</v>
          </cell>
          <cell r="M332">
            <v>2356.1799999999998</v>
          </cell>
          <cell r="N332">
            <v>1912.13</v>
          </cell>
          <cell r="O332">
            <v>2552.59</v>
          </cell>
          <cell r="P332">
            <v>26292.440000000002</v>
          </cell>
          <cell r="Q332">
            <v>26292.440000000002</v>
          </cell>
        </row>
        <row r="333">
          <cell r="A333" t="str">
            <v>F80750G</v>
          </cell>
          <cell r="B333" t="str">
            <v>OTHER PURCHASED GAS EXPENSES</v>
          </cell>
          <cell r="C333">
            <v>0</v>
          </cell>
          <cell r="D333">
            <v>72810.83</v>
          </cell>
          <cell r="E333">
            <v>90500.94</v>
          </cell>
          <cell r="F333">
            <v>86318.24</v>
          </cell>
          <cell r="G333">
            <v>96498.02</v>
          </cell>
          <cell r="H333">
            <v>116775.34</v>
          </cell>
          <cell r="I333">
            <v>115740.86</v>
          </cell>
          <cell r="J333">
            <v>46332.31</v>
          </cell>
          <cell r="K333">
            <v>113944.37</v>
          </cell>
          <cell r="L333">
            <v>101041.47</v>
          </cell>
          <cell r="M333">
            <v>103274.71</v>
          </cell>
          <cell r="N333">
            <v>119318.71</v>
          </cell>
          <cell r="O333">
            <v>81024.38</v>
          </cell>
          <cell r="P333">
            <v>1143580.1800000002</v>
          </cell>
          <cell r="Q333">
            <v>1143580.1800000002</v>
          </cell>
        </row>
        <row r="334">
          <cell r="A334" t="str">
            <v>F80810G</v>
          </cell>
          <cell r="B334" t="str">
            <v>GAS WITHDRAWN FROM STORAGE-DEBIT</v>
          </cell>
          <cell r="C334">
            <v>0</v>
          </cell>
          <cell r="D334">
            <v>13833.31</v>
          </cell>
          <cell r="E334">
            <v>9987.2099999999991</v>
          </cell>
          <cell r="F334">
            <v>8552.51</v>
          </cell>
          <cell r="G334">
            <v>2727.37</v>
          </cell>
          <cell r="H334">
            <v>3095.66</v>
          </cell>
          <cell r="I334">
            <v>2340.67</v>
          </cell>
          <cell r="J334">
            <v>2241</v>
          </cell>
          <cell r="K334">
            <v>1688.39</v>
          </cell>
          <cell r="L334">
            <v>1975.02</v>
          </cell>
          <cell r="M334">
            <v>3404.09</v>
          </cell>
          <cell r="N334">
            <v>15146.29</v>
          </cell>
          <cell r="O334">
            <v>10515.97</v>
          </cell>
          <cell r="P334">
            <v>75507.489999999991</v>
          </cell>
          <cell r="Q334">
            <v>75507.489999999991</v>
          </cell>
        </row>
        <row r="335">
          <cell r="A335" t="str">
            <v>F80820G</v>
          </cell>
          <cell r="B335" t="str">
            <v>GAS DELIVERED TO STORAGE-CREDIT</v>
          </cell>
          <cell r="C335">
            <v>0</v>
          </cell>
          <cell r="D335">
            <v>-13417.8</v>
          </cell>
          <cell r="E335">
            <v>-8353.35</v>
          </cell>
          <cell r="F335">
            <v>-8170.01</v>
          </cell>
          <cell r="G335">
            <v>-3989.63</v>
          </cell>
          <cell r="H335">
            <v>-874.5</v>
          </cell>
          <cell r="I335">
            <v>-2752.15</v>
          </cell>
          <cell r="J335">
            <v>-2997.3</v>
          </cell>
          <cell r="K335">
            <v>0</v>
          </cell>
          <cell r="L335">
            <v>-2897.32</v>
          </cell>
          <cell r="M335">
            <v>-3107.93</v>
          </cell>
          <cell r="N335">
            <v>-13221.9</v>
          </cell>
          <cell r="O335">
            <v>-14427.23</v>
          </cell>
          <cell r="P335">
            <v>-74209.12000000001</v>
          </cell>
          <cell r="Q335">
            <v>-74209.12000000001</v>
          </cell>
        </row>
        <row r="336">
          <cell r="A336" t="str">
            <v>F81000G</v>
          </cell>
          <cell r="B336" t="str">
            <v>GAS USED FOR COMPRESSOR STATION FUEL-CR</v>
          </cell>
          <cell r="C336">
            <v>0</v>
          </cell>
          <cell r="D336">
            <v>-82108</v>
          </cell>
          <cell r="E336">
            <v>-79416</v>
          </cell>
          <cell r="F336">
            <v>-119988</v>
          </cell>
          <cell r="G336">
            <v>-94408</v>
          </cell>
          <cell r="H336">
            <v>-157929</v>
          </cell>
          <cell r="I336">
            <v>-108347</v>
          </cell>
          <cell r="J336">
            <v>-291090</v>
          </cell>
          <cell r="K336">
            <v>-121401</v>
          </cell>
          <cell r="L336">
            <v>-302552</v>
          </cell>
          <cell r="M336">
            <v>-251051</v>
          </cell>
          <cell r="N336">
            <v>-257272</v>
          </cell>
          <cell r="O336">
            <v>-955420</v>
          </cell>
          <cell r="P336">
            <v>-2820982</v>
          </cell>
          <cell r="Q336">
            <v>-2820982</v>
          </cell>
        </row>
        <row r="337">
          <cell r="A337" t="str">
            <v>F81200G</v>
          </cell>
          <cell r="B337" t="str">
            <v>GAS USED FOR OTHER UTILITY OPERATIONS-C</v>
          </cell>
          <cell r="C337">
            <v>0</v>
          </cell>
          <cell r="D337">
            <v>0</v>
          </cell>
          <cell r="E337">
            <v>-15889.42</v>
          </cell>
          <cell r="F337">
            <v>-8418.65</v>
          </cell>
          <cell r="G337">
            <v>0</v>
          </cell>
          <cell r="H337">
            <v>-18126.400000000001</v>
          </cell>
          <cell r="I337">
            <v>-10292.68</v>
          </cell>
          <cell r="J337">
            <v>-11871.2</v>
          </cell>
          <cell r="K337">
            <v>-17427.71</v>
          </cell>
          <cell r="L337">
            <v>-19749.71</v>
          </cell>
          <cell r="M337">
            <v>0</v>
          </cell>
          <cell r="N337">
            <v>0</v>
          </cell>
          <cell r="O337">
            <v>-59941.56</v>
          </cell>
          <cell r="P337">
            <v>-161717.32999999999</v>
          </cell>
          <cell r="Q337">
            <v>-161717.32999999999</v>
          </cell>
        </row>
        <row r="338">
          <cell r="A338" t="str">
            <v>F82000G</v>
          </cell>
          <cell r="B338" t="str">
            <v>MEASURING AND REGULATING STATION EXPENS</v>
          </cell>
          <cell r="C338">
            <v>0</v>
          </cell>
          <cell r="D338">
            <v>495.15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495.15</v>
          </cell>
          <cell r="Q338">
            <v>495.15</v>
          </cell>
        </row>
        <row r="339">
          <cell r="A339" t="str">
            <v>F82100C</v>
          </cell>
          <cell r="B339" t="str">
            <v>PURIFICATION EXPENSES</v>
          </cell>
          <cell r="C339">
            <v>0</v>
          </cell>
          <cell r="D339">
            <v>0</v>
          </cell>
          <cell r="E339">
            <v>16.16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16.16</v>
          </cell>
          <cell r="Q339">
            <v>16.16</v>
          </cell>
        </row>
        <row r="340">
          <cell r="A340" t="str">
            <v>F82300G</v>
          </cell>
          <cell r="B340" t="str">
            <v>GAS LOSSES</v>
          </cell>
          <cell r="C340">
            <v>0</v>
          </cell>
          <cell r="D340">
            <v>709.72</v>
          </cell>
          <cell r="E340">
            <v>-51.05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658.67000000000007</v>
          </cell>
          <cell r="Q340">
            <v>658.67000000000007</v>
          </cell>
        </row>
        <row r="341">
          <cell r="A341" t="str">
            <v>F83000G</v>
          </cell>
          <cell r="B341" t="str">
            <v>MAINTENANCE SUPERVISION AND ENGINEERING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500.95</v>
          </cell>
          <cell r="O341">
            <v>0</v>
          </cell>
          <cell r="P341">
            <v>500.95</v>
          </cell>
          <cell r="Q341">
            <v>500.95</v>
          </cell>
        </row>
        <row r="342">
          <cell r="A342" t="str">
            <v>F83100C</v>
          </cell>
          <cell r="B342" t="str">
            <v>MAINTENANCE OF STRUCTURES AND IMPROVEME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754.15</v>
          </cell>
          <cell r="N342">
            <v>182.7</v>
          </cell>
          <cell r="O342">
            <v>0</v>
          </cell>
          <cell r="P342">
            <v>936.84999999999991</v>
          </cell>
          <cell r="Q342">
            <v>936.84999999999991</v>
          </cell>
        </row>
        <row r="343">
          <cell r="A343" t="str">
            <v>F83100G</v>
          </cell>
          <cell r="B343" t="str">
            <v>MAINTENANCE OF STRUCTURES AND IMPROVEME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21093.58</v>
          </cell>
          <cell r="N343">
            <v>0</v>
          </cell>
          <cell r="O343">
            <v>0</v>
          </cell>
          <cell r="P343">
            <v>21093.58</v>
          </cell>
          <cell r="Q343">
            <v>21093.58</v>
          </cell>
        </row>
        <row r="344">
          <cell r="A344" t="str">
            <v>F83200G</v>
          </cell>
          <cell r="B344" t="str">
            <v>MAINTENANCE OF RESERVOIRS AND WELLS</v>
          </cell>
          <cell r="C344">
            <v>0</v>
          </cell>
          <cell r="D344">
            <v>0</v>
          </cell>
          <cell r="E344">
            <v>0</v>
          </cell>
          <cell r="F344">
            <v>2205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2205</v>
          </cell>
          <cell r="Q344">
            <v>2205</v>
          </cell>
        </row>
        <row r="345">
          <cell r="A345" t="str">
            <v>F83500G</v>
          </cell>
          <cell r="B345" t="str">
            <v>MAINTENANCE OF MEASURING AND REGULATING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3.68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3.68</v>
          </cell>
          <cell r="Q345">
            <v>3.68</v>
          </cell>
        </row>
        <row r="346">
          <cell r="A346" t="str">
            <v>F83700G</v>
          </cell>
          <cell r="B346" t="str">
            <v>MAINTENANCE OF OTHER EQUIPMENT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451.38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451.38</v>
          </cell>
          <cell r="Q346">
            <v>451.38</v>
          </cell>
        </row>
        <row r="347">
          <cell r="A347" t="str">
            <v>F84000G</v>
          </cell>
          <cell r="B347" t="str">
            <v>OPERATION SUPERVISION AND ENGINEERING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111.51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111.51</v>
          </cell>
          <cell r="Q347">
            <v>111.51</v>
          </cell>
        </row>
        <row r="348">
          <cell r="A348" t="str">
            <v>F84100G</v>
          </cell>
          <cell r="B348" t="str">
            <v>OPERATION LABOR AND EXPNESES</v>
          </cell>
          <cell r="C348">
            <v>0</v>
          </cell>
          <cell r="D348">
            <v>4351.1099999999997</v>
          </cell>
          <cell r="E348">
            <v>4453.5</v>
          </cell>
          <cell r="F348">
            <v>3873.95</v>
          </cell>
          <cell r="G348">
            <v>882.19</v>
          </cell>
          <cell r="H348">
            <v>992.19</v>
          </cell>
          <cell r="I348">
            <v>408.04</v>
          </cell>
          <cell r="J348">
            <v>2331.96</v>
          </cell>
          <cell r="K348">
            <v>2846.83</v>
          </cell>
          <cell r="L348">
            <v>950.59</v>
          </cell>
          <cell r="M348">
            <v>8205.36</v>
          </cell>
          <cell r="N348">
            <v>8458.9</v>
          </cell>
          <cell r="O348">
            <v>6695.36</v>
          </cell>
          <cell r="P348">
            <v>44449.98</v>
          </cell>
          <cell r="Q348">
            <v>44449.98</v>
          </cell>
        </row>
        <row r="349">
          <cell r="A349" t="str">
            <v>F84310G</v>
          </cell>
          <cell r="B349" t="str">
            <v>MAINTENANCE SUPERVISION AND ENGINEERING</v>
          </cell>
          <cell r="C349">
            <v>0</v>
          </cell>
          <cell r="D349">
            <v>169.77</v>
          </cell>
          <cell r="E349">
            <v>250.89</v>
          </cell>
          <cell r="F349">
            <v>234.4</v>
          </cell>
          <cell r="G349">
            <v>204.2</v>
          </cell>
          <cell r="H349">
            <v>248.2</v>
          </cell>
          <cell r="I349">
            <v>125.91</v>
          </cell>
          <cell r="J349">
            <v>178.73</v>
          </cell>
          <cell r="K349">
            <v>248.3</v>
          </cell>
          <cell r="L349">
            <v>191.8</v>
          </cell>
          <cell r="M349">
            <v>234</v>
          </cell>
          <cell r="N349">
            <v>100.94</v>
          </cell>
          <cell r="O349">
            <v>171.61</v>
          </cell>
          <cell r="P349">
            <v>2358.75</v>
          </cell>
          <cell r="Q349">
            <v>2358.75</v>
          </cell>
        </row>
        <row r="350">
          <cell r="A350" t="str">
            <v>F85000G</v>
          </cell>
          <cell r="B350" t="str">
            <v>OPERATION SUPERVISION AND ENGINEERING</v>
          </cell>
          <cell r="C350">
            <v>0</v>
          </cell>
          <cell r="D350">
            <v>6591.7</v>
          </cell>
          <cell r="E350">
            <v>5163.84</v>
          </cell>
          <cell r="F350">
            <v>7767.64</v>
          </cell>
          <cell r="G350">
            <v>7438.89</v>
          </cell>
          <cell r="H350">
            <v>6340.8</v>
          </cell>
          <cell r="I350">
            <v>3677.87</v>
          </cell>
          <cell r="J350">
            <v>4557.49</v>
          </cell>
          <cell r="K350">
            <v>11720.71</v>
          </cell>
          <cell r="L350">
            <v>8490.2000000000007</v>
          </cell>
          <cell r="M350">
            <v>9295.2800000000007</v>
          </cell>
          <cell r="N350">
            <v>8824.2099999999991</v>
          </cell>
          <cell r="O350">
            <v>6633.02</v>
          </cell>
          <cell r="P350">
            <v>86501.650000000009</v>
          </cell>
          <cell r="Q350">
            <v>86501.650000000009</v>
          </cell>
        </row>
        <row r="351">
          <cell r="A351" t="str">
            <v>F85010G</v>
          </cell>
          <cell r="B351" t="str">
            <v>OPERATION SUPERVISION AND ENGINEERING</v>
          </cell>
          <cell r="C351">
            <v>0</v>
          </cell>
          <cell r="D351">
            <v>36987.629999999997</v>
          </cell>
          <cell r="E351">
            <v>42280.08</v>
          </cell>
          <cell r="F351">
            <v>31319.43</v>
          </cell>
          <cell r="G351">
            <v>33620.589999999997</v>
          </cell>
          <cell r="H351">
            <v>41125.79</v>
          </cell>
          <cell r="I351">
            <v>31130.25</v>
          </cell>
          <cell r="J351">
            <v>30063.37</v>
          </cell>
          <cell r="K351">
            <v>37862.42</v>
          </cell>
          <cell r="L351">
            <v>40796.01</v>
          </cell>
          <cell r="M351">
            <v>61859.6</v>
          </cell>
          <cell r="N351">
            <v>33029.949999999997</v>
          </cell>
          <cell r="O351">
            <v>55124.9</v>
          </cell>
          <cell r="P351">
            <v>475200.02</v>
          </cell>
          <cell r="Q351">
            <v>475200.02</v>
          </cell>
        </row>
        <row r="352">
          <cell r="A352" t="str">
            <v>F85020G</v>
          </cell>
          <cell r="B352" t="str">
            <v>OPERATION SUPERVISIO</v>
          </cell>
          <cell r="C352">
            <v>0</v>
          </cell>
          <cell r="D352">
            <v>8713.08</v>
          </cell>
          <cell r="E352">
            <v>13586.76</v>
          </cell>
          <cell r="F352">
            <v>10082.790000000001</v>
          </cell>
          <cell r="G352">
            <v>11781.19</v>
          </cell>
          <cell r="H352">
            <v>14245.19</v>
          </cell>
          <cell r="I352">
            <v>10171.31</v>
          </cell>
          <cell r="J352">
            <v>9478.41</v>
          </cell>
          <cell r="K352">
            <v>13707.81</v>
          </cell>
          <cell r="L352">
            <v>11631.28</v>
          </cell>
          <cell r="M352">
            <v>14229.39</v>
          </cell>
          <cell r="N352">
            <v>11420.09</v>
          </cell>
          <cell r="O352">
            <v>11750.22</v>
          </cell>
          <cell r="P352">
            <v>140797.51999999999</v>
          </cell>
          <cell r="Q352">
            <v>140797.51999999999</v>
          </cell>
        </row>
        <row r="353">
          <cell r="A353" t="str">
            <v>F85100G</v>
          </cell>
          <cell r="B353" t="str">
            <v>SYSTEM CONTROL AND LOAD DISPATCHING</v>
          </cell>
          <cell r="C353">
            <v>0</v>
          </cell>
          <cell r="D353">
            <v>42223.9</v>
          </cell>
          <cell r="E353">
            <v>25854.48</v>
          </cell>
          <cell r="F353">
            <v>20857.82</v>
          </cell>
          <cell r="G353">
            <v>26980.04</v>
          </cell>
          <cell r="H353">
            <v>17278.419999999998</v>
          </cell>
          <cell r="I353">
            <v>26274.25</v>
          </cell>
          <cell r="J353">
            <v>0</v>
          </cell>
          <cell r="K353">
            <v>81542.460000000006</v>
          </cell>
          <cell r="L353">
            <v>33821.760000000002</v>
          </cell>
          <cell r="M353">
            <v>30423.54</v>
          </cell>
          <cell r="N353">
            <v>30373.439999999999</v>
          </cell>
          <cell r="O353">
            <v>36056.71</v>
          </cell>
          <cell r="P353">
            <v>371686.82000000007</v>
          </cell>
          <cell r="Q353">
            <v>371686.82000000007</v>
          </cell>
        </row>
        <row r="354">
          <cell r="A354" t="str">
            <v>F85300G</v>
          </cell>
          <cell r="B354" t="str">
            <v>COMPRESSOR STATION LABOR AND EXPENSES</v>
          </cell>
          <cell r="C354">
            <v>0</v>
          </cell>
          <cell r="D354">
            <v>33843.599999999999</v>
          </cell>
          <cell r="E354">
            <v>19332.02</v>
          </cell>
          <cell r="F354">
            <v>21173.17</v>
          </cell>
          <cell r="G354">
            <v>6082.68</v>
          </cell>
          <cell r="H354">
            <v>27105.01</v>
          </cell>
          <cell r="I354">
            <v>12377.4</v>
          </cell>
          <cell r="J354">
            <v>10692.99</v>
          </cell>
          <cell r="K354">
            <v>12172.72</v>
          </cell>
          <cell r="L354">
            <v>10315.06</v>
          </cell>
          <cell r="M354">
            <v>14566.24</v>
          </cell>
          <cell r="N354">
            <v>14248.19</v>
          </cell>
          <cell r="O354">
            <v>16568.89</v>
          </cell>
          <cell r="P354">
            <v>198477.96999999997</v>
          </cell>
          <cell r="Q354">
            <v>198477.96999999997</v>
          </cell>
        </row>
        <row r="355">
          <cell r="A355" t="str">
            <v>F85310G</v>
          </cell>
          <cell r="B355" t="str">
            <v>COMPRESSOR STATION LABOR AND EXPENSES</v>
          </cell>
          <cell r="C355">
            <v>0</v>
          </cell>
          <cell r="D355">
            <v>41661.31</v>
          </cell>
          <cell r="E355">
            <v>54468.08</v>
          </cell>
          <cell r="F355">
            <v>43928.84</v>
          </cell>
          <cell r="G355">
            <v>45627.64</v>
          </cell>
          <cell r="H355">
            <v>51865.18</v>
          </cell>
          <cell r="I355">
            <v>43175.68</v>
          </cell>
          <cell r="J355">
            <v>42930.33</v>
          </cell>
          <cell r="K355">
            <v>66089.39</v>
          </cell>
          <cell r="L355">
            <v>66664.41</v>
          </cell>
          <cell r="M355">
            <v>62238.39</v>
          </cell>
          <cell r="N355">
            <v>77207.02</v>
          </cell>
          <cell r="O355">
            <v>54810.31</v>
          </cell>
          <cell r="P355">
            <v>650666.58000000007</v>
          </cell>
          <cell r="Q355">
            <v>650666.58000000007</v>
          </cell>
        </row>
        <row r="356">
          <cell r="A356" t="str">
            <v>F85320G</v>
          </cell>
          <cell r="B356" t="str">
            <v>COMPRESSOR STATION LABOR AND EXPENSES</v>
          </cell>
          <cell r="C356">
            <v>0</v>
          </cell>
          <cell r="D356">
            <v>2519.1999999999998</v>
          </cell>
          <cell r="E356">
            <v>3826.14</v>
          </cell>
          <cell r="F356">
            <v>2638.51</v>
          </cell>
          <cell r="G356">
            <v>3240.92</v>
          </cell>
          <cell r="H356">
            <v>3744.67</v>
          </cell>
          <cell r="I356">
            <v>4750.83</v>
          </cell>
          <cell r="J356">
            <v>10478.1</v>
          </cell>
          <cell r="K356">
            <v>30553.7</v>
          </cell>
          <cell r="L356">
            <v>10514.67</v>
          </cell>
          <cell r="M356">
            <v>11003.02</v>
          </cell>
          <cell r="N356">
            <v>8326.1299999999992</v>
          </cell>
          <cell r="O356">
            <v>9675.65</v>
          </cell>
          <cell r="P356">
            <v>101271.54000000001</v>
          </cell>
          <cell r="Q356">
            <v>101271.54000000001</v>
          </cell>
        </row>
        <row r="357">
          <cell r="A357" t="str">
            <v>F85400G</v>
          </cell>
          <cell r="B357" t="str">
            <v>GAS FOR COMPRESSOR STATION FUEL</v>
          </cell>
          <cell r="C357">
            <v>0</v>
          </cell>
          <cell r="D357">
            <v>82108</v>
          </cell>
          <cell r="E357">
            <v>79416</v>
          </cell>
          <cell r="F357">
            <v>119988</v>
          </cell>
          <cell r="G357">
            <v>94408</v>
          </cell>
          <cell r="H357">
            <v>157929</v>
          </cell>
          <cell r="I357">
            <v>108347</v>
          </cell>
          <cell r="J357">
            <v>291090</v>
          </cell>
          <cell r="K357">
            <v>121401</v>
          </cell>
          <cell r="L357">
            <v>302552</v>
          </cell>
          <cell r="M357">
            <v>251051</v>
          </cell>
          <cell r="N357">
            <v>257272</v>
          </cell>
          <cell r="O357">
            <v>955420</v>
          </cell>
          <cell r="P357">
            <v>2820982</v>
          </cell>
          <cell r="Q357">
            <v>2820982</v>
          </cell>
        </row>
        <row r="358">
          <cell r="A358" t="str">
            <v>F85510G</v>
          </cell>
          <cell r="B358" t="str">
            <v>OTHER FUEL AND POWER FOR COMPRESSOR STA</v>
          </cell>
          <cell r="C358">
            <v>0</v>
          </cell>
          <cell r="D358">
            <v>20899.099999999999</v>
          </cell>
          <cell r="E358">
            <v>0</v>
          </cell>
          <cell r="F358">
            <v>10113.75</v>
          </cell>
          <cell r="G358">
            <v>13521.7</v>
          </cell>
          <cell r="H358">
            <v>10539.31</v>
          </cell>
          <cell r="I358">
            <v>25445.26</v>
          </cell>
          <cell r="J358">
            <v>0</v>
          </cell>
          <cell r="K358">
            <v>38061.11</v>
          </cell>
          <cell r="L358">
            <v>20645.34</v>
          </cell>
          <cell r="M358">
            <v>16394.59</v>
          </cell>
          <cell r="N358">
            <v>14607.98</v>
          </cell>
          <cell r="O358">
            <v>0</v>
          </cell>
          <cell r="P358">
            <v>170228.14</v>
          </cell>
          <cell r="Q358">
            <v>170228.14</v>
          </cell>
        </row>
        <row r="359">
          <cell r="A359" t="str">
            <v>F85600G</v>
          </cell>
          <cell r="B359" t="str">
            <v>MAINS EXPENSES</v>
          </cell>
          <cell r="C359">
            <v>0</v>
          </cell>
          <cell r="D359">
            <v>8542.49</v>
          </cell>
          <cell r="E359">
            <v>8826.51</v>
          </cell>
          <cell r="F359">
            <v>8602.51</v>
          </cell>
          <cell r="G359">
            <v>7643.63</v>
          </cell>
          <cell r="H359">
            <v>11299.15</v>
          </cell>
          <cell r="I359">
            <v>8054.84</v>
          </cell>
          <cell r="J359">
            <v>8634.83</v>
          </cell>
          <cell r="K359">
            <v>10629.6</v>
          </cell>
          <cell r="L359">
            <v>5679.3</v>
          </cell>
          <cell r="M359">
            <v>7027.68</v>
          </cell>
          <cell r="N359">
            <v>4584.04</v>
          </cell>
          <cell r="O359">
            <v>6719.17</v>
          </cell>
          <cell r="P359">
            <v>96243.75</v>
          </cell>
          <cell r="Q359">
            <v>96243.75</v>
          </cell>
        </row>
        <row r="360">
          <cell r="A360" t="str">
            <v>F85610G</v>
          </cell>
          <cell r="B360" t="str">
            <v>MAINS EXPENSES</v>
          </cell>
          <cell r="C360">
            <v>0</v>
          </cell>
          <cell r="D360">
            <v>22984.59</v>
          </cell>
          <cell r="E360">
            <v>25746.23</v>
          </cell>
          <cell r="F360">
            <v>18098.14</v>
          </cell>
          <cell r="G360">
            <v>15741.87</v>
          </cell>
          <cell r="H360">
            <v>29097.77</v>
          </cell>
          <cell r="I360">
            <v>16213.86</v>
          </cell>
          <cell r="J360">
            <v>14589.49</v>
          </cell>
          <cell r="K360">
            <v>15392.49</v>
          </cell>
          <cell r="L360">
            <v>11195.19</v>
          </cell>
          <cell r="M360">
            <v>19555.78</v>
          </cell>
          <cell r="N360">
            <v>15360.81</v>
          </cell>
          <cell r="O360">
            <v>31054.720000000001</v>
          </cell>
          <cell r="P360">
            <v>235030.93999999997</v>
          </cell>
          <cell r="Q360">
            <v>235030.93999999997</v>
          </cell>
        </row>
        <row r="361">
          <cell r="A361" t="str">
            <v>F85620G</v>
          </cell>
          <cell r="B361" t="str">
            <v>TRANS PIPE OPER SJOAQ VLY&amp;WHLR RDGE</v>
          </cell>
          <cell r="C361">
            <v>0</v>
          </cell>
          <cell r="D361">
            <v>13941.23</v>
          </cell>
          <cell r="E361">
            <v>25404.47</v>
          </cell>
          <cell r="F361">
            <v>17463.75</v>
          </cell>
          <cell r="G361">
            <v>16968.45</v>
          </cell>
          <cell r="H361">
            <v>23458.52</v>
          </cell>
          <cell r="I361">
            <v>12625.55</v>
          </cell>
          <cell r="J361">
            <v>18847.669999999998</v>
          </cell>
          <cell r="K361">
            <v>21016.49</v>
          </cell>
          <cell r="L361">
            <v>16881.080000000002</v>
          </cell>
          <cell r="M361">
            <v>25335.25</v>
          </cell>
          <cell r="N361">
            <v>18706.87</v>
          </cell>
          <cell r="O361">
            <v>27932.02</v>
          </cell>
          <cell r="P361">
            <v>238581.35</v>
          </cell>
          <cell r="Q361">
            <v>238581.35</v>
          </cell>
        </row>
        <row r="362">
          <cell r="A362" t="str">
            <v>F85660G</v>
          </cell>
          <cell r="B362" t="str">
            <v>TRANS PIPE OPER ADELANTO SYSTEM</v>
          </cell>
          <cell r="C362">
            <v>0</v>
          </cell>
          <cell r="D362">
            <v>5199.49</v>
          </cell>
          <cell r="E362">
            <v>4241.68</v>
          </cell>
          <cell r="F362">
            <v>5604.8</v>
          </cell>
          <cell r="G362">
            <v>6483.75</v>
          </cell>
          <cell r="H362">
            <v>9953.82</v>
          </cell>
          <cell r="I362">
            <v>9667.7900000000009</v>
          </cell>
          <cell r="J362">
            <v>7261.53</v>
          </cell>
          <cell r="K362">
            <v>8107.92</v>
          </cell>
          <cell r="L362">
            <v>7463.23</v>
          </cell>
          <cell r="M362">
            <v>7308.33</v>
          </cell>
          <cell r="N362">
            <v>5753.49</v>
          </cell>
          <cell r="O362">
            <v>15364.01</v>
          </cell>
          <cell r="P362">
            <v>92409.84</v>
          </cell>
          <cell r="Q362">
            <v>92409.84</v>
          </cell>
        </row>
        <row r="363">
          <cell r="A363" t="str">
            <v>F85700G</v>
          </cell>
          <cell r="B363" t="str">
            <v>MEASURING AND REGULATING STATION EXPENS</v>
          </cell>
          <cell r="C363">
            <v>0</v>
          </cell>
          <cell r="D363">
            <v>5013.8</v>
          </cell>
          <cell r="E363">
            <v>13132.94</v>
          </cell>
          <cell r="F363">
            <v>14884.97</v>
          </cell>
          <cell r="G363">
            <v>13017.03</v>
          </cell>
          <cell r="H363">
            <v>20232.86</v>
          </cell>
          <cell r="I363">
            <v>10911.17</v>
          </cell>
          <cell r="J363">
            <v>9911.66</v>
          </cell>
          <cell r="K363">
            <v>14689.75</v>
          </cell>
          <cell r="L363">
            <v>17124.78</v>
          </cell>
          <cell r="M363">
            <v>19553.03</v>
          </cell>
          <cell r="N363">
            <v>15159.5</v>
          </cell>
          <cell r="O363">
            <v>16530.11</v>
          </cell>
          <cell r="P363">
            <v>170161.59999999998</v>
          </cell>
          <cell r="Q363">
            <v>170161.59999999998</v>
          </cell>
        </row>
        <row r="364">
          <cell r="A364" t="str">
            <v>F85900G</v>
          </cell>
          <cell r="B364" t="str">
            <v>OTHER EXPENSES</v>
          </cell>
          <cell r="C364">
            <v>0</v>
          </cell>
          <cell r="D364">
            <v>-421637.37</v>
          </cell>
          <cell r="E364">
            <v>469578.83</v>
          </cell>
          <cell r="F364">
            <v>28782.36</v>
          </cell>
          <cell r="G364">
            <v>33460.79</v>
          </cell>
          <cell r="H364">
            <v>526419.68000000005</v>
          </cell>
          <cell r="I364">
            <v>93204.2</v>
          </cell>
          <cell r="J364">
            <v>323494.25</v>
          </cell>
          <cell r="K364">
            <v>409989.22</v>
          </cell>
          <cell r="L364">
            <v>139401.39000000001</v>
          </cell>
          <cell r="M364">
            <v>50539.29</v>
          </cell>
          <cell r="N364">
            <v>738770.99</v>
          </cell>
          <cell r="O364">
            <v>676231.76</v>
          </cell>
          <cell r="P364">
            <v>3068235.3899999997</v>
          </cell>
          <cell r="Q364">
            <v>3068235.3899999997</v>
          </cell>
        </row>
        <row r="365">
          <cell r="A365" t="str">
            <v>F85910G</v>
          </cell>
          <cell r="B365" t="str">
            <v>OTHER EXPENSES</v>
          </cell>
          <cell r="C365">
            <v>0</v>
          </cell>
          <cell r="D365">
            <v>0</v>
          </cell>
          <cell r="E365">
            <v>249.38</v>
          </cell>
          <cell r="F365">
            <v>1314.47</v>
          </cell>
          <cell r="G365">
            <v>2619.1799999999998</v>
          </cell>
          <cell r="H365">
            <v>9884.07</v>
          </cell>
          <cell r="I365">
            <v>5420.79</v>
          </cell>
          <cell r="J365">
            <v>2734.33</v>
          </cell>
          <cell r="K365">
            <v>2402.6799999999998</v>
          </cell>
          <cell r="L365">
            <v>2008.15</v>
          </cell>
          <cell r="M365">
            <v>3127.29</v>
          </cell>
          <cell r="N365">
            <v>2149.12</v>
          </cell>
          <cell r="O365">
            <v>9763.43</v>
          </cell>
          <cell r="P365">
            <v>41672.89</v>
          </cell>
          <cell r="Q365">
            <v>41672.89</v>
          </cell>
        </row>
        <row r="366">
          <cell r="A366" t="str">
            <v>F85920G</v>
          </cell>
          <cell r="B366" t="str">
            <v>OTHER EXPENSES</v>
          </cell>
          <cell r="C366">
            <v>0</v>
          </cell>
          <cell r="D366">
            <v>801.7</v>
          </cell>
          <cell r="E366">
            <v>2537.9499999999998</v>
          </cell>
          <cell r="F366">
            <v>12042.57</v>
          </cell>
          <cell r="G366">
            <v>4335.5200000000004</v>
          </cell>
          <cell r="H366">
            <v>8890.9500000000007</v>
          </cell>
          <cell r="I366">
            <v>5061.91</v>
          </cell>
          <cell r="J366">
            <v>4339.3999999999996</v>
          </cell>
          <cell r="K366">
            <v>7291.49</v>
          </cell>
          <cell r="L366">
            <v>3555.45</v>
          </cell>
          <cell r="M366">
            <v>9714.4500000000007</v>
          </cell>
          <cell r="N366">
            <v>4606.72</v>
          </cell>
          <cell r="O366">
            <v>7797.64</v>
          </cell>
          <cell r="P366">
            <v>70975.75</v>
          </cell>
          <cell r="Q366">
            <v>70975.75</v>
          </cell>
        </row>
        <row r="367">
          <cell r="A367" t="str">
            <v>F85930G</v>
          </cell>
          <cell r="B367" t="str">
            <v>OTHER EXPENSES</v>
          </cell>
          <cell r="C367">
            <v>0</v>
          </cell>
          <cell r="D367">
            <v>26835.46</v>
          </cell>
          <cell r="E367">
            <v>16326.1</v>
          </cell>
          <cell r="F367">
            <v>17513.580000000002</v>
          </cell>
          <cell r="G367">
            <v>-4215.45</v>
          </cell>
          <cell r="H367">
            <v>8877.27</v>
          </cell>
          <cell r="I367">
            <v>6271.91</v>
          </cell>
          <cell r="J367">
            <v>6126.01</v>
          </cell>
          <cell r="K367">
            <v>9211.9599999999991</v>
          </cell>
          <cell r="L367">
            <v>6528.92</v>
          </cell>
          <cell r="M367">
            <v>8159.75</v>
          </cell>
          <cell r="N367">
            <v>3907.92</v>
          </cell>
          <cell r="O367">
            <v>7288.58</v>
          </cell>
          <cell r="P367">
            <v>112832.01</v>
          </cell>
          <cell r="Q367">
            <v>112832.01</v>
          </cell>
        </row>
        <row r="368">
          <cell r="A368" t="str">
            <v>F86000G</v>
          </cell>
          <cell r="B368" t="str">
            <v>RENTS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-42.53</v>
          </cell>
          <cell r="M368">
            <v>0</v>
          </cell>
          <cell r="N368">
            <v>145</v>
          </cell>
          <cell r="O368">
            <v>2</v>
          </cell>
          <cell r="P368">
            <v>204.47</v>
          </cell>
          <cell r="Q368">
            <v>204.47</v>
          </cell>
        </row>
        <row r="369">
          <cell r="A369" t="str">
            <v>F86100G</v>
          </cell>
          <cell r="B369" t="str">
            <v>MAINTENANCE SUPERVISION AND ENGINEERING</v>
          </cell>
          <cell r="C369">
            <v>0</v>
          </cell>
          <cell r="D369">
            <v>813.62</v>
          </cell>
          <cell r="E369">
            <v>323.39</v>
          </cell>
          <cell r="F369">
            <v>273.97000000000003</v>
          </cell>
          <cell r="G369">
            <v>313.51</v>
          </cell>
          <cell r="H369">
            <v>286.56</v>
          </cell>
          <cell r="I369">
            <v>289.18</v>
          </cell>
          <cell r="J369">
            <v>273.58</v>
          </cell>
          <cell r="K369">
            <v>339.73</v>
          </cell>
          <cell r="L369">
            <v>371.26</v>
          </cell>
          <cell r="M369">
            <v>265.95999999999998</v>
          </cell>
          <cell r="N369">
            <v>158.61000000000001</v>
          </cell>
          <cell r="O369">
            <v>0</v>
          </cell>
          <cell r="P369">
            <v>3709.3700000000003</v>
          </cell>
          <cell r="Q369">
            <v>3709.3700000000003</v>
          </cell>
        </row>
        <row r="370">
          <cell r="A370" t="str">
            <v>F86110G</v>
          </cell>
          <cell r="B370" t="str">
            <v>MAINTENANCE SUPERVISION AND ENGINEERING</v>
          </cell>
          <cell r="C370">
            <v>0</v>
          </cell>
          <cell r="D370">
            <v>5960.48</v>
          </cell>
          <cell r="E370">
            <v>8088.01</v>
          </cell>
          <cell r="F370">
            <v>6421.75</v>
          </cell>
          <cell r="G370">
            <v>7293.05</v>
          </cell>
          <cell r="H370">
            <v>8044.95</v>
          </cell>
          <cell r="I370">
            <v>5764.69</v>
          </cell>
          <cell r="J370">
            <v>5653</v>
          </cell>
          <cell r="K370">
            <v>8147.33</v>
          </cell>
          <cell r="L370">
            <v>6455.36</v>
          </cell>
          <cell r="M370">
            <v>10473.9</v>
          </cell>
          <cell r="N370">
            <v>7397.73</v>
          </cell>
          <cell r="O370">
            <v>9563.0400000000009</v>
          </cell>
          <cell r="P370">
            <v>89263.290000000008</v>
          </cell>
          <cell r="Q370">
            <v>89263.290000000008</v>
          </cell>
        </row>
        <row r="371">
          <cell r="A371" t="str">
            <v>F86120G</v>
          </cell>
          <cell r="B371" t="str">
            <v>MAINTENANCE SUPERVISION AND ENGINEERING</v>
          </cell>
          <cell r="C371">
            <v>0</v>
          </cell>
          <cell r="D371">
            <v>56.56</v>
          </cell>
          <cell r="E371">
            <v>83.63</v>
          </cell>
          <cell r="F371">
            <v>66.099999999999994</v>
          </cell>
          <cell r="G371">
            <v>68</v>
          </cell>
          <cell r="H371">
            <v>82.6</v>
          </cell>
          <cell r="I371">
            <v>41.89</v>
          </cell>
          <cell r="J371">
            <v>59.53</v>
          </cell>
          <cell r="K371">
            <v>82.7</v>
          </cell>
          <cell r="L371">
            <v>63.9</v>
          </cell>
          <cell r="M371">
            <v>77.900000000000006</v>
          </cell>
          <cell r="N371">
            <v>33.6</v>
          </cell>
          <cell r="O371">
            <v>57.16</v>
          </cell>
          <cell r="P371">
            <v>773.56999999999994</v>
          </cell>
          <cell r="Q371">
            <v>773.56999999999994</v>
          </cell>
        </row>
        <row r="372">
          <cell r="A372" t="str">
            <v>F86200G</v>
          </cell>
          <cell r="B372" t="str">
            <v>MAINTENANCE OF STRUCTURES AND IMPROVEME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349.69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349.69</v>
          </cell>
          <cell r="Q372">
            <v>349.69</v>
          </cell>
        </row>
        <row r="373">
          <cell r="A373" t="str">
            <v>F86300G</v>
          </cell>
          <cell r="B373" t="str">
            <v>MAINTENANCE OF MAINS</v>
          </cell>
          <cell r="C373">
            <v>0</v>
          </cell>
          <cell r="D373">
            <v>223.97</v>
          </cell>
          <cell r="E373">
            <v>264.13</v>
          </cell>
          <cell r="F373">
            <v>3641.03</v>
          </cell>
          <cell r="G373">
            <v>1784.65</v>
          </cell>
          <cell r="H373">
            <v>3948.87</v>
          </cell>
          <cell r="I373">
            <v>652.38</v>
          </cell>
          <cell r="J373">
            <v>686.1</v>
          </cell>
          <cell r="K373">
            <v>482.31</v>
          </cell>
          <cell r="L373">
            <v>1364.88</v>
          </cell>
          <cell r="M373">
            <v>858.12</v>
          </cell>
          <cell r="N373">
            <v>743.9</v>
          </cell>
          <cell r="O373">
            <v>7716.48</v>
          </cell>
          <cell r="P373">
            <v>22366.82</v>
          </cell>
          <cell r="Q373">
            <v>22366.82</v>
          </cell>
        </row>
        <row r="374">
          <cell r="A374" t="str">
            <v>F86310G</v>
          </cell>
          <cell r="B374" t="str">
            <v>MAINTENANCE OF MAINS</v>
          </cell>
          <cell r="C374">
            <v>0</v>
          </cell>
          <cell r="D374">
            <v>0</v>
          </cell>
          <cell r="E374">
            <v>0</v>
          </cell>
          <cell r="F374">
            <v>1508.17</v>
          </cell>
          <cell r="G374">
            <v>469.11</v>
          </cell>
          <cell r="H374">
            <v>1212.8399999999999</v>
          </cell>
          <cell r="I374">
            <v>7511.69</v>
          </cell>
          <cell r="J374">
            <v>4727.43</v>
          </cell>
          <cell r="K374">
            <v>11335.9</v>
          </cell>
          <cell r="L374">
            <v>10564.32</v>
          </cell>
          <cell r="M374">
            <v>9869.0400000000009</v>
          </cell>
          <cell r="N374">
            <v>6016.83</v>
          </cell>
          <cell r="O374">
            <v>7157.06</v>
          </cell>
          <cell r="P374">
            <v>60372.39</v>
          </cell>
          <cell r="Q374">
            <v>60372.39</v>
          </cell>
        </row>
        <row r="375">
          <cell r="A375" t="str">
            <v>F86400G</v>
          </cell>
          <cell r="B375" t="str">
            <v>MAINTENANCE OF COMPRESSOR STATION EQUIP</v>
          </cell>
          <cell r="C375">
            <v>0</v>
          </cell>
          <cell r="D375">
            <v>43028.86</v>
          </cell>
          <cell r="E375">
            <v>28774.79</v>
          </cell>
          <cell r="F375">
            <v>9068.44</v>
          </cell>
          <cell r="G375">
            <v>30799.02</v>
          </cell>
          <cell r="H375">
            <v>54567.63</v>
          </cell>
          <cell r="I375">
            <v>51419.01</v>
          </cell>
          <cell r="J375">
            <v>43161.22</v>
          </cell>
          <cell r="K375">
            <v>47828.89</v>
          </cell>
          <cell r="L375">
            <v>16497.68</v>
          </cell>
          <cell r="M375">
            <v>97373.65</v>
          </cell>
          <cell r="N375">
            <v>42628.57</v>
          </cell>
          <cell r="O375">
            <v>38824.080000000002</v>
          </cell>
          <cell r="P375">
            <v>503971.83999999997</v>
          </cell>
          <cell r="Q375">
            <v>503971.83999999997</v>
          </cell>
        </row>
        <row r="376">
          <cell r="A376" t="str">
            <v>F86410G</v>
          </cell>
          <cell r="B376" t="str">
            <v>MAINTENANCE OF COMPRESSOR STATION EQUIP</v>
          </cell>
          <cell r="C376">
            <v>0</v>
          </cell>
          <cell r="D376">
            <v>4856.6400000000003</v>
          </cell>
          <cell r="E376">
            <v>7850.54</v>
          </cell>
          <cell r="F376">
            <v>5864.85</v>
          </cell>
          <cell r="G376">
            <v>9821.6</v>
          </cell>
          <cell r="H376">
            <v>5457.13</v>
          </cell>
          <cell r="I376">
            <v>4983.29</v>
          </cell>
          <cell r="J376">
            <v>4851.96</v>
          </cell>
          <cell r="K376">
            <v>15834.86</v>
          </cell>
          <cell r="L376">
            <v>7700.62</v>
          </cell>
          <cell r="M376">
            <v>7055.93</v>
          </cell>
          <cell r="N376">
            <v>4793.1899999999996</v>
          </cell>
          <cell r="O376">
            <v>8859.9599999999991</v>
          </cell>
          <cell r="P376">
            <v>87930.569999999978</v>
          </cell>
          <cell r="Q376">
            <v>87930.569999999978</v>
          </cell>
        </row>
        <row r="377">
          <cell r="A377" t="str">
            <v>F86420G</v>
          </cell>
          <cell r="B377" t="str">
            <v>MAINTENANCE OF COMPRESSOR STATION EQUIP</v>
          </cell>
          <cell r="C377">
            <v>0</v>
          </cell>
          <cell r="D377">
            <v>1246.22</v>
          </cell>
          <cell r="E377">
            <v>1271.19</v>
          </cell>
          <cell r="F377">
            <v>1147.96</v>
          </cell>
          <cell r="G377">
            <v>1113.74</v>
          </cell>
          <cell r="H377">
            <v>1339.9</v>
          </cell>
          <cell r="I377">
            <v>1038.3900000000001</v>
          </cell>
          <cell r="J377">
            <v>1461.7</v>
          </cell>
          <cell r="K377">
            <v>996.94</v>
          </cell>
          <cell r="L377">
            <v>1646.25</v>
          </cell>
          <cell r="M377">
            <v>1290.98</v>
          </cell>
          <cell r="N377">
            <v>1560.34</v>
          </cell>
          <cell r="O377">
            <v>1359.95</v>
          </cell>
          <cell r="P377">
            <v>15473.560000000001</v>
          </cell>
          <cell r="Q377">
            <v>15473.560000000001</v>
          </cell>
        </row>
        <row r="378">
          <cell r="A378" t="str">
            <v>F86500G</v>
          </cell>
          <cell r="B378" t="str">
            <v>MAINTENANCE OF MEASURING AND REG. STATI</v>
          </cell>
          <cell r="C378">
            <v>0</v>
          </cell>
          <cell r="D378">
            <v>2640.98</v>
          </cell>
          <cell r="E378">
            <v>3099.52</v>
          </cell>
          <cell r="F378">
            <v>3638.61</v>
          </cell>
          <cell r="G378">
            <v>3929.79</v>
          </cell>
          <cell r="H378">
            <v>5405.96</v>
          </cell>
          <cell r="I378">
            <v>4171.43</v>
          </cell>
          <cell r="J378">
            <v>6483.09</v>
          </cell>
          <cell r="K378">
            <v>12937.15</v>
          </cell>
          <cell r="L378">
            <v>22598.71</v>
          </cell>
          <cell r="M378">
            <v>5865.99</v>
          </cell>
          <cell r="N378">
            <v>8894.36</v>
          </cell>
          <cell r="O378">
            <v>7701.42</v>
          </cell>
          <cell r="P378">
            <v>87367.01</v>
          </cell>
          <cell r="Q378">
            <v>87367.01</v>
          </cell>
        </row>
        <row r="379">
          <cell r="A379" t="str">
            <v>F87000G</v>
          </cell>
          <cell r="B379" t="str">
            <v>OPERATION SUPERVISION AND ENGINEERING</v>
          </cell>
          <cell r="C379">
            <v>0</v>
          </cell>
          <cell r="D379">
            <v>8282.02</v>
          </cell>
          <cell r="E379">
            <v>6524.64</v>
          </cell>
          <cell r="F379">
            <v>6777.67</v>
          </cell>
          <cell r="G379">
            <v>3671.66</v>
          </cell>
          <cell r="H379">
            <v>7230.4</v>
          </cell>
          <cell r="I379">
            <v>3765.81</v>
          </cell>
          <cell r="J379">
            <v>4124.29</v>
          </cell>
          <cell r="K379">
            <v>9039.85</v>
          </cell>
          <cell r="L379">
            <v>9122.7199999999993</v>
          </cell>
          <cell r="M379">
            <v>10354.549999999999</v>
          </cell>
          <cell r="N379">
            <v>12994.65</v>
          </cell>
          <cell r="O379">
            <v>10752.39</v>
          </cell>
          <cell r="P379">
            <v>92640.65</v>
          </cell>
          <cell r="Q379">
            <v>92640.65</v>
          </cell>
        </row>
        <row r="380">
          <cell r="A380" t="str">
            <v>F87010G</v>
          </cell>
          <cell r="B380" t="str">
            <v>OPERATION SUPERVISIO</v>
          </cell>
          <cell r="C380">
            <v>0</v>
          </cell>
          <cell r="D380">
            <v>121447.76</v>
          </cell>
          <cell r="E380">
            <v>171850.75</v>
          </cell>
          <cell r="F380">
            <v>130339.19</v>
          </cell>
          <cell r="G380">
            <v>121943.1</v>
          </cell>
          <cell r="H380">
            <v>182855.82</v>
          </cell>
          <cell r="I380">
            <v>125673.79</v>
          </cell>
          <cell r="J380">
            <v>124867.13</v>
          </cell>
          <cell r="K380">
            <v>164469.48000000001</v>
          </cell>
          <cell r="L380">
            <v>137070.91</v>
          </cell>
          <cell r="M380">
            <v>185432.28</v>
          </cell>
          <cell r="N380">
            <v>141540.71</v>
          </cell>
          <cell r="O380">
            <v>177175.08</v>
          </cell>
          <cell r="P380">
            <v>1784666.0000000002</v>
          </cell>
          <cell r="Q380">
            <v>1784666.0000000002</v>
          </cell>
        </row>
        <row r="381">
          <cell r="A381" t="str">
            <v>F87020G</v>
          </cell>
          <cell r="B381" t="str">
            <v>OPERATION SUPERVISIO</v>
          </cell>
          <cell r="C381">
            <v>0</v>
          </cell>
          <cell r="D381">
            <v>66772.2</v>
          </cell>
          <cell r="E381">
            <v>86392.45</v>
          </cell>
          <cell r="F381">
            <v>73463.75</v>
          </cell>
          <cell r="G381">
            <v>58506.44</v>
          </cell>
          <cell r="H381">
            <v>87249.62</v>
          </cell>
          <cell r="I381">
            <v>77658.34</v>
          </cell>
          <cell r="J381">
            <v>65002.44</v>
          </cell>
          <cell r="K381">
            <v>84409.88</v>
          </cell>
          <cell r="L381">
            <v>65732.63</v>
          </cell>
          <cell r="M381">
            <v>85689.25</v>
          </cell>
          <cell r="N381">
            <v>65044.32</v>
          </cell>
          <cell r="O381">
            <v>64775.63</v>
          </cell>
          <cell r="P381">
            <v>880696.94999999984</v>
          </cell>
          <cell r="Q381">
            <v>880696.94999999984</v>
          </cell>
        </row>
        <row r="382">
          <cell r="A382" t="str">
            <v>F87100G</v>
          </cell>
          <cell r="B382" t="str">
            <v>DISTRIBUTION LOAD DISPATCHING</v>
          </cell>
          <cell r="C382">
            <v>0</v>
          </cell>
          <cell r="D382">
            <v>1052.45</v>
          </cell>
          <cell r="E382">
            <v>816.09</v>
          </cell>
          <cell r="F382">
            <v>1343.68</v>
          </cell>
          <cell r="G382">
            <v>2245.1999999999998</v>
          </cell>
          <cell r="H382">
            <v>2978.34</v>
          </cell>
          <cell r="I382">
            <v>2108.9499999999998</v>
          </cell>
          <cell r="J382">
            <v>2807.33</v>
          </cell>
          <cell r="K382">
            <v>2320.11</v>
          </cell>
          <cell r="L382">
            <v>3932.68</v>
          </cell>
          <cell r="M382">
            <v>4971.3</v>
          </cell>
          <cell r="N382">
            <v>3614.73</v>
          </cell>
          <cell r="O382">
            <v>4815.88</v>
          </cell>
          <cell r="P382">
            <v>33006.74</v>
          </cell>
          <cell r="Q382">
            <v>33006.74</v>
          </cell>
        </row>
        <row r="383">
          <cell r="A383" t="str">
            <v>F87200C</v>
          </cell>
          <cell r="B383" t="str">
            <v>COMPRESSOR STATION LABOR AND EXPENSES</v>
          </cell>
          <cell r="C383">
            <v>0</v>
          </cell>
          <cell r="D383">
            <v>239.07</v>
          </cell>
          <cell r="E383">
            <v>0</v>
          </cell>
          <cell r="F383">
            <v>347.62</v>
          </cell>
          <cell r="G383">
            <v>749.47</v>
          </cell>
          <cell r="H383">
            <v>0</v>
          </cell>
          <cell r="I383">
            <v>562.87</v>
          </cell>
          <cell r="J383">
            <v>529.48</v>
          </cell>
          <cell r="K383">
            <v>1014.51</v>
          </cell>
          <cell r="L383">
            <v>674.51</v>
          </cell>
          <cell r="M383">
            <v>1584.71</v>
          </cell>
          <cell r="N383">
            <v>0</v>
          </cell>
          <cell r="O383">
            <v>1966.95</v>
          </cell>
          <cell r="P383">
            <v>7669.1900000000005</v>
          </cell>
          <cell r="Q383">
            <v>7669.1900000000005</v>
          </cell>
        </row>
        <row r="384">
          <cell r="A384" t="str">
            <v>F87300G</v>
          </cell>
          <cell r="B384" t="str">
            <v>COMPRESSOR STATION FUEL AND POWER</v>
          </cell>
          <cell r="C384">
            <v>0</v>
          </cell>
          <cell r="D384">
            <v>0</v>
          </cell>
          <cell r="E384">
            <v>809.96</v>
          </cell>
          <cell r="F384">
            <v>0</v>
          </cell>
          <cell r="G384">
            <v>0</v>
          </cell>
          <cell r="H384">
            <v>0</v>
          </cell>
          <cell r="I384">
            <v>71.61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881.57</v>
          </cell>
          <cell r="Q384">
            <v>881.57</v>
          </cell>
        </row>
        <row r="385">
          <cell r="A385" t="str">
            <v>F87400G</v>
          </cell>
          <cell r="B385" t="str">
            <v>MAINS AND SERVICES EXPENSES</v>
          </cell>
          <cell r="C385">
            <v>0</v>
          </cell>
          <cell r="D385">
            <v>38208.120000000003</v>
          </cell>
          <cell r="E385">
            <v>48623.21</v>
          </cell>
          <cell r="F385">
            <v>38392.81</v>
          </cell>
          <cell r="G385">
            <v>43922.71</v>
          </cell>
          <cell r="H385">
            <v>31574.720000000001</v>
          </cell>
          <cell r="I385">
            <v>45808.13</v>
          </cell>
          <cell r="J385">
            <v>34118.51</v>
          </cell>
          <cell r="K385">
            <v>70444.31</v>
          </cell>
          <cell r="L385">
            <v>57879.4</v>
          </cell>
          <cell r="M385">
            <v>70679.27</v>
          </cell>
          <cell r="N385">
            <v>35330.21</v>
          </cell>
          <cell r="O385">
            <v>62927.71</v>
          </cell>
          <cell r="P385">
            <v>577909.1100000001</v>
          </cell>
          <cell r="Q385">
            <v>577909.1100000001</v>
          </cell>
        </row>
        <row r="386">
          <cell r="A386" t="str">
            <v>F87410G</v>
          </cell>
          <cell r="B386" t="str">
            <v>MAINS AND SERVICES E</v>
          </cell>
          <cell r="C386">
            <v>0</v>
          </cell>
          <cell r="D386">
            <v>37412.06</v>
          </cell>
          <cell r="E386">
            <v>-22073.08</v>
          </cell>
          <cell r="F386">
            <v>-3338.33</v>
          </cell>
          <cell r="G386">
            <v>44463.83</v>
          </cell>
          <cell r="H386">
            <v>50699.67</v>
          </cell>
          <cell r="I386">
            <v>41132.1</v>
          </cell>
          <cell r="J386">
            <v>38948.21</v>
          </cell>
          <cell r="K386">
            <v>52508.639999999999</v>
          </cell>
          <cell r="L386">
            <v>39460.480000000003</v>
          </cell>
          <cell r="M386">
            <v>56100.86</v>
          </cell>
          <cell r="N386">
            <v>41874</v>
          </cell>
          <cell r="O386">
            <v>65329.599999999999</v>
          </cell>
          <cell r="P386">
            <v>442518.03999999992</v>
          </cell>
          <cell r="Q386">
            <v>442518.03999999992</v>
          </cell>
        </row>
        <row r="387">
          <cell r="A387" t="str">
            <v>F87430G</v>
          </cell>
          <cell r="B387" t="str">
            <v>MAINS AND SERVICES E</v>
          </cell>
          <cell r="C387">
            <v>0</v>
          </cell>
          <cell r="D387">
            <v>117854.86</v>
          </cell>
          <cell r="E387">
            <v>116102.04</v>
          </cell>
          <cell r="F387">
            <v>111189.09</v>
          </cell>
          <cell r="G387">
            <v>110913.05</v>
          </cell>
          <cell r="H387">
            <v>176145.24</v>
          </cell>
          <cell r="I387">
            <v>90001.29</v>
          </cell>
          <cell r="J387">
            <v>122615.92</v>
          </cell>
          <cell r="K387">
            <v>130003.03</v>
          </cell>
          <cell r="L387">
            <v>103200.56</v>
          </cell>
          <cell r="M387">
            <v>126095.43</v>
          </cell>
          <cell r="N387">
            <v>115149.24</v>
          </cell>
          <cell r="O387">
            <v>153886.35999999999</v>
          </cell>
          <cell r="P387">
            <v>1473156.1099999999</v>
          </cell>
          <cell r="Q387">
            <v>1473156.1099999999</v>
          </cell>
        </row>
        <row r="388">
          <cell r="A388" t="str">
            <v>F87440G</v>
          </cell>
          <cell r="B388" t="str">
            <v>MAINS AND SERVICES E</v>
          </cell>
          <cell r="C388">
            <v>0</v>
          </cell>
          <cell r="D388">
            <v>57447.76</v>
          </cell>
          <cell r="E388">
            <v>55223.7</v>
          </cell>
          <cell r="F388">
            <v>57889.13</v>
          </cell>
          <cell r="G388">
            <v>45041.14</v>
          </cell>
          <cell r="H388">
            <v>73973.850000000006</v>
          </cell>
          <cell r="I388">
            <v>50236.86</v>
          </cell>
          <cell r="J388">
            <v>32750.59</v>
          </cell>
          <cell r="K388">
            <v>-19814.04</v>
          </cell>
          <cell r="L388">
            <v>23811.48</v>
          </cell>
          <cell r="M388">
            <v>43953.599999999999</v>
          </cell>
          <cell r="N388">
            <v>21606.59</v>
          </cell>
          <cell r="O388">
            <v>52257.74</v>
          </cell>
          <cell r="P388">
            <v>494378.39999999997</v>
          </cell>
          <cell r="Q388">
            <v>494378.39999999997</v>
          </cell>
        </row>
        <row r="389">
          <cell r="A389" t="str">
            <v>F87450G</v>
          </cell>
          <cell r="B389" t="str">
            <v>MAINS AND SERVICES E</v>
          </cell>
          <cell r="C389">
            <v>0</v>
          </cell>
          <cell r="D389">
            <v>877.23</v>
          </cell>
          <cell r="E389">
            <v>1098.43</v>
          </cell>
          <cell r="F389">
            <v>810.82</v>
          </cell>
          <cell r="G389">
            <v>892.21</v>
          </cell>
          <cell r="H389">
            <v>1105.73</v>
          </cell>
          <cell r="I389">
            <v>877.73</v>
          </cell>
          <cell r="J389">
            <v>643.04999999999995</v>
          </cell>
          <cell r="K389">
            <v>1205.8900000000001</v>
          </cell>
          <cell r="L389">
            <v>6800.41</v>
          </cell>
          <cell r="M389">
            <v>1063.56</v>
          </cell>
          <cell r="N389">
            <v>6291.62</v>
          </cell>
          <cell r="O389">
            <v>2800.39</v>
          </cell>
          <cell r="P389">
            <v>24467.07</v>
          </cell>
          <cell r="Q389">
            <v>24467.07</v>
          </cell>
        </row>
        <row r="390">
          <cell r="A390" t="str">
            <v>F87500G</v>
          </cell>
          <cell r="B390" t="str">
            <v>MEASURING AND REGULATING STATION EXPENS</v>
          </cell>
          <cell r="C390">
            <v>0</v>
          </cell>
          <cell r="D390">
            <v>42752.37</v>
          </cell>
          <cell r="E390">
            <v>59255.71</v>
          </cell>
          <cell r="F390">
            <v>32386.91</v>
          </cell>
          <cell r="G390">
            <v>14230.94</v>
          </cell>
          <cell r="H390">
            <v>45362.31</v>
          </cell>
          <cell r="I390">
            <v>21411.11</v>
          </cell>
          <cell r="J390">
            <v>27487.56</v>
          </cell>
          <cell r="K390">
            <v>29003.39</v>
          </cell>
          <cell r="L390">
            <v>23460.639999999999</v>
          </cell>
          <cell r="M390">
            <v>34273.07</v>
          </cell>
          <cell r="N390">
            <v>27999.3</v>
          </cell>
          <cell r="O390">
            <v>52280.26</v>
          </cell>
          <cell r="P390">
            <v>409903.57</v>
          </cell>
          <cell r="Q390">
            <v>409903.57</v>
          </cell>
        </row>
        <row r="391">
          <cell r="A391" t="str">
            <v>F87800G</v>
          </cell>
          <cell r="B391" t="str">
            <v>METER AND HOUSE REGULATOR EXPENSES</v>
          </cell>
          <cell r="C391">
            <v>0</v>
          </cell>
          <cell r="D391">
            <v>34755.35</v>
          </cell>
          <cell r="E391">
            <v>55213.35</v>
          </cell>
          <cell r="F391">
            <v>35191.03</v>
          </cell>
          <cell r="G391">
            <v>48242.85</v>
          </cell>
          <cell r="H391">
            <v>36189.589999999997</v>
          </cell>
          <cell r="I391">
            <v>34674.06</v>
          </cell>
          <cell r="J391">
            <v>25381.81</v>
          </cell>
          <cell r="K391">
            <v>72398.720000000001</v>
          </cell>
          <cell r="L391">
            <v>60069.64</v>
          </cell>
          <cell r="M391">
            <v>77054.98</v>
          </cell>
          <cell r="N391">
            <v>70043.47</v>
          </cell>
          <cell r="O391">
            <v>55637.53</v>
          </cell>
          <cell r="P391">
            <v>604852.38</v>
          </cell>
          <cell r="Q391">
            <v>604852.38</v>
          </cell>
        </row>
        <row r="392">
          <cell r="A392" t="str">
            <v>F87810G</v>
          </cell>
          <cell r="B392" t="str">
            <v>METER AND HOUSE REGU</v>
          </cell>
          <cell r="C392">
            <v>0</v>
          </cell>
          <cell r="D392">
            <v>18845.38</v>
          </cell>
          <cell r="E392">
            <v>22427.4</v>
          </cell>
          <cell r="F392">
            <v>17254.080000000002</v>
          </cell>
          <cell r="G392">
            <v>20161.91</v>
          </cell>
          <cell r="H392">
            <v>18666.259999999998</v>
          </cell>
          <cell r="I392">
            <v>9191.48</v>
          </cell>
          <cell r="J392">
            <v>10763.72</v>
          </cell>
          <cell r="K392">
            <v>11359.21</v>
          </cell>
          <cell r="L392">
            <v>9222.6</v>
          </cell>
          <cell r="M392">
            <v>13380.99</v>
          </cell>
          <cell r="N392">
            <v>10783.16</v>
          </cell>
          <cell r="O392">
            <v>13407.12</v>
          </cell>
          <cell r="P392">
            <v>175463.31</v>
          </cell>
          <cell r="Q392">
            <v>175463.31</v>
          </cell>
        </row>
        <row r="393">
          <cell r="A393" t="str">
            <v>F87820G</v>
          </cell>
          <cell r="B393" t="str">
            <v>METER AND HOUSE REGU</v>
          </cell>
          <cell r="C393">
            <v>0</v>
          </cell>
          <cell r="D393">
            <v>123971.62</v>
          </cell>
          <cell r="E393">
            <v>155773.75</v>
          </cell>
          <cell r="F393">
            <v>128738.28</v>
          </cell>
          <cell r="G393">
            <v>126807.46</v>
          </cell>
          <cell r="H393">
            <v>154892.31</v>
          </cell>
          <cell r="I393">
            <v>126033.69</v>
          </cell>
          <cell r="J393">
            <v>125665.81</v>
          </cell>
          <cell r="K393">
            <v>157986.59</v>
          </cell>
          <cell r="L393">
            <v>138964.19</v>
          </cell>
          <cell r="M393">
            <v>134535.62</v>
          </cell>
          <cell r="N393">
            <v>91493.119999999995</v>
          </cell>
          <cell r="O393">
            <v>123662.94</v>
          </cell>
          <cell r="P393">
            <v>1588525.38</v>
          </cell>
          <cell r="Q393">
            <v>1588525.38</v>
          </cell>
        </row>
        <row r="394">
          <cell r="A394" t="str">
            <v>F87830G</v>
          </cell>
          <cell r="B394" t="str">
            <v>METER AND HOUSE REGU</v>
          </cell>
          <cell r="C394">
            <v>0</v>
          </cell>
          <cell r="D394">
            <v>1827.41</v>
          </cell>
          <cell r="E394">
            <v>2403.09</v>
          </cell>
          <cell r="F394">
            <v>1942.87</v>
          </cell>
          <cell r="G394">
            <v>1638.72</v>
          </cell>
          <cell r="H394">
            <v>1995.97</v>
          </cell>
          <cell r="I394">
            <v>1864.45</v>
          </cell>
          <cell r="J394">
            <v>1494.56</v>
          </cell>
          <cell r="K394">
            <v>1579.4</v>
          </cell>
          <cell r="L394">
            <v>1524.84</v>
          </cell>
          <cell r="M394">
            <v>2037.63</v>
          </cell>
          <cell r="N394">
            <v>3942.32</v>
          </cell>
          <cell r="O394">
            <v>6396.52</v>
          </cell>
          <cell r="P394">
            <v>28647.78</v>
          </cell>
          <cell r="Q394">
            <v>28647.78</v>
          </cell>
        </row>
        <row r="395">
          <cell r="A395" t="str">
            <v>F87840G</v>
          </cell>
          <cell r="B395" t="str">
            <v>METER AND HOUSE REGU</v>
          </cell>
          <cell r="C395">
            <v>0</v>
          </cell>
          <cell r="D395">
            <v>4111.8100000000004</v>
          </cell>
          <cell r="E395">
            <v>11234.71</v>
          </cell>
          <cell r="F395">
            <v>9863.01</v>
          </cell>
          <cell r="G395">
            <v>11515.66</v>
          </cell>
          <cell r="H395">
            <v>11502.81</v>
          </cell>
          <cell r="I395">
            <v>12642.83</v>
          </cell>
          <cell r="J395">
            <v>11802.6</v>
          </cell>
          <cell r="K395">
            <v>9204.75</v>
          </cell>
          <cell r="L395">
            <v>7973.57</v>
          </cell>
          <cell r="M395">
            <v>4288.16</v>
          </cell>
          <cell r="N395">
            <v>12498.38</v>
          </cell>
          <cell r="O395">
            <v>27006.73</v>
          </cell>
          <cell r="P395">
            <v>133645.02000000002</v>
          </cell>
          <cell r="Q395">
            <v>133645.02000000002</v>
          </cell>
        </row>
        <row r="396">
          <cell r="A396" t="str">
            <v>F87850G</v>
          </cell>
          <cell r="B396" t="str">
            <v>METER AND HOUSE REGU</v>
          </cell>
          <cell r="C396">
            <v>0</v>
          </cell>
          <cell r="D396">
            <v>2486.3000000000002</v>
          </cell>
          <cell r="E396">
            <v>2220.1799999999998</v>
          </cell>
          <cell r="F396">
            <v>1675.79</v>
          </cell>
          <cell r="G396">
            <v>1804.69</v>
          </cell>
          <cell r="H396">
            <v>2591.85</v>
          </cell>
          <cell r="I396">
            <v>1526.07</v>
          </cell>
          <cell r="J396">
            <v>1810.3</v>
          </cell>
          <cell r="K396">
            <v>2385.67</v>
          </cell>
          <cell r="L396">
            <v>1159.78</v>
          </cell>
          <cell r="M396">
            <v>3133.09</v>
          </cell>
          <cell r="N396">
            <v>1792.4</v>
          </cell>
          <cell r="O396">
            <v>4240.32</v>
          </cell>
          <cell r="P396">
            <v>26826.44</v>
          </cell>
          <cell r="Q396">
            <v>26826.44</v>
          </cell>
        </row>
        <row r="397">
          <cell r="A397" t="str">
            <v>F87860G</v>
          </cell>
          <cell r="B397" t="str">
            <v>METER AND HOUSE REGU</v>
          </cell>
          <cell r="C397">
            <v>0</v>
          </cell>
          <cell r="D397">
            <v>2294.67</v>
          </cell>
          <cell r="E397">
            <v>1477.26</v>
          </cell>
          <cell r="F397">
            <v>2204.65</v>
          </cell>
          <cell r="G397">
            <v>2217.35</v>
          </cell>
          <cell r="H397">
            <v>869.92</v>
          </cell>
          <cell r="I397">
            <v>94.19</v>
          </cell>
          <cell r="J397">
            <v>451.29</v>
          </cell>
          <cell r="K397">
            <v>835.96</v>
          </cell>
          <cell r="L397">
            <v>526.75</v>
          </cell>
          <cell r="M397">
            <v>448.39</v>
          </cell>
          <cell r="N397">
            <v>132.5</v>
          </cell>
          <cell r="O397">
            <v>510.37</v>
          </cell>
          <cell r="P397">
            <v>12063.300000000001</v>
          </cell>
          <cell r="Q397">
            <v>12063.300000000001</v>
          </cell>
        </row>
        <row r="398">
          <cell r="A398" t="str">
            <v>F87900G</v>
          </cell>
          <cell r="B398" t="str">
            <v>CUSTOMER INSTALLATIONS EXPENSES</v>
          </cell>
          <cell r="C398">
            <v>0</v>
          </cell>
          <cell r="D398">
            <v>196986.75</v>
          </cell>
          <cell r="E398">
            <v>229088.12</v>
          </cell>
          <cell r="F398">
            <v>191877.91</v>
          </cell>
          <cell r="G398">
            <v>168358.34</v>
          </cell>
          <cell r="H398">
            <v>231763.18</v>
          </cell>
          <cell r="I398">
            <v>170378.63</v>
          </cell>
          <cell r="J398">
            <v>172290.86</v>
          </cell>
          <cell r="K398">
            <v>210270.26</v>
          </cell>
          <cell r="L398">
            <v>211758.18</v>
          </cell>
          <cell r="M398">
            <v>277020.65999999997</v>
          </cell>
          <cell r="N398">
            <v>282277.5</v>
          </cell>
          <cell r="O398">
            <v>253434.23</v>
          </cell>
          <cell r="P398">
            <v>2595504.6199999996</v>
          </cell>
          <cell r="Q398">
            <v>2595504.6199999996</v>
          </cell>
        </row>
        <row r="399">
          <cell r="A399" t="str">
            <v>F87910G</v>
          </cell>
          <cell r="B399" t="str">
            <v>CUSTOMER INSTALLATIO</v>
          </cell>
          <cell r="C399">
            <v>0</v>
          </cell>
          <cell r="D399">
            <v>336400.6</v>
          </cell>
          <cell r="E399">
            <v>360010.84</v>
          </cell>
          <cell r="F399">
            <v>285089.99</v>
          </cell>
          <cell r="G399">
            <v>232896.65</v>
          </cell>
          <cell r="H399">
            <v>278610.90000000002</v>
          </cell>
          <cell r="I399">
            <v>175847.28</v>
          </cell>
          <cell r="J399">
            <v>223326.07</v>
          </cell>
          <cell r="K399">
            <v>320492.09000000003</v>
          </cell>
          <cell r="L399">
            <v>288129.89</v>
          </cell>
          <cell r="M399">
            <v>585481.68999999994</v>
          </cell>
          <cell r="N399">
            <v>679717.46</v>
          </cell>
          <cell r="O399">
            <v>513547.93</v>
          </cell>
          <cell r="P399">
            <v>4279551.3899999997</v>
          </cell>
          <cell r="Q399">
            <v>4279551.3899999997</v>
          </cell>
        </row>
        <row r="400">
          <cell r="A400" t="str">
            <v>F87920G</v>
          </cell>
          <cell r="B400" t="str">
            <v>CUSTOMER INSTALLATIO</v>
          </cell>
          <cell r="C400">
            <v>0</v>
          </cell>
          <cell r="D400">
            <v>7276.54</v>
          </cell>
          <cell r="E400">
            <v>11801.75</v>
          </cell>
          <cell r="F400">
            <v>7886.68</v>
          </cell>
          <cell r="G400">
            <v>24959.19</v>
          </cell>
          <cell r="H400">
            <v>44564.9</v>
          </cell>
          <cell r="I400">
            <v>33701.769999999997</v>
          </cell>
          <cell r="J400">
            <v>22894.959999999999</v>
          </cell>
          <cell r="K400">
            <v>24081.97</v>
          </cell>
          <cell r="L400">
            <v>23346.97</v>
          </cell>
          <cell r="M400">
            <v>15621.97</v>
          </cell>
          <cell r="N400">
            <v>3391.25</v>
          </cell>
          <cell r="O400">
            <v>4925.29</v>
          </cell>
          <cell r="P400">
            <v>224453.24</v>
          </cell>
          <cell r="Q400">
            <v>224453.24</v>
          </cell>
        </row>
        <row r="401">
          <cell r="A401" t="str">
            <v>F87950G</v>
          </cell>
          <cell r="B401" t="str">
            <v>CUSTOMER INSTALLATIO</v>
          </cell>
          <cell r="C401">
            <v>0</v>
          </cell>
          <cell r="D401">
            <v>33437.82</v>
          </cell>
          <cell r="E401">
            <v>22871.58</v>
          </cell>
          <cell r="F401">
            <v>5935.75</v>
          </cell>
          <cell r="G401">
            <v>2708.33</v>
          </cell>
          <cell r="H401">
            <v>1585.98</v>
          </cell>
          <cell r="I401">
            <v>755.83</v>
          </cell>
          <cell r="J401">
            <v>884.56</v>
          </cell>
          <cell r="K401">
            <v>2049.09</v>
          </cell>
          <cell r="L401">
            <v>25275.61</v>
          </cell>
          <cell r="M401">
            <v>222097.47</v>
          </cell>
          <cell r="N401">
            <v>280699.01</v>
          </cell>
          <cell r="O401">
            <v>76436.100000000006</v>
          </cell>
          <cell r="P401">
            <v>674737.13</v>
          </cell>
          <cell r="Q401">
            <v>674737.13</v>
          </cell>
        </row>
        <row r="402">
          <cell r="A402" t="str">
            <v>F88000G</v>
          </cell>
          <cell r="B402" t="str">
            <v>OTHER EXPENSES</v>
          </cell>
          <cell r="C402">
            <v>0</v>
          </cell>
          <cell r="D402">
            <v>110458.22</v>
          </cell>
          <cell r="E402">
            <v>212428.77</v>
          </cell>
          <cell r="F402">
            <v>167586.12</v>
          </cell>
          <cell r="G402">
            <v>176979.95</v>
          </cell>
          <cell r="H402">
            <v>270760.44</v>
          </cell>
          <cell r="I402">
            <v>140099.65</v>
          </cell>
          <cell r="J402">
            <v>152126.73000000001</v>
          </cell>
          <cell r="K402">
            <v>233789.79</v>
          </cell>
          <cell r="L402">
            <v>175784.5</v>
          </cell>
          <cell r="M402">
            <v>199829.58</v>
          </cell>
          <cell r="N402">
            <v>114916.74</v>
          </cell>
          <cell r="O402">
            <v>95642.34</v>
          </cell>
          <cell r="P402">
            <v>2050402.83</v>
          </cell>
          <cell r="Q402">
            <v>2050402.83</v>
          </cell>
        </row>
        <row r="403">
          <cell r="A403" t="str">
            <v>F88010G</v>
          </cell>
          <cell r="B403" t="str">
            <v>MTGS/TRAINING/ETC</v>
          </cell>
          <cell r="C403">
            <v>0</v>
          </cell>
          <cell r="D403">
            <v>30776.04</v>
          </cell>
          <cell r="E403">
            <v>39002.230000000003</v>
          </cell>
          <cell r="F403">
            <v>28883.27</v>
          </cell>
          <cell r="G403">
            <v>28857.49</v>
          </cell>
          <cell r="H403">
            <v>32859.42</v>
          </cell>
          <cell r="I403">
            <v>22043.43</v>
          </cell>
          <cell r="J403">
            <v>25656.37</v>
          </cell>
          <cell r="K403">
            <v>41904.75</v>
          </cell>
          <cell r="L403">
            <v>42291.77</v>
          </cell>
          <cell r="M403">
            <v>36808.99</v>
          </cell>
          <cell r="N403">
            <v>74747.289999999994</v>
          </cell>
          <cell r="O403">
            <v>76625.38</v>
          </cell>
          <cell r="P403">
            <v>480456.43</v>
          </cell>
          <cell r="Q403">
            <v>480456.43</v>
          </cell>
        </row>
        <row r="404">
          <cell r="A404" t="str">
            <v>F88030G</v>
          </cell>
          <cell r="B404" t="str">
            <v>DISPATH OFFICE</v>
          </cell>
          <cell r="C404">
            <v>0</v>
          </cell>
          <cell r="D404">
            <v>29108.35</v>
          </cell>
          <cell r="E404">
            <v>8978.58</v>
          </cell>
          <cell r="F404">
            <v>6913.21</v>
          </cell>
          <cell r="G404">
            <v>1959.81</v>
          </cell>
          <cell r="H404">
            <v>-197.27</v>
          </cell>
          <cell r="I404">
            <v>1695.39</v>
          </cell>
          <cell r="J404">
            <v>3395.43</v>
          </cell>
          <cell r="K404">
            <v>16253.95</v>
          </cell>
          <cell r="L404">
            <v>6642.87</v>
          </cell>
          <cell r="M404">
            <v>11262.58</v>
          </cell>
          <cell r="N404">
            <v>4401.9399999999996</v>
          </cell>
          <cell r="O404">
            <v>20876.580000000002</v>
          </cell>
          <cell r="P404">
            <v>111291.42</v>
          </cell>
          <cell r="Q404">
            <v>111291.42</v>
          </cell>
        </row>
        <row r="405">
          <cell r="A405" t="str">
            <v>F88040G</v>
          </cell>
          <cell r="B405" t="str">
            <v>TECH OFFICE/DOCS /MISC. OPER. EXP.</v>
          </cell>
          <cell r="C405">
            <v>0</v>
          </cell>
          <cell r="D405">
            <v>230.65</v>
          </cell>
          <cell r="E405">
            <v>687.08</v>
          </cell>
          <cell r="F405">
            <v>1185.07</v>
          </cell>
          <cell r="G405">
            <v>318.70999999999998</v>
          </cell>
          <cell r="H405">
            <v>242.99</v>
          </cell>
          <cell r="I405">
            <v>567.58000000000004</v>
          </cell>
          <cell r="J405">
            <v>177.29</v>
          </cell>
          <cell r="K405">
            <v>867.67</v>
          </cell>
          <cell r="L405">
            <v>0</v>
          </cell>
          <cell r="M405">
            <v>2309.2199999999998</v>
          </cell>
          <cell r="N405">
            <v>219.76</v>
          </cell>
          <cell r="O405">
            <v>243.5</v>
          </cell>
          <cell r="P405">
            <v>7049.52</v>
          </cell>
          <cell r="Q405">
            <v>7049.52</v>
          </cell>
        </row>
        <row r="406">
          <cell r="A406" t="str">
            <v>F88100G</v>
          </cell>
          <cell r="B406" t="str">
            <v>RENTS</v>
          </cell>
          <cell r="C406">
            <v>0</v>
          </cell>
          <cell r="D406">
            <v>243.18</v>
          </cell>
          <cell r="E406">
            <v>0</v>
          </cell>
          <cell r="F406">
            <v>1106</v>
          </cell>
          <cell r="G406">
            <v>400</v>
          </cell>
          <cell r="H406">
            <v>0</v>
          </cell>
          <cell r="I406">
            <v>0</v>
          </cell>
          <cell r="J406">
            <v>100</v>
          </cell>
          <cell r="K406">
            <v>0</v>
          </cell>
          <cell r="L406">
            <v>600</v>
          </cell>
          <cell r="M406">
            <v>1744</v>
          </cell>
          <cell r="N406">
            <v>10324</v>
          </cell>
          <cell r="O406">
            <v>0</v>
          </cell>
          <cell r="P406">
            <v>14517.18</v>
          </cell>
          <cell r="Q406">
            <v>14517.18</v>
          </cell>
        </row>
        <row r="407">
          <cell r="A407" t="str">
            <v>F88500G</v>
          </cell>
          <cell r="B407" t="str">
            <v>MAINTENANCE SUPERVISION AND ENGINEERING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1388.8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1388.8</v>
          </cell>
          <cell r="Q407">
            <v>1388.8</v>
          </cell>
        </row>
        <row r="408">
          <cell r="A408" t="str">
            <v>F88510G</v>
          </cell>
          <cell r="B408" t="str">
            <v>MAINT SUPERVISION AN</v>
          </cell>
          <cell r="C408">
            <v>0</v>
          </cell>
          <cell r="D408">
            <v>2709.99</v>
          </cell>
          <cell r="E408">
            <v>3238.41</v>
          </cell>
          <cell r="F408">
            <v>2438.2199999999998</v>
          </cell>
          <cell r="G408">
            <v>3307.98</v>
          </cell>
          <cell r="H408">
            <v>3389.48</v>
          </cell>
          <cell r="I408">
            <v>2773.4</v>
          </cell>
          <cell r="J408">
            <v>2117.66</v>
          </cell>
          <cell r="K408">
            <v>3179.78</v>
          </cell>
          <cell r="L408">
            <v>2688.36</v>
          </cell>
          <cell r="M408">
            <v>5474.65</v>
          </cell>
          <cell r="N408">
            <v>4462.38</v>
          </cell>
          <cell r="O408">
            <v>6063.31</v>
          </cell>
          <cell r="P408">
            <v>41843.619999999995</v>
          </cell>
          <cell r="Q408">
            <v>41843.619999999995</v>
          </cell>
        </row>
        <row r="409">
          <cell r="A409" t="str">
            <v>F88520G</v>
          </cell>
          <cell r="B409" t="str">
            <v>MAINT SUPERVISION AN</v>
          </cell>
          <cell r="C409">
            <v>0</v>
          </cell>
          <cell r="D409">
            <v>2414.4</v>
          </cell>
          <cell r="E409">
            <v>2979.8</v>
          </cell>
          <cell r="F409">
            <v>2340.58</v>
          </cell>
          <cell r="G409">
            <v>2658.03</v>
          </cell>
          <cell r="H409">
            <v>3612.7</v>
          </cell>
          <cell r="I409">
            <v>2385.14</v>
          </cell>
          <cell r="J409">
            <v>2358.41</v>
          </cell>
          <cell r="K409">
            <v>3118.89</v>
          </cell>
          <cell r="L409">
            <v>1767.24</v>
          </cell>
          <cell r="M409">
            <v>2481.5</v>
          </cell>
          <cell r="N409">
            <v>1860.84</v>
          </cell>
          <cell r="O409">
            <v>2137.41</v>
          </cell>
          <cell r="P409">
            <v>30114.940000000002</v>
          </cell>
          <cell r="Q409">
            <v>30114.940000000002</v>
          </cell>
        </row>
        <row r="410">
          <cell r="A410" t="str">
            <v>F88700G</v>
          </cell>
          <cell r="B410" t="str">
            <v>MAINTENANCE OF MAINS</v>
          </cell>
          <cell r="C410">
            <v>0</v>
          </cell>
          <cell r="D410">
            <v>26950.45</v>
          </cell>
          <cell r="E410">
            <v>20246.75</v>
          </cell>
          <cell r="F410">
            <v>5089.3100000000004</v>
          </cell>
          <cell r="G410">
            <v>15766.71</v>
          </cell>
          <cell r="H410">
            <v>4087.89</v>
          </cell>
          <cell r="I410">
            <v>16181.75</v>
          </cell>
          <cell r="J410">
            <v>1512.02</v>
          </cell>
          <cell r="K410">
            <v>60402.17</v>
          </cell>
          <cell r="L410">
            <v>27662.3</v>
          </cell>
          <cell r="M410">
            <v>25851.439999999999</v>
          </cell>
          <cell r="N410">
            <v>46352.85</v>
          </cell>
          <cell r="O410">
            <v>27203.5</v>
          </cell>
          <cell r="P410">
            <v>277307.14</v>
          </cell>
          <cell r="Q410">
            <v>277307.14</v>
          </cell>
        </row>
        <row r="411">
          <cell r="A411" t="str">
            <v>F88710G</v>
          </cell>
          <cell r="B411" t="str">
            <v>CPM IMPRESSED CURRENT</v>
          </cell>
          <cell r="C411">
            <v>0</v>
          </cell>
          <cell r="D411">
            <v>4628.66</v>
          </cell>
          <cell r="E411">
            <v>20684.54</v>
          </cell>
          <cell r="F411">
            <v>11110.09</v>
          </cell>
          <cell r="G411">
            <v>10988.26</v>
          </cell>
          <cell r="H411">
            <v>34752.14</v>
          </cell>
          <cell r="I411">
            <v>14217.87</v>
          </cell>
          <cell r="J411">
            <v>-2956.29</v>
          </cell>
          <cell r="K411">
            <v>11435.41</v>
          </cell>
          <cell r="L411">
            <v>14044.3</v>
          </cell>
          <cell r="M411">
            <v>40492.239999999998</v>
          </cell>
          <cell r="N411">
            <v>11603</v>
          </cell>
          <cell r="O411">
            <v>5488.58</v>
          </cell>
          <cell r="P411">
            <v>176488.8</v>
          </cell>
          <cell r="Q411">
            <v>176488.8</v>
          </cell>
        </row>
        <row r="412">
          <cell r="A412" t="str">
            <v>F88720G</v>
          </cell>
          <cell r="B412" t="str">
            <v>CPM MAGNESUIM</v>
          </cell>
          <cell r="C412">
            <v>0</v>
          </cell>
          <cell r="D412">
            <v>42578.37</v>
          </cell>
          <cell r="E412">
            <v>25732.16</v>
          </cell>
          <cell r="F412">
            <v>34960.21</v>
          </cell>
          <cell r="G412">
            <v>36486.65</v>
          </cell>
          <cell r="H412">
            <v>73176.91</v>
          </cell>
          <cell r="I412">
            <v>42887.87</v>
          </cell>
          <cell r="J412">
            <v>36998.32</v>
          </cell>
          <cell r="K412">
            <v>41018.31</v>
          </cell>
          <cell r="L412">
            <v>42597.84</v>
          </cell>
          <cell r="M412">
            <v>40718.519999999997</v>
          </cell>
          <cell r="N412">
            <v>41996.67</v>
          </cell>
          <cell r="O412">
            <v>20161.400000000001</v>
          </cell>
          <cell r="P412">
            <v>479313.23000000004</v>
          </cell>
          <cell r="Q412">
            <v>479313.23000000004</v>
          </cell>
        </row>
        <row r="413">
          <cell r="A413" t="str">
            <v>F88730G</v>
          </cell>
          <cell r="B413" t="str">
            <v>CPM 10% CP INSPECTION</v>
          </cell>
          <cell r="C413">
            <v>0</v>
          </cell>
          <cell r="D413">
            <v>43046.33</v>
          </cell>
          <cell r="E413">
            <v>-15869.89</v>
          </cell>
          <cell r="F413">
            <v>-1584.36</v>
          </cell>
          <cell r="G413">
            <v>70937.72</v>
          </cell>
          <cell r="H413">
            <v>64091.62</v>
          </cell>
          <cell r="I413">
            <v>51188.54</v>
          </cell>
          <cell r="J413">
            <v>51585.54</v>
          </cell>
          <cell r="K413">
            <v>58810.87</v>
          </cell>
          <cell r="L413">
            <v>55335</v>
          </cell>
          <cell r="M413">
            <v>74961.649999999994</v>
          </cell>
          <cell r="N413">
            <v>51371.75</v>
          </cell>
          <cell r="O413">
            <v>89498.2</v>
          </cell>
          <cell r="P413">
            <v>593372.97</v>
          </cell>
          <cell r="Q413">
            <v>593372.97</v>
          </cell>
        </row>
        <row r="414">
          <cell r="A414" t="str">
            <v>F88740G</v>
          </cell>
          <cell r="B414" t="str">
            <v>MAINT OF MAINS</v>
          </cell>
          <cell r="C414">
            <v>0</v>
          </cell>
          <cell r="D414">
            <v>1832.7</v>
          </cell>
          <cell r="E414">
            <v>1632.31</v>
          </cell>
          <cell r="F414">
            <v>6130.2</v>
          </cell>
          <cell r="G414">
            <v>15724.66</v>
          </cell>
          <cell r="H414">
            <v>18952.37</v>
          </cell>
          <cell r="I414">
            <v>18294.419999999998</v>
          </cell>
          <cell r="J414">
            <v>15559.86</v>
          </cell>
          <cell r="K414">
            <v>22154.19</v>
          </cell>
          <cell r="L414">
            <v>12090.08</v>
          </cell>
          <cell r="M414">
            <v>20663.64</v>
          </cell>
          <cell r="N414">
            <v>17380.38</v>
          </cell>
          <cell r="O414">
            <v>18929.810000000001</v>
          </cell>
          <cell r="P414">
            <v>169344.62</v>
          </cell>
          <cell r="Q414">
            <v>169344.62</v>
          </cell>
        </row>
        <row r="415">
          <cell r="A415" t="str">
            <v>F88900G</v>
          </cell>
          <cell r="B415" t="str">
            <v>MAINTENANCE OF MEAS. AND REG. STA. EQUI</v>
          </cell>
          <cell r="C415">
            <v>0</v>
          </cell>
          <cell r="D415">
            <v>1683.82</v>
          </cell>
          <cell r="E415">
            <v>1813.41</v>
          </cell>
          <cell r="F415">
            <v>2890.66</v>
          </cell>
          <cell r="G415">
            <v>1452.84</v>
          </cell>
          <cell r="H415">
            <v>3874.39</v>
          </cell>
          <cell r="I415">
            <v>6442.18</v>
          </cell>
          <cell r="J415">
            <v>3342.28</v>
          </cell>
          <cell r="K415">
            <v>3613.91</v>
          </cell>
          <cell r="L415">
            <v>1976.2</v>
          </cell>
          <cell r="M415">
            <v>2674.93</v>
          </cell>
          <cell r="N415">
            <v>3005.75</v>
          </cell>
          <cell r="O415">
            <v>3601.53</v>
          </cell>
          <cell r="P415">
            <v>36371.899999999994</v>
          </cell>
          <cell r="Q415">
            <v>36371.899999999994</v>
          </cell>
        </row>
        <row r="416">
          <cell r="A416" t="str">
            <v>F89200G</v>
          </cell>
          <cell r="B416" t="str">
            <v>MAINTENANCE OF SERVICES</v>
          </cell>
          <cell r="C416">
            <v>0</v>
          </cell>
          <cell r="D416">
            <v>38420.28</v>
          </cell>
          <cell r="E416">
            <v>32066.7</v>
          </cell>
          <cell r="F416">
            <v>28964.11</v>
          </cell>
          <cell r="G416">
            <v>21762.75</v>
          </cell>
          <cell r="H416">
            <v>94809.78</v>
          </cell>
          <cell r="I416">
            <v>18405.400000000001</v>
          </cell>
          <cell r="J416">
            <v>42431.26</v>
          </cell>
          <cell r="K416">
            <v>30100.02</v>
          </cell>
          <cell r="L416">
            <v>31198.51</v>
          </cell>
          <cell r="M416">
            <v>50364.93</v>
          </cell>
          <cell r="N416">
            <v>27400.11</v>
          </cell>
          <cell r="O416">
            <v>20103.490000000002</v>
          </cell>
          <cell r="P416">
            <v>436027.33999999997</v>
          </cell>
          <cell r="Q416">
            <v>436027.33999999997</v>
          </cell>
        </row>
        <row r="417">
          <cell r="A417" t="str">
            <v>F89210G</v>
          </cell>
          <cell r="B417" t="str">
            <v>MAINT OF SERVICES</v>
          </cell>
          <cell r="C417">
            <v>0</v>
          </cell>
          <cell r="D417">
            <v>5683.53</v>
          </cell>
          <cell r="E417">
            <v>5392.61</v>
          </cell>
          <cell r="F417">
            <v>3651.47</v>
          </cell>
          <cell r="G417">
            <v>4017.43</v>
          </cell>
          <cell r="H417">
            <v>-1544.51</v>
          </cell>
          <cell r="I417">
            <v>1797.9</v>
          </cell>
          <cell r="J417">
            <v>1621.48</v>
          </cell>
          <cell r="K417">
            <v>2955.89</v>
          </cell>
          <cell r="L417">
            <v>1968.09</v>
          </cell>
          <cell r="M417">
            <v>3989.89</v>
          </cell>
          <cell r="N417">
            <v>2782.11</v>
          </cell>
          <cell r="O417">
            <v>715.84</v>
          </cell>
          <cell r="P417">
            <v>33031.729999999996</v>
          </cell>
          <cell r="Q417">
            <v>33031.729999999996</v>
          </cell>
        </row>
        <row r="418">
          <cell r="A418" t="str">
            <v>F89220G</v>
          </cell>
          <cell r="B418" t="str">
            <v>MAINT OF SERVICES</v>
          </cell>
          <cell r="C418">
            <v>0</v>
          </cell>
          <cell r="D418">
            <v>2363.29</v>
          </cell>
          <cell r="E418">
            <v>-121.17</v>
          </cell>
          <cell r="F418">
            <v>192.99</v>
          </cell>
          <cell r="G418">
            <v>1092.53</v>
          </cell>
          <cell r="H418">
            <v>713.32</v>
          </cell>
          <cell r="I418">
            <v>0</v>
          </cell>
          <cell r="J418">
            <v>65.03</v>
          </cell>
          <cell r="K418">
            <v>123.11</v>
          </cell>
          <cell r="L418">
            <v>767.6</v>
          </cell>
          <cell r="M418">
            <v>0</v>
          </cell>
          <cell r="N418">
            <v>189.94</v>
          </cell>
          <cell r="O418">
            <v>0</v>
          </cell>
          <cell r="P418">
            <v>5386.6399999999985</v>
          </cell>
          <cell r="Q418">
            <v>5386.6399999999985</v>
          </cell>
        </row>
        <row r="419">
          <cell r="A419" t="str">
            <v>F89230G</v>
          </cell>
          <cell r="B419" t="str">
            <v>MAINT OF SERVICES</v>
          </cell>
          <cell r="C419">
            <v>0</v>
          </cell>
          <cell r="D419">
            <v>5581.91</v>
          </cell>
          <cell r="E419">
            <v>4322.25</v>
          </cell>
          <cell r="F419">
            <v>2438.98</v>
          </cell>
          <cell r="G419">
            <v>869.81</v>
          </cell>
          <cell r="H419">
            <v>6237.05</v>
          </cell>
          <cell r="I419">
            <v>2608.64</v>
          </cell>
          <cell r="J419">
            <v>4386.97</v>
          </cell>
          <cell r="K419">
            <v>6368.62</v>
          </cell>
          <cell r="L419">
            <v>3932.81</v>
          </cell>
          <cell r="M419">
            <v>4098.9799999999996</v>
          </cell>
          <cell r="N419">
            <v>4242.26</v>
          </cell>
          <cell r="O419">
            <v>6290.37</v>
          </cell>
          <cell r="P419">
            <v>51378.650000000009</v>
          </cell>
          <cell r="Q419">
            <v>51378.650000000009</v>
          </cell>
        </row>
        <row r="420">
          <cell r="A420" t="str">
            <v>F89300G</v>
          </cell>
          <cell r="B420" t="str">
            <v>MAINTENANCE OF METERS AND HOUSE REGULAT</v>
          </cell>
          <cell r="C420">
            <v>0</v>
          </cell>
          <cell r="D420">
            <v>20257.97</v>
          </cell>
          <cell r="E420">
            <v>4490.05</v>
          </cell>
          <cell r="F420">
            <v>38591.279999999999</v>
          </cell>
          <cell r="G420">
            <v>8148.56</v>
          </cell>
          <cell r="H420">
            <v>21159.93</v>
          </cell>
          <cell r="I420">
            <v>58619.25</v>
          </cell>
          <cell r="J420">
            <v>1268.52</v>
          </cell>
          <cell r="K420">
            <v>19696.34</v>
          </cell>
          <cell r="L420">
            <v>27937.69</v>
          </cell>
          <cell r="M420">
            <v>30598.35</v>
          </cell>
          <cell r="N420">
            <v>1740.66</v>
          </cell>
          <cell r="O420">
            <v>31606.54</v>
          </cell>
          <cell r="P420">
            <v>264115.14</v>
          </cell>
          <cell r="Q420">
            <v>264115.14</v>
          </cell>
        </row>
        <row r="421">
          <cell r="A421" t="str">
            <v>F89310G</v>
          </cell>
          <cell r="B421" t="str">
            <v>MAINT OF METERS AND</v>
          </cell>
          <cell r="C421">
            <v>0</v>
          </cell>
          <cell r="D421">
            <v>15579.27</v>
          </cell>
          <cell r="E421">
            <v>16309.93</v>
          </cell>
          <cell r="F421">
            <v>10651.24</v>
          </cell>
          <cell r="G421">
            <v>10732.38</v>
          </cell>
          <cell r="H421">
            <v>21465.13</v>
          </cell>
          <cell r="I421">
            <v>12254.65</v>
          </cell>
          <cell r="J421">
            <v>11876</v>
          </cell>
          <cell r="K421">
            <v>10204.799999999999</v>
          </cell>
          <cell r="L421">
            <v>9808.23</v>
          </cell>
          <cell r="M421">
            <v>7465.48</v>
          </cell>
          <cell r="N421">
            <v>7083.61</v>
          </cell>
          <cell r="O421">
            <v>16720.34</v>
          </cell>
          <cell r="P421">
            <v>150151.05999999997</v>
          </cell>
          <cell r="Q421">
            <v>150151.05999999997</v>
          </cell>
        </row>
        <row r="422">
          <cell r="A422" t="str">
            <v>F89320G</v>
          </cell>
          <cell r="B422" t="str">
            <v>MAINT OF METERS AND</v>
          </cell>
          <cell r="C422">
            <v>0</v>
          </cell>
          <cell r="D422">
            <v>16308.28</v>
          </cell>
          <cell r="E422">
            <v>30203.88</v>
          </cell>
          <cell r="F422">
            <v>23052.59</v>
          </cell>
          <cell r="G422">
            <v>20017.939999999999</v>
          </cell>
          <cell r="H422">
            <v>32874.18</v>
          </cell>
          <cell r="I422">
            <v>18657.810000000001</v>
          </cell>
          <cell r="J422">
            <v>32603.56</v>
          </cell>
          <cell r="K422">
            <v>28478.51</v>
          </cell>
          <cell r="L422">
            <v>27577.9</v>
          </cell>
          <cell r="M422">
            <v>41500.51</v>
          </cell>
          <cell r="N422">
            <v>31234.16</v>
          </cell>
          <cell r="O422">
            <v>30283.86</v>
          </cell>
          <cell r="P422">
            <v>332793.17999999993</v>
          </cell>
          <cell r="Q422">
            <v>332793.17999999993</v>
          </cell>
        </row>
        <row r="423">
          <cell r="A423" t="str">
            <v>F89400G</v>
          </cell>
          <cell r="B423" t="str">
            <v>MAINTENANCE OF OTHER EQUIPMENT</v>
          </cell>
          <cell r="C423">
            <v>0</v>
          </cell>
          <cell r="D423">
            <v>52561.47</v>
          </cell>
          <cell r="E423">
            <v>61936.67</v>
          </cell>
          <cell r="F423">
            <v>38866.910000000003</v>
          </cell>
          <cell r="G423">
            <v>41677.21</v>
          </cell>
          <cell r="H423">
            <v>91648.9</v>
          </cell>
          <cell r="I423">
            <v>58084.61</v>
          </cell>
          <cell r="J423">
            <v>50113.59</v>
          </cell>
          <cell r="K423">
            <v>62596.19</v>
          </cell>
          <cell r="L423">
            <v>47657.03</v>
          </cell>
          <cell r="M423">
            <v>69695.44</v>
          </cell>
          <cell r="N423">
            <v>51695.3</v>
          </cell>
          <cell r="O423">
            <v>81263.67</v>
          </cell>
          <cell r="P423">
            <v>707796.99000000011</v>
          </cell>
          <cell r="Q423">
            <v>707796.99000000011</v>
          </cell>
        </row>
        <row r="424">
          <cell r="A424" t="str">
            <v>F90100E</v>
          </cell>
          <cell r="B424" t="str">
            <v>SUPERVISION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2825.57</v>
          </cell>
          <cell r="M424">
            <v>0</v>
          </cell>
          <cell r="N424">
            <v>0</v>
          </cell>
          <cell r="O424">
            <v>0</v>
          </cell>
          <cell r="P424">
            <v>2825.57</v>
          </cell>
          <cell r="Q424">
            <v>2825.57</v>
          </cell>
        </row>
        <row r="425">
          <cell r="A425" t="str">
            <v>F90100G</v>
          </cell>
          <cell r="B425" t="str">
            <v>SUPERVISION</v>
          </cell>
          <cell r="C425">
            <v>0</v>
          </cell>
          <cell r="D425">
            <v>0</v>
          </cell>
          <cell r="E425">
            <v>0</v>
          </cell>
          <cell r="F425">
            <v>584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1510.99</v>
          </cell>
          <cell r="M425">
            <v>0</v>
          </cell>
          <cell r="N425">
            <v>0</v>
          </cell>
          <cell r="O425">
            <v>0</v>
          </cell>
          <cell r="P425">
            <v>2094.9899999999998</v>
          </cell>
          <cell r="Q425">
            <v>2094.9899999999998</v>
          </cell>
        </row>
        <row r="426">
          <cell r="A426" t="str">
            <v>F90200E</v>
          </cell>
          <cell r="B426" t="str">
            <v>METER READING EXPENSES</v>
          </cell>
          <cell r="C426">
            <v>0</v>
          </cell>
          <cell r="D426">
            <v>408634.77</v>
          </cell>
          <cell r="E426">
            <v>479046.1</v>
          </cell>
          <cell r="F426">
            <v>211651.08</v>
          </cell>
          <cell r="G426">
            <v>452730.08</v>
          </cell>
          <cell r="H426">
            <v>466589.06</v>
          </cell>
          <cell r="I426">
            <v>382201.73</v>
          </cell>
          <cell r="J426">
            <v>388746.35</v>
          </cell>
          <cell r="K426">
            <v>577245.77</v>
          </cell>
          <cell r="L426">
            <v>468236.5</v>
          </cell>
          <cell r="M426">
            <v>626229.88</v>
          </cell>
          <cell r="N426">
            <v>380365.28</v>
          </cell>
          <cell r="O426">
            <v>536472.88</v>
          </cell>
          <cell r="P426">
            <v>5378149.4800000004</v>
          </cell>
          <cell r="Q426">
            <v>5378149.4800000004</v>
          </cell>
        </row>
        <row r="427">
          <cell r="A427" t="str">
            <v>F90200G</v>
          </cell>
          <cell r="B427" t="str">
            <v>METER READING EXPENSES</v>
          </cell>
          <cell r="C427">
            <v>0</v>
          </cell>
          <cell r="D427">
            <v>217526.19</v>
          </cell>
          <cell r="E427">
            <v>255974.07</v>
          </cell>
          <cell r="F427">
            <v>123174.2</v>
          </cell>
          <cell r="G427">
            <v>242260.77</v>
          </cell>
          <cell r="H427">
            <v>249480.5</v>
          </cell>
          <cell r="I427">
            <v>204303.57</v>
          </cell>
          <cell r="J427">
            <v>207881.43</v>
          </cell>
          <cell r="K427">
            <v>308665.58</v>
          </cell>
          <cell r="L427">
            <v>250489.26</v>
          </cell>
          <cell r="M427">
            <v>334555.09000000003</v>
          </cell>
          <cell r="N427">
            <v>203530.18</v>
          </cell>
          <cell r="O427">
            <v>286925.86</v>
          </cell>
          <cell r="P427">
            <v>2884766.7</v>
          </cell>
          <cell r="Q427">
            <v>2884766.7</v>
          </cell>
        </row>
        <row r="428">
          <cell r="A428" t="str">
            <v>F90210E</v>
          </cell>
          <cell r="B428" t="str">
            <v>METER READING EXPENSES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1122.18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1122.18</v>
          </cell>
          <cell r="Q428">
            <v>1122.18</v>
          </cell>
        </row>
        <row r="429">
          <cell r="A429" t="str">
            <v>F90210G</v>
          </cell>
          <cell r="B429" t="str">
            <v>METER READING EXPENSES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600.05999999999995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600.05999999999995</v>
          </cell>
          <cell r="Q429">
            <v>600.05999999999995</v>
          </cell>
        </row>
        <row r="430">
          <cell r="A430" t="str">
            <v>F90300E</v>
          </cell>
          <cell r="B430" t="str">
            <v>CUSTOMER RECORDS AND COLLECTION EXPENSE</v>
          </cell>
          <cell r="C430">
            <v>0</v>
          </cell>
          <cell r="D430">
            <v>609234.31999999995</v>
          </cell>
          <cell r="E430">
            <v>778753.04</v>
          </cell>
          <cell r="F430">
            <v>939627.51</v>
          </cell>
          <cell r="G430">
            <v>798860</v>
          </cell>
          <cell r="H430">
            <v>800111.4</v>
          </cell>
          <cell r="I430">
            <v>1169331.51</v>
          </cell>
          <cell r="J430">
            <v>1202073.01</v>
          </cell>
          <cell r="K430">
            <v>1272898.8600000001</v>
          </cell>
          <cell r="L430">
            <v>1678681.61</v>
          </cell>
          <cell r="M430">
            <v>1419166.88</v>
          </cell>
          <cell r="N430">
            <v>890489.73</v>
          </cell>
          <cell r="O430">
            <v>1788732.69</v>
          </cell>
          <cell r="P430">
            <v>13347960.560000001</v>
          </cell>
          <cell r="Q430">
            <v>13347960.560000001</v>
          </cell>
        </row>
        <row r="431">
          <cell r="A431" t="str">
            <v>F90300G</v>
          </cell>
          <cell r="B431" t="str">
            <v>CUSTOMER RECORDS AND COLLECTION EXPENSE</v>
          </cell>
          <cell r="C431">
            <v>0</v>
          </cell>
          <cell r="D431">
            <v>268257.19</v>
          </cell>
          <cell r="E431">
            <v>364782.83</v>
          </cell>
          <cell r="F431">
            <v>460160.65</v>
          </cell>
          <cell r="G431">
            <v>368108.85</v>
          </cell>
          <cell r="H431">
            <v>371234.17</v>
          </cell>
          <cell r="I431">
            <v>569187.73</v>
          </cell>
          <cell r="J431">
            <v>539783.74</v>
          </cell>
          <cell r="K431">
            <v>527609.18999999994</v>
          </cell>
          <cell r="L431">
            <v>569012.88</v>
          </cell>
          <cell r="M431">
            <v>586382.6</v>
          </cell>
          <cell r="N431">
            <v>401266.02</v>
          </cell>
          <cell r="O431">
            <v>790961.73</v>
          </cell>
          <cell r="P431">
            <v>5816747.5800000001</v>
          </cell>
          <cell r="Q431">
            <v>5816747.5800000001</v>
          </cell>
        </row>
        <row r="432">
          <cell r="A432" t="str">
            <v>F90310E</v>
          </cell>
          <cell r="B432" t="str">
            <v>CUSTOMER RECORDS AND</v>
          </cell>
          <cell r="C432">
            <v>0</v>
          </cell>
          <cell r="D432">
            <v>683920.47</v>
          </cell>
          <cell r="E432">
            <v>888951.67</v>
          </cell>
          <cell r="F432">
            <v>707997.22</v>
          </cell>
          <cell r="G432">
            <v>606264.43000000005</v>
          </cell>
          <cell r="H432">
            <v>826575.81</v>
          </cell>
          <cell r="I432">
            <v>616514.57999999996</v>
          </cell>
          <cell r="J432">
            <v>701714.91</v>
          </cell>
          <cell r="K432">
            <v>996106.92</v>
          </cell>
          <cell r="L432">
            <v>843387.29</v>
          </cell>
          <cell r="M432">
            <v>1052185.17</v>
          </cell>
          <cell r="N432">
            <v>813265.24</v>
          </cell>
          <cell r="O432">
            <v>786806.92</v>
          </cell>
          <cell r="P432">
            <v>9523690.6300000008</v>
          </cell>
          <cell r="Q432">
            <v>9523690.6300000008</v>
          </cell>
        </row>
        <row r="433">
          <cell r="A433" t="str">
            <v>F90310G</v>
          </cell>
          <cell r="B433" t="str">
            <v>CUSTOMER RECORDS AND</v>
          </cell>
          <cell r="C433">
            <v>0</v>
          </cell>
          <cell r="D433">
            <v>363182.05</v>
          </cell>
          <cell r="E433">
            <v>465646.77</v>
          </cell>
          <cell r="F433">
            <v>370973.55</v>
          </cell>
          <cell r="G433">
            <v>318751.56</v>
          </cell>
          <cell r="H433">
            <v>434595.49</v>
          </cell>
          <cell r="I433">
            <v>324695.92</v>
          </cell>
          <cell r="J433">
            <v>370340.17</v>
          </cell>
          <cell r="K433">
            <v>526055.49</v>
          </cell>
          <cell r="L433">
            <v>445425.63</v>
          </cell>
          <cell r="M433">
            <v>552931.75</v>
          </cell>
          <cell r="N433">
            <v>433764.9</v>
          </cell>
          <cell r="O433">
            <v>416266.16</v>
          </cell>
          <cell r="P433">
            <v>5022629.4400000004</v>
          </cell>
          <cell r="Q433">
            <v>5022629.4400000004</v>
          </cell>
        </row>
        <row r="434">
          <cell r="A434" t="str">
            <v>F90320E</v>
          </cell>
          <cell r="B434" t="str">
            <v>CUSTOMER RECORDS AND</v>
          </cell>
          <cell r="C434">
            <v>0</v>
          </cell>
          <cell r="D434">
            <v>8317.89</v>
          </cell>
          <cell r="E434">
            <v>6683.61</v>
          </cell>
          <cell r="F434">
            <v>5556.65</v>
          </cell>
          <cell r="G434">
            <v>5398.66</v>
          </cell>
          <cell r="H434">
            <v>7009.22</v>
          </cell>
          <cell r="I434">
            <v>4755.66</v>
          </cell>
          <cell r="J434">
            <v>5454.65</v>
          </cell>
          <cell r="K434">
            <v>6300.21</v>
          </cell>
          <cell r="L434">
            <v>5326.02</v>
          </cell>
          <cell r="M434">
            <v>6627.83</v>
          </cell>
          <cell r="N434">
            <v>5347.64</v>
          </cell>
          <cell r="O434">
            <v>6163.42</v>
          </cell>
          <cell r="P434">
            <v>72941.460000000006</v>
          </cell>
          <cell r="Q434">
            <v>72941.460000000006</v>
          </cell>
        </row>
        <row r="435">
          <cell r="A435" t="str">
            <v>F90320G</v>
          </cell>
          <cell r="B435" t="str">
            <v>CUSTOMER RECORDS AND</v>
          </cell>
          <cell r="C435">
            <v>0</v>
          </cell>
          <cell r="D435">
            <v>4451.8599999999997</v>
          </cell>
          <cell r="E435">
            <v>3572.72</v>
          </cell>
          <cell r="F435">
            <v>2968.25</v>
          </cell>
          <cell r="G435">
            <v>2884.65</v>
          </cell>
          <cell r="H435">
            <v>3749.31</v>
          </cell>
          <cell r="I435">
            <v>2541.87</v>
          </cell>
          <cell r="J435">
            <v>2918.61</v>
          </cell>
          <cell r="K435">
            <v>3367.34</v>
          </cell>
          <cell r="L435">
            <v>2846.72</v>
          </cell>
          <cell r="M435">
            <v>3546.8</v>
          </cell>
          <cell r="N435">
            <v>2863.08</v>
          </cell>
          <cell r="O435">
            <v>3301.19</v>
          </cell>
          <cell r="P435">
            <v>39012.400000000009</v>
          </cell>
          <cell r="Q435">
            <v>39012.400000000009</v>
          </cell>
        </row>
        <row r="436">
          <cell r="A436" t="str">
            <v>F90330E</v>
          </cell>
          <cell r="B436" t="str">
            <v>CUSTOMER RECORDS AND</v>
          </cell>
          <cell r="C436">
            <v>0</v>
          </cell>
          <cell r="D436">
            <v>98833.2</v>
          </cell>
          <cell r="E436">
            <v>136066.66</v>
          </cell>
          <cell r="F436">
            <v>116831.03</v>
          </cell>
          <cell r="G436">
            <v>138938.28</v>
          </cell>
          <cell r="H436">
            <v>157978.46</v>
          </cell>
          <cell r="I436">
            <v>132439.60999999999</v>
          </cell>
          <cell r="J436">
            <v>121121.8</v>
          </cell>
          <cell r="K436">
            <v>174049.39</v>
          </cell>
          <cell r="L436">
            <v>128332.92</v>
          </cell>
          <cell r="M436">
            <v>146376</v>
          </cell>
          <cell r="N436">
            <v>114029.69</v>
          </cell>
          <cell r="O436">
            <v>132605.04999999999</v>
          </cell>
          <cell r="P436">
            <v>1597602.09</v>
          </cell>
          <cell r="Q436">
            <v>1597602.09</v>
          </cell>
        </row>
        <row r="437">
          <cell r="A437" t="str">
            <v>F90330G</v>
          </cell>
          <cell r="B437" t="str">
            <v>CUSTOMER RECORDS AND</v>
          </cell>
          <cell r="C437">
            <v>0</v>
          </cell>
          <cell r="D437">
            <v>52869.42</v>
          </cell>
          <cell r="E437">
            <v>72782.740000000005</v>
          </cell>
          <cell r="F437">
            <v>63699.64</v>
          </cell>
          <cell r="G437">
            <v>74313.98</v>
          </cell>
          <cell r="H437">
            <v>84496.68</v>
          </cell>
          <cell r="I437">
            <v>70841.11</v>
          </cell>
          <cell r="J437">
            <v>64780.800000000003</v>
          </cell>
          <cell r="K437">
            <v>93066.16</v>
          </cell>
          <cell r="L437">
            <v>68634.94</v>
          </cell>
          <cell r="M437">
            <v>78299.56</v>
          </cell>
          <cell r="N437">
            <v>60969.16</v>
          </cell>
          <cell r="O437">
            <v>70902.289999999994</v>
          </cell>
          <cell r="P437">
            <v>855656.4800000001</v>
          </cell>
          <cell r="Q437">
            <v>855656.4800000001</v>
          </cell>
        </row>
        <row r="438">
          <cell r="A438" t="str">
            <v>F90340E</v>
          </cell>
          <cell r="B438" t="str">
            <v>CUSTOMER RECORDS AND COLLECTION EXPENSE</v>
          </cell>
          <cell r="C438">
            <v>0</v>
          </cell>
          <cell r="D438">
            <v>29418.53</v>
          </cell>
          <cell r="E438">
            <v>33581.72</v>
          </cell>
          <cell r="F438">
            <v>105160.53</v>
          </cell>
          <cell r="G438">
            <v>26091.89</v>
          </cell>
          <cell r="H438">
            <v>34220.93</v>
          </cell>
          <cell r="I438">
            <v>22426.6</v>
          </cell>
          <cell r="J438">
            <v>14592.97</v>
          </cell>
          <cell r="K438">
            <v>22951.73</v>
          </cell>
          <cell r="L438">
            <v>18263.12</v>
          </cell>
          <cell r="M438">
            <v>22985.200000000001</v>
          </cell>
          <cell r="N438">
            <v>24072.2</v>
          </cell>
          <cell r="O438">
            <v>25481.79</v>
          </cell>
          <cell r="P438">
            <v>379247.20999999996</v>
          </cell>
          <cell r="Q438">
            <v>379247.20999999996</v>
          </cell>
        </row>
        <row r="439">
          <cell r="A439" t="str">
            <v>F90340G</v>
          </cell>
          <cell r="B439" t="str">
            <v>CUSTOMER RECORDS AND</v>
          </cell>
          <cell r="C439">
            <v>0</v>
          </cell>
          <cell r="D439">
            <v>15685.84</v>
          </cell>
          <cell r="E439">
            <v>18002.740000000002</v>
          </cell>
          <cell r="F439">
            <v>56240.52</v>
          </cell>
          <cell r="G439">
            <v>13957.38</v>
          </cell>
          <cell r="H439">
            <v>19199.5</v>
          </cell>
          <cell r="I439">
            <v>12008.21</v>
          </cell>
          <cell r="J439">
            <v>7745.61</v>
          </cell>
          <cell r="K439">
            <v>12273.35</v>
          </cell>
          <cell r="L439">
            <v>11187.64</v>
          </cell>
          <cell r="M439">
            <v>12304.46</v>
          </cell>
          <cell r="N439">
            <v>12855.06</v>
          </cell>
          <cell r="O439">
            <v>13589.91</v>
          </cell>
          <cell r="P439">
            <v>205050.21999999997</v>
          </cell>
          <cell r="Q439">
            <v>205050.21999999997</v>
          </cell>
        </row>
        <row r="440">
          <cell r="A440" t="str">
            <v>F90350E</v>
          </cell>
          <cell r="B440" t="str">
            <v>CUSTOMER RECORDS AND</v>
          </cell>
          <cell r="C440">
            <v>0</v>
          </cell>
          <cell r="D440">
            <v>82053.070000000007</v>
          </cell>
          <cell r="E440">
            <v>129674</v>
          </cell>
          <cell r="F440">
            <v>122466.49</v>
          </cell>
          <cell r="G440">
            <v>122853.15</v>
          </cell>
          <cell r="H440">
            <v>147877.14000000001</v>
          </cell>
          <cell r="I440">
            <v>109184.84</v>
          </cell>
          <cell r="J440">
            <v>113759.64</v>
          </cell>
          <cell r="K440">
            <v>159155.25</v>
          </cell>
          <cell r="L440">
            <v>147717.74</v>
          </cell>
          <cell r="M440">
            <v>169394.99</v>
          </cell>
          <cell r="N440">
            <v>159742.1</v>
          </cell>
          <cell r="O440">
            <v>134492.76999999999</v>
          </cell>
          <cell r="P440">
            <v>1598371.18</v>
          </cell>
          <cell r="Q440">
            <v>1598371.18</v>
          </cell>
        </row>
        <row r="441">
          <cell r="A441" t="str">
            <v>F90350G</v>
          </cell>
          <cell r="B441" t="str">
            <v>CUSTOMER RECORDS AND</v>
          </cell>
          <cell r="C441">
            <v>0</v>
          </cell>
          <cell r="D441">
            <v>39773.33</v>
          </cell>
          <cell r="E441">
            <v>64347.95</v>
          </cell>
          <cell r="F441">
            <v>60627.89</v>
          </cell>
          <cell r="G441">
            <v>60960.47</v>
          </cell>
          <cell r="H441">
            <v>73380.77</v>
          </cell>
          <cell r="I441">
            <v>54314.54</v>
          </cell>
          <cell r="J441">
            <v>60679.47</v>
          </cell>
          <cell r="K441">
            <v>85096.01</v>
          </cell>
          <cell r="L441">
            <v>79037.88</v>
          </cell>
          <cell r="M441">
            <v>90571.23</v>
          </cell>
          <cell r="N441">
            <v>85441.67</v>
          </cell>
          <cell r="O441">
            <v>71797.429999999993</v>
          </cell>
          <cell r="P441">
            <v>826028.6399999999</v>
          </cell>
          <cell r="Q441">
            <v>826028.6399999999</v>
          </cell>
        </row>
        <row r="442">
          <cell r="A442" t="str">
            <v>F90360E</v>
          </cell>
          <cell r="B442" t="str">
            <v>CUSTOMER RECORDS AND COLLECTION EXPENSE</v>
          </cell>
          <cell r="C442">
            <v>0</v>
          </cell>
          <cell r="D442">
            <v>0</v>
          </cell>
          <cell r="E442">
            <v>80.739999999999995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80.739999999999995</v>
          </cell>
          <cell r="Q442">
            <v>80.739999999999995</v>
          </cell>
        </row>
        <row r="443">
          <cell r="A443" t="str">
            <v>F90360G</v>
          </cell>
          <cell r="B443" t="str">
            <v>CUSTOMER RECORDS AND</v>
          </cell>
          <cell r="C443">
            <v>0</v>
          </cell>
          <cell r="D443">
            <v>0</v>
          </cell>
          <cell r="E443">
            <v>43.17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43.17</v>
          </cell>
          <cell r="Q443">
            <v>43.17</v>
          </cell>
        </row>
        <row r="444">
          <cell r="A444" t="str">
            <v>F90380E</v>
          </cell>
          <cell r="B444" t="str">
            <v>CUSTOMER RECORDS AND</v>
          </cell>
          <cell r="C444">
            <v>0</v>
          </cell>
          <cell r="D444">
            <v>16092.28</v>
          </cell>
          <cell r="E444">
            <v>20511.84</v>
          </cell>
          <cell r="F444">
            <v>16859.37</v>
          </cell>
          <cell r="G444">
            <v>18282.150000000001</v>
          </cell>
          <cell r="H444">
            <v>20444.169999999998</v>
          </cell>
          <cell r="I444">
            <v>14414.82</v>
          </cell>
          <cell r="J444">
            <v>12721.62</v>
          </cell>
          <cell r="K444">
            <v>22476.92</v>
          </cell>
          <cell r="L444">
            <v>18025.57</v>
          </cell>
          <cell r="M444">
            <v>20367.810000000001</v>
          </cell>
          <cell r="N444">
            <v>17972.900000000001</v>
          </cell>
          <cell r="O444">
            <v>16951.63</v>
          </cell>
          <cell r="P444">
            <v>215121.08</v>
          </cell>
          <cell r="Q444">
            <v>215121.08</v>
          </cell>
        </row>
        <row r="445">
          <cell r="A445" t="str">
            <v>F90380G</v>
          </cell>
          <cell r="B445" t="str">
            <v>CUSTOMER RECORDS AND</v>
          </cell>
          <cell r="C445">
            <v>0</v>
          </cell>
          <cell r="D445">
            <v>8608.77</v>
          </cell>
          <cell r="E445">
            <v>10970.83</v>
          </cell>
          <cell r="F445">
            <v>9016.92</v>
          </cell>
          <cell r="G445">
            <v>9776.8700000000008</v>
          </cell>
          <cell r="H445">
            <v>10933.59</v>
          </cell>
          <cell r="I445">
            <v>7709.99</v>
          </cell>
          <cell r="J445">
            <v>6805.49</v>
          </cell>
          <cell r="K445">
            <v>12032.45</v>
          </cell>
          <cell r="L445">
            <v>9642.7000000000007</v>
          </cell>
          <cell r="M445">
            <v>10897.76</v>
          </cell>
          <cell r="N445">
            <v>9592.6299999999992</v>
          </cell>
          <cell r="O445">
            <v>9078.5400000000009</v>
          </cell>
          <cell r="P445">
            <v>115066.53999999998</v>
          </cell>
          <cell r="Q445">
            <v>115066.53999999998</v>
          </cell>
        </row>
        <row r="446">
          <cell r="A446" t="str">
            <v>F90400E</v>
          </cell>
          <cell r="B446" t="str">
            <v>UNCOLLECTIBLE ACCOUNTS</v>
          </cell>
          <cell r="C446">
            <v>0</v>
          </cell>
          <cell r="D446">
            <v>240123.1</v>
          </cell>
          <cell r="E446">
            <v>278268.81</v>
          </cell>
          <cell r="F446">
            <v>125524</v>
          </cell>
          <cell r="G446">
            <v>161172.07</v>
          </cell>
          <cell r="H446">
            <v>115648.33</v>
          </cell>
          <cell r="I446">
            <v>171684.24</v>
          </cell>
          <cell r="J446">
            <v>234796.44</v>
          </cell>
          <cell r="K446">
            <v>166771.87</v>
          </cell>
          <cell r="L446">
            <v>209407</v>
          </cell>
          <cell r="M446">
            <v>216495.15</v>
          </cell>
          <cell r="N446">
            <v>186363.7</v>
          </cell>
          <cell r="O446">
            <v>2877248</v>
          </cell>
          <cell r="P446">
            <v>4983502.71</v>
          </cell>
          <cell r="Q446">
            <v>4983502.71</v>
          </cell>
        </row>
        <row r="447">
          <cell r="A447" t="str">
            <v>F90400G</v>
          </cell>
          <cell r="B447" t="str">
            <v>UNCOLLECTIBLE ACCOUNTS</v>
          </cell>
          <cell r="C447">
            <v>0</v>
          </cell>
          <cell r="D447">
            <v>53540</v>
          </cell>
          <cell r="E447">
            <v>57873.79</v>
          </cell>
          <cell r="F447">
            <v>27848</v>
          </cell>
          <cell r="G447">
            <v>37812</v>
          </cell>
          <cell r="H447">
            <v>21545.83</v>
          </cell>
          <cell r="I447">
            <v>38690</v>
          </cell>
          <cell r="J447">
            <v>52047</v>
          </cell>
          <cell r="K447">
            <v>37096</v>
          </cell>
          <cell r="L447">
            <v>46408</v>
          </cell>
          <cell r="M447">
            <v>45596</v>
          </cell>
          <cell r="N447">
            <v>36455.08</v>
          </cell>
          <cell r="O447">
            <v>377018</v>
          </cell>
          <cell r="P447">
            <v>831929.7</v>
          </cell>
          <cell r="Q447">
            <v>831929.7</v>
          </cell>
        </row>
        <row r="448">
          <cell r="A448" t="str">
            <v>F90500E</v>
          </cell>
          <cell r="B448" t="str">
            <v>MISCELLANEOUS CUSTOMER ACCOUNTS EXPENSE</v>
          </cell>
          <cell r="C448">
            <v>0</v>
          </cell>
          <cell r="D448">
            <v>14167.37</v>
          </cell>
          <cell r="E448">
            <v>8130.9</v>
          </cell>
          <cell r="F448">
            <v>3160</v>
          </cell>
          <cell r="G448">
            <v>16657.080000000002</v>
          </cell>
          <cell r="H448">
            <v>86.15</v>
          </cell>
          <cell r="I448">
            <v>7937.04</v>
          </cell>
          <cell r="J448">
            <v>21913.81</v>
          </cell>
          <cell r="K448">
            <v>10189.64</v>
          </cell>
          <cell r="L448">
            <v>608.16</v>
          </cell>
          <cell r="M448">
            <v>23187.67</v>
          </cell>
          <cell r="N448">
            <v>10632.33</v>
          </cell>
          <cell r="O448">
            <v>5205.75</v>
          </cell>
          <cell r="P448">
            <v>121875.90000000001</v>
          </cell>
          <cell r="Q448">
            <v>121875.90000000001</v>
          </cell>
        </row>
        <row r="449">
          <cell r="A449" t="str">
            <v>F90500G</v>
          </cell>
          <cell r="B449" t="str">
            <v>MISCELLANEOUS CUSTOMER ACCOUNTS EXPENSE</v>
          </cell>
          <cell r="C449">
            <v>0</v>
          </cell>
          <cell r="D449">
            <v>298.63</v>
          </cell>
          <cell r="E449">
            <v>175.84</v>
          </cell>
          <cell r="F449">
            <v>475.64</v>
          </cell>
          <cell r="G449">
            <v>419.81</v>
          </cell>
          <cell r="H449">
            <v>68.3</v>
          </cell>
          <cell r="I449">
            <v>382.32</v>
          </cell>
          <cell r="J449">
            <v>531.67999999999995</v>
          </cell>
          <cell r="K449">
            <v>403.75</v>
          </cell>
          <cell r="L449">
            <v>329.06</v>
          </cell>
          <cell r="M449">
            <v>1093.46</v>
          </cell>
          <cell r="N449">
            <v>12.8</v>
          </cell>
          <cell r="O449">
            <v>911.64</v>
          </cell>
          <cell r="P449">
            <v>5102.93</v>
          </cell>
          <cell r="Q449">
            <v>5102.93</v>
          </cell>
        </row>
        <row r="450">
          <cell r="A450" t="str">
            <v>F90700C</v>
          </cell>
          <cell r="B450" t="str">
            <v>SUPERVISION</v>
          </cell>
          <cell r="C450">
            <v>0</v>
          </cell>
          <cell r="D450">
            <v>251.98</v>
          </cell>
          <cell r="E450">
            <v>-3261</v>
          </cell>
          <cell r="F450">
            <v>3344.6</v>
          </cell>
          <cell r="G450">
            <v>46.44</v>
          </cell>
          <cell r="H450">
            <v>-121.06</v>
          </cell>
          <cell r="I450">
            <v>86.28</v>
          </cell>
          <cell r="J450">
            <v>237.14</v>
          </cell>
          <cell r="K450">
            <v>148.96</v>
          </cell>
          <cell r="L450">
            <v>215.5</v>
          </cell>
          <cell r="M450">
            <v>77.52</v>
          </cell>
          <cell r="N450">
            <v>121.44</v>
          </cell>
          <cell r="O450">
            <v>-5149.03</v>
          </cell>
          <cell r="P450">
            <v>-4001.2299999999996</v>
          </cell>
          <cell r="Q450">
            <v>-4001.2299999999996</v>
          </cell>
        </row>
        <row r="451">
          <cell r="A451" t="str">
            <v>F90700E</v>
          </cell>
          <cell r="B451" t="str">
            <v>SUPERVISION</v>
          </cell>
          <cell r="C451">
            <v>0</v>
          </cell>
          <cell r="D451">
            <v>14250.23</v>
          </cell>
          <cell r="E451">
            <v>24126.39</v>
          </cell>
          <cell r="F451">
            <v>16491.34</v>
          </cell>
          <cell r="G451">
            <v>66264.34</v>
          </cell>
          <cell r="H451">
            <v>35104.14</v>
          </cell>
          <cell r="I451">
            <v>34129.83</v>
          </cell>
          <cell r="J451">
            <v>22458.73</v>
          </cell>
          <cell r="K451">
            <v>29609.69</v>
          </cell>
          <cell r="L451">
            <v>62357.16</v>
          </cell>
          <cell r="M451">
            <v>21339.65</v>
          </cell>
          <cell r="N451">
            <v>16931.669999999998</v>
          </cell>
          <cell r="O451">
            <v>28194.85</v>
          </cell>
          <cell r="P451">
            <v>371258.02</v>
          </cell>
          <cell r="Q451">
            <v>371258.02</v>
          </cell>
        </row>
        <row r="452">
          <cell r="A452" t="str">
            <v>F90700G</v>
          </cell>
          <cell r="B452" t="str">
            <v>SUPERVISION</v>
          </cell>
          <cell r="C452">
            <v>0</v>
          </cell>
          <cell r="D452">
            <v>3373.18</v>
          </cell>
          <cell r="E452">
            <v>4754.71</v>
          </cell>
          <cell r="F452">
            <v>2939.47</v>
          </cell>
          <cell r="G452">
            <v>11804.16</v>
          </cell>
          <cell r="H452">
            <v>6194.86</v>
          </cell>
          <cell r="I452">
            <v>6037.18</v>
          </cell>
          <cell r="J452">
            <v>4196.41</v>
          </cell>
          <cell r="K452">
            <v>5225.22</v>
          </cell>
          <cell r="L452">
            <v>4546.26</v>
          </cell>
          <cell r="M452">
            <v>3765.84</v>
          </cell>
          <cell r="N452">
            <v>2987.96</v>
          </cell>
          <cell r="O452">
            <v>5325.79</v>
          </cell>
          <cell r="P452">
            <v>61151.040000000008</v>
          </cell>
          <cell r="Q452">
            <v>61151.040000000008</v>
          </cell>
        </row>
        <row r="453">
          <cell r="A453" t="str">
            <v>F90710C</v>
          </cell>
          <cell r="B453" t="str">
            <v>SUPERVISION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1015.74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1015.74</v>
          </cell>
          <cell r="Q453">
            <v>1015.74</v>
          </cell>
        </row>
        <row r="454">
          <cell r="A454" t="str">
            <v>F90800C</v>
          </cell>
          <cell r="B454" t="str">
            <v>CUSTOMER ASSISTANCE EXPENSES</v>
          </cell>
          <cell r="C454">
            <v>0</v>
          </cell>
          <cell r="D454">
            <v>464.85</v>
          </cell>
          <cell r="E454">
            <v>105.13</v>
          </cell>
          <cell r="F454">
            <v>1125.8800000000001</v>
          </cell>
          <cell r="G454">
            <v>2248.9899999999998</v>
          </cell>
          <cell r="H454">
            <v>1256.55</v>
          </cell>
          <cell r="I454">
            <v>419.58</v>
          </cell>
          <cell r="J454">
            <v>878.34</v>
          </cell>
          <cell r="K454">
            <v>21695.86</v>
          </cell>
          <cell r="L454">
            <v>702.53</v>
          </cell>
          <cell r="M454">
            <v>897.4</v>
          </cell>
          <cell r="N454">
            <v>467.07</v>
          </cell>
          <cell r="O454">
            <v>1677.38</v>
          </cell>
          <cell r="P454">
            <v>31939.56</v>
          </cell>
          <cell r="Q454">
            <v>31939.56</v>
          </cell>
        </row>
        <row r="455">
          <cell r="A455" t="str">
            <v>F90800E</v>
          </cell>
          <cell r="B455" t="str">
            <v>CUSTOMER ASSISTANCE EXPENSES</v>
          </cell>
          <cell r="C455">
            <v>0</v>
          </cell>
          <cell r="D455">
            <v>-2549077.7999999998</v>
          </cell>
          <cell r="E455">
            <v>1857448.45</v>
          </cell>
          <cell r="F455">
            <v>2775975.83</v>
          </cell>
          <cell r="G455">
            <v>1297779.51</v>
          </cell>
          <cell r="H455">
            <v>1314466.6200000001</v>
          </cell>
          <cell r="I455">
            <v>1219452.6000000001</v>
          </cell>
          <cell r="J455">
            <v>1643367.52</v>
          </cell>
          <cell r="K455">
            <v>2181025.08</v>
          </cell>
          <cell r="L455">
            <v>2041229.75</v>
          </cell>
          <cell r="M455">
            <v>2197457.14</v>
          </cell>
          <cell r="N455">
            <v>1257752.81</v>
          </cell>
          <cell r="O455">
            <v>13476042.91</v>
          </cell>
          <cell r="P455">
            <v>28712920.420000002</v>
          </cell>
          <cell r="Q455">
            <v>28712920.420000002</v>
          </cell>
        </row>
        <row r="456">
          <cell r="A456" t="str">
            <v>F90800G</v>
          </cell>
          <cell r="B456" t="str">
            <v>CUSTOMER ASSISTANCE EXPENSES</v>
          </cell>
          <cell r="C456">
            <v>0</v>
          </cell>
          <cell r="D456">
            <v>-278952.55</v>
          </cell>
          <cell r="E456">
            <v>273898.58</v>
          </cell>
          <cell r="F456">
            <v>650695.97</v>
          </cell>
          <cell r="G456">
            <v>381295.35999999999</v>
          </cell>
          <cell r="H456">
            <v>412645.41</v>
          </cell>
          <cell r="I456">
            <v>545103.59</v>
          </cell>
          <cell r="J456">
            <v>691379.15</v>
          </cell>
          <cell r="K456">
            <v>870746.93</v>
          </cell>
          <cell r="L456">
            <v>405406.24</v>
          </cell>
          <cell r="M456">
            <v>841725.57</v>
          </cell>
          <cell r="N456">
            <v>853417.99</v>
          </cell>
          <cell r="O456">
            <v>3307737.88</v>
          </cell>
          <cell r="P456">
            <v>8955100.120000001</v>
          </cell>
          <cell r="Q456">
            <v>8955100.120000001</v>
          </cell>
        </row>
        <row r="457">
          <cell r="A457" t="str">
            <v>F90900C</v>
          </cell>
          <cell r="B457" t="str">
            <v>INFORMATIONAL AND INSTRUCTIONAL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130.47999999999999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130.47999999999999</v>
          </cell>
          <cell r="Q457">
            <v>130.47999999999999</v>
          </cell>
        </row>
        <row r="458">
          <cell r="A458" t="str">
            <v>F91000C</v>
          </cell>
          <cell r="B458" t="str">
            <v>MISCELLANEOUS CUSTOMER SERV AND INFORMA</v>
          </cell>
          <cell r="C458">
            <v>0</v>
          </cell>
          <cell r="D458">
            <v>15147.2</v>
          </cell>
          <cell r="E458">
            <v>11.06</v>
          </cell>
          <cell r="F458">
            <v>144.62</v>
          </cell>
          <cell r="G458">
            <v>-12980.26</v>
          </cell>
          <cell r="H458">
            <v>386.18</v>
          </cell>
          <cell r="I458">
            <v>252.69</v>
          </cell>
          <cell r="J458">
            <v>98.73</v>
          </cell>
          <cell r="K458">
            <v>153.08000000000001</v>
          </cell>
          <cell r="L458">
            <v>287.14</v>
          </cell>
          <cell r="M458">
            <v>65.680000000000007</v>
          </cell>
          <cell r="N458">
            <v>409.58</v>
          </cell>
          <cell r="O458">
            <v>535.04999999999995</v>
          </cell>
          <cell r="P458">
            <v>4510.75</v>
          </cell>
          <cell r="Q458">
            <v>4510.75</v>
          </cell>
        </row>
        <row r="459">
          <cell r="A459" t="str">
            <v>F91000E</v>
          </cell>
          <cell r="B459" t="str">
            <v>MISCELLANEOUS CUSTOMER SERV AND INFORMA</v>
          </cell>
          <cell r="C459">
            <v>0</v>
          </cell>
          <cell r="D459">
            <v>232790.29</v>
          </cell>
          <cell r="E459">
            <v>187418.59</v>
          </cell>
          <cell r="F459">
            <v>113637.63</v>
          </cell>
          <cell r="G459">
            <v>105474.45</v>
          </cell>
          <cell r="H459">
            <v>117802.67</v>
          </cell>
          <cell r="I459">
            <v>-1347290.2</v>
          </cell>
          <cell r="J459">
            <v>144411.69</v>
          </cell>
          <cell r="K459">
            <v>230485.11</v>
          </cell>
          <cell r="L459">
            <v>565015.96</v>
          </cell>
          <cell r="M459">
            <v>422179.61</v>
          </cell>
          <cell r="N459">
            <v>517866.15</v>
          </cell>
          <cell r="O459">
            <v>959420.74</v>
          </cell>
          <cell r="P459">
            <v>2249212.6900000004</v>
          </cell>
          <cell r="Q459">
            <v>2249212.6900000004</v>
          </cell>
        </row>
        <row r="460">
          <cell r="A460" t="str">
            <v>F91000G</v>
          </cell>
          <cell r="B460" t="str">
            <v>MISCELLANEOUS CUSTOMER SERV AND INFORMA</v>
          </cell>
          <cell r="C460">
            <v>0</v>
          </cell>
          <cell r="D460">
            <v>26021.9</v>
          </cell>
          <cell r="E460">
            <v>24321.91</v>
          </cell>
          <cell r="F460">
            <v>28772.23</v>
          </cell>
          <cell r="G460">
            <v>-7531.51</v>
          </cell>
          <cell r="H460">
            <v>55555.25</v>
          </cell>
          <cell r="I460">
            <v>54170.37</v>
          </cell>
          <cell r="J460">
            <v>27031.59</v>
          </cell>
          <cell r="K460">
            <v>530.54</v>
          </cell>
          <cell r="L460">
            <v>61146.71</v>
          </cell>
          <cell r="M460">
            <v>57543.44</v>
          </cell>
          <cell r="N460">
            <v>32941.94</v>
          </cell>
          <cell r="O460">
            <v>113351.23</v>
          </cell>
          <cell r="P460">
            <v>473855.6</v>
          </cell>
          <cell r="Q460">
            <v>473855.6</v>
          </cell>
        </row>
        <row r="461">
          <cell r="A461" t="str">
            <v>F91020C</v>
          </cell>
          <cell r="B461" t="str">
            <v>MISCELLANEOUS CUSTOMER SERV AND INFORMA</v>
          </cell>
          <cell r="C461">
            <v>0</v>
          </cell>
          <cell r="D461">
            <v>216.26</v>
          </cell>
          <cell r="E461">
            <v>99</v>
          </cell>
          <cell r="F461">
            <v>29.72</v>
          </cell>
          <cell r="G461">
            <v>0</v>
          </cell>
          <cell r="H461">
            <v>0</v>
          </cell>
          <cell r="I461">
            <v>60.28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229.56</v>
          </cell>
          <cell r="P461">
            <v>634.81999999999994</v>
          </cell>
          <cell r="Q461">
            <v>634.81999999999994</v>
          </cell>
        </row>
        <row r="462">
          <cell r="A462" t="str">
            <v>F91020E</v>
          </cell>
          <cell r="B462" t="str">
            <v>MISC CUSTOMER SERVIC</v>
          </cell>
          <cell r="C462">
            <v>0</v>
          </cell>
          <cell r="D462">
            <v>2004</v>
          </cell>
          <cell r="E462">
            <v>2732</v>
          </cell>
          <cell r="F462">
            <v>2240</v>
          </cell>
          <cell r="G462">
            <v>2491.11</v>
          </cell>
          <cell r="H462">
            <v>2810</v>
          </cell>
          <cell r="I462">
            <v>2162</v>
          </cell>
          <cell r="J462">
            <v>2162</v>
          </cell>
          <cell r="K462">
            <v>2850</v>
          </cell>
          <cell r="L462">
            <v>2162</v>
          </cell>
          <cell r="M462">
            <v>2850</v>
          </cell>
          <cell r="N462">
            <v>2044</v>
          </cell>
          <cell r="O462">
            <v>2162</v>
          </cell>
          <cell r="P462">
            <v>28669.11</v>
          </cell>
          <cell r="Q462">
            <v>28669.11</v>
          </cell>
        </row>
        <row r="463">
          <cell r="A463" t="str">
            <v>F91200C</v>
          </cell>
          <cell r="B463" t="str">
            <v>DEMONSTRATING AND SELLING EXPENSES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4.08</v>
          </cell>
          <cell r="L463">
            <v>0</v>
          </cell>
          <cell r="M463">
            <v>0</v>
          </cell>
          <cell r="N463">
            <v>0.98</v>
          </cell>
          <cell r="O463">
            <v>0</v>
          </cell>
          <cell r="P463">
            <v>5.0600000000000005</v>
          </cell>
          <cell r="Q463">
            <v>5.0600000000000005</v>
          </cell>
        </row>
        <row r="464">
          <cell r="A464" t="str">
            <v>F91200E</v>
          </cell>
          <cell r="B464" t="str">
            <v>DEMONSTRATING AND SELLING EXPENSES</v>
          </cell>
          <cell r="C464">
            <v>0</v>
          </cell>
          <cell r="D464">
            <v>383.18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383.18</v>
          </cell>
          <cell r="Q464">
            <v>383.18</v>
          </cell>
        </row>
        <row r="465">
          <cell r="A465" t="str">
            <v>F91300C</v>
          </cell>
          <cell r="B465" t="str">
            <v>ADVERTISING EXPENSES</v>
          </cell>
          <cell r="C465">
            <v>0</v>
          </cell>
          <cell r="D465">
            <v>0</v>
          </cell>
          <cell r="E465">
            <v>758.61</v>
          </cell>
          <cell r="F465">
            <v>444.12</v>
          </cell>
          <cell r="G465">
            <v>309.89</v>
          </cell>
          <cell r="H465">
            <v>0</v>
          </cell>
          <cell r="I465">
            <v>0</v>
          </cell>
          <cell r="J465">
            <v>316.12</v>
          </cell>
          <cell r="K465">
            <v>206.83</v>
          </cell>
          <cell r="L465">
            <v>0</v>
          </cell>
          <cell r="M465">
            <v>308.02999999999997</v>
          </cell>
          <cell r="N465">
            <v>-25.75</v>
          </cell>
          <cell r="O465">
            <v>0</v>
          </cell>
          <cell r="P465">
            <v>2317.8499999999995</v>
          </cell>
          <cell r="Q465">
            <v>2317.8499999999995</v>
          </cell>
        </row>
        <row r="466">
          <cell r="A466" t="str">
            <v>F92000C</v>
          </cell>
          <cell r="B466" t="str">
            <v>ADMINISTRATIVE AND GENERAL SALARIES</v>
          </cell>
          <cell r="C466">
            <v>0</v>
          </cell>
          <cell r="D466">
            <v>-511053.52</v>
          </cell>
          <cell r="E466">
            <v>-228219</v>
          </cell>
          <cell r="F466">
            <v>1976687</v>
          </cell>
          <cell r="G466">
            <v>-270260.7</v>
          </cell>
          <cell r="H466">
            <v>-208190.3</v>
          </cell>
          <cell r="I466">
            <v>-5154757</v>
          </cell>
          <cell r="J466">
            <v>68044.61</v>
          </cell>
          <cell r="K466">
            <v>67609.61</v>
          </cell>
          <cell r="L466">
            <v>-1179390.3899999999</v>
          </cell>
          <cell r="M466">
            <v>483276.27</v>
          </cell>
          <cell r="N466">
            <v>483276.27</v>
          </cell>
          <cell r="O466">
            <v>-1799968.72</v>
          </cell>
          <cell r="P466">
            <v>-6272945.8699999982</v>
          </cell>
          <cell r="Q466">
            <v>-6272945.8699999982</v>
          </cell>
        </row>
        <row r="467">
          <cell r="A467" t="str">
            <v>F92000E</v>
          </cell>
          <cell r="B467" t="str">
            <v>ADMINISTRATIVE AND GENERAL SALARIES</v>
          </cell>
          <cell r="C467">
            <v>0</v>
          </cell>
          <cell r="D467">
            <v>568656.35</v>
          </cell>
          <cell r="E467">
            <v>785203.77</v>
          </cell>
          <cell r="F467">
            <v>619402.99</v>
          </cell>
          <cell r="G467">
            <v>624083.22</v>
          </cell>
          <cell r="H467">
            <v>733589.08</v>
          </cell>
          <cell r="I467">
            <v>543406.05000000005</v>
          </cell>
          <cell r="J467">
            <v>522712.59</v>
          </cell>
          <cell r="K467">
            <v>715101.57</v>
          </cell>
          <cell r="L467">
            <v>591213.11</v>
          </cell>
          <cell r="M467">
            <v>733948.13</v>
          </cell>
          <cell r="N467">
            <v>562294.19999999995</v>
          </cell>
          <cell r="O467">
            <v>511338.68</v>
          </cell>
          <cell r="P467">
            <v>7510949.7400000002</v>
          </cell>
          <cell r="Q467">
            <v>7510949.7400000002</v>
          </cell>
        </row>
        <row r="468">
          <cell r="A468" t="str">
            <v>F92000G</v>
          </cell>
          <cell r="B468" t="str">
            <v>ADMINISTRATIVE AND GENERAL SALARIES</v>
          </cell>
          <cell r="C468">
            <v>0</v>
          </cell>
          <cell r="D468">
            <v>182209.56</v>
          </cell>
          <cell r="E468">
            <v>251507.66</v>
          </cell>
          <cell r="F468">
            <v>199501.17</v>
          </cell>
          <cell r="G468">
            <v>201257.02</v>
          </cell>
          <cell r="H468">
            <v>235832.72</v>
          </cell>
          <cell r="I468">
            <v>174991.56</v>
          </cell>
          <cell r="J468">
            <v>168340.44</v>
          </cell>
          <cell r="K468">
            <v>230187.81</v>
          </cell>
          <cell r="L468">
            <v>190417.55</v>
          </cell>
          <cell r="M468">
            <v>236577.26</v>
          </cell>
          <cell r="N468">
            <v>180858.88</v>
          </cell>
          <cell r="O468">
            <v>164684.1</v>
          </cell>
          <cell r="P468">
            <v>2416365.7300000004</v>
          </cell>
          <cell r="Q468">
            <v>2416365.7300000004</v>
          </cell>
        </row>
        <row r="469">
          <cell r="A469" t="str">
            <v>F92100C</v>
          </cell>
          <cell r="B469" t="str">
            <v>OFFICE SUPPLIES AND EXPENSES</v>
          </cell>
          <cell r="C469">
            <v>0</v>
          </cell>
          <cell r="D469">
            <v>1258269.46</v>
          </cell>
          <cell r="E469">
            <v>-3387153.58</v>
          </cell>
          <cell r="F469">
            <v>366407.51</v>
          </cell>
          <cell r="G469">
            <v>-45369.05</v>
          </cell>
          <cell r="H469">
            <v>84698.34</v>
          </cell>
          <cell r="I469">
            <v>-29194.92</v>
          </cell>
          <cell r="J469">
            <v>400668.31</v>
          </cell>
          <cell r="K469">
            <v>-673359.77</v>
          </cell>
          <cell r="L469">
            <v>1114650.79</v>
          </cell>
          <cell r="M469">
            <v>-3402952.72</v>
          </cell>
          <cell r="N469">
            <v>3908138.61</v>
          </cell>
          <cell r="O469">
            <v>-2082809.56</v>
          </cell>
          <cell r="P469">
            <v>-2488006.58</v>
          </cell>
          <cell r="Q469">
            <v>-2488006.58</v>
          </cell>
        </row>
        <row r="470">
          <cell r="A470" t="str">
            <v>F92100E</v>
          </cell>
          <cell r="B470" t="str">
            <v>OFFICE SUPPLIES AND EXPENSES</v>
          </cell>
          <cell r="C470">
            <v>0</v>
          </cell>
          <cell r="D470">
            <v>9145942.2699999996</v>
          </cell>
          <cell r="E470">
            <v>5014685.03</v>
          </cell>
          <cell r="F470">
            <v>3168254.41</v>
          </cell>
          <cell r="G470">
            <v>4275105.8</v>
          </cell>
          <cell r="H470">
            <v>4490417.3099999996</v>
          </cell>
          <cell r="I470">
            <v>5693902.8799999999</v>
          </cell>
          <cell r="J470">
            <v>4604208.97</v>
          </cell>
          <cell r="K470">
            <v>6052842.6399999997</v>
          </cell>
          <cell r="L470">
            <v>2933688.29</v>
          </cell>
          <cell r="M470">
            <v>5113761.42</v>
          </cell>
          <cell r="N470">
            <v>2052625.69</v>
          </cell>
          <cell r="O470">
            <v>-10825977.26</v>
          </cell>
          <cell r="P470">
            <v>41719457.450000003</v>
          </cell>
          <cell r="Q470">
            <v>41719457.450000003</v>
          </cell>
        </row>
        <row r="471">
          <cell r="A471" t="str">
            <v>F92100G</v>
          </cell>
          <cell r="B471" t="str">
            <v>OFFICE SUPPLIES AND EXPENSES</v>
          </cell>
          <cell r="C471">
            <v>0</v>
          </cell>
          <cell r="D471">
            <v>2940894.1</v>
          </cell>
          <cell r="E471">
            <v>1622946.62</v>
          </cell>
          <cell r="F471">
            <v>1022315.21</v>
          </cell>
          <cell r="G471">
            <v>1377425.34</v>
          </cell>
          <cell r="H471">
            <v>1448755.14</v>
          </cell>
          <cell r="I471">
            <v>1835918.97</v>
          </cell>
          <cell r="J471">
            <v>1485097.33</v>
          </cell>
          <cell r="K471">
            <v>1951540.94</v>
          </cell>
          <cell r="L471">
            <v>943005.65</v>
          </cell>
          <cell r="M471">
            <v>1647182.92</v>
          </cell>
          <cell r="N471">
            <v>661527.75</v>
          </cell>
          <cell r="O471">
            <v>-3495237.23</v>
          </cell>
          <cell r="P471">
            <v>13441372.739999998</v>
          </cell>
          <cell r="Q471">
            <v>13441372.739999998</v>
          </cell>
        </row>
        <row r="472">
          <cell r="A472" t="str">
            <v>F92101C</v>
          </cell>
          <cell r="B472" t="str">
            <v>OFFICE SUPPLIES AND EXPENSES - FLOW ADJ</v>
          </cell>
          <cell r="C472">
            <v>0</v>
          </cell>
          <cell r="D472">
            <v>-1763.86</v>
          </cell>
          <cell r="E472">
            <v>309.16000000000003</v>
          </cell>
          <cell r="F472">
            <v>-283.36</v>
          </cell>
          <cell r="G472">
            <v>42.5</v>
          </cell>
          <cell r="H472">
            <v>-10210.799999999999</v>
          </cell>
          <cell r="I472">
            <v>7661.58</v>
          </cell>
          <cell r="J472">
            <v>2932.9</v>
          </cell>
          <cell r="K472">
            <v>1686.35</v>
          </cell>
          <cell r="L472">
            <v>-13306.11</v>
          </cell>
          <cell r="M472">
            <v>19422.89</v>
          </cell>
          <cell r="N472">
            <v>21462.799999999999</v>
          </cell>
          <cell r="O472">
            <v>2322.15</v>
          </cell>
          <cell r="P472">
            <v>30276.2</v>
          </cell>
          <cell r="Q472">
            <v>30276.2</v>
          </cell>
        </row>
        <row r="473">
          <cell r="A473" t="str">
            <v>F92120E</v>
          </cell>
          <cell r="B473" t="str">
            <v>OFFICE SUPPLIES AND EXPENSES</v>
          </cell>
          <cell r="C473">
            <v>0</v>
          </cell>
          <cell r="D473">
            <v>299.45999999999998</v>
          </cell>
          <cell r="E473">
            <v>0</v>
          </cell>
          <cell r="F473">
            <v>0</v>
          </cell>
          <cell r="G473">
            <v>0</v>
          </cell>
          <cell r="H473">
            <v>299.39999999999998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598.8599999999999</v>
          </cell>
          <cell r="Q473">
            <v>598.8599999999999</v>
          </cell>
        </row>
        <row r="474">
          <cell r="A474" t="str">
            <v>F92120G</v>
          </cell>
          <cell r="B474" t="str">
            <v>OFFICE SUPPLIES AND</v>
          </cell>
          <cell r="C474">
            <v>0</v>
          </cell>
          <cell r="D474">
            <v>96.54</v>
          </cell>
          <cell r="E474">
            <v>0</v>
          </cell>
          <cell r="F474">
            <v>0</v>
          </cell>
          <cell r="G474">
            <v>0</v>
          </cell>
          <cell r="H474">
            <v>96.52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193.06</v>
          </cell>
          <cell r="Q474">
            <v>193.06</v>
          </cell>
        </row>
        <row r="475">
          <cell r="A475" t="str">
            <v>F92140C</v>
          </cell>
          <cell r="B475" t="str">
            <v>OFFICE SUPPLIES AND EXPENSES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-79170.039999999994</v>
          </cell>
          <cell r="H475">
            <v>79170.080000000002</v>
          </cell>
          <cell r="I475">
            <v>0</v>
          </cell>
          <cell r="J475">
            <v>0.14000000000000001</v>
          </cell>
          <cell r="K475">
            <v>-0.14000000000000001</v>
          </cell>
          <cell r="L475">
            <v>0</v>
          </cell>
          <cell r="M475">
            <v>0</v>
          </cell>
          <cell r="N475">
            <v>-3552.05</v>
          </cell>
          <cell r="O475">
            <v>1259261.97</v>
          </cell>
          <cell r="P475">
            <v>1255709.96</v>
          </cell>
          <cell r="Q475">
            <v>1255709.96</v>
          </cell>
        </row>
        <row r="476">
          <cell r="A476" t="str">
            <v>F92140E</v>
          </cell>
          <cell r="B476" t="str">
            <v>OFFICE SUPPLIES AND EXPENSES</v>
          </cell>
          <cell r="C476">
            <v>0</v>
          </cell>
          <cell r="D476">
            <v>-14697</v>
          </cell>
          <cell r="E476">
            <v>-14695.95</v>
          </cell>
          <cell r="F476">
            <v>-166611.65</v>
          </cell>
          <cell r="G476">
            <v>45172</v>
          </cell>
          <cell r="H476">
            <v>-7415</v>
          </cell>
          <cell r="I476">
            <v>-43105.08</v>
          </cell>
          <cell r="J476">
            <v>-14697</v>
          </cell>
          <cell r="K476">
            <v>-14696.89</v>
          </cell>
          <cell r="L476">
            <v>-14697.08</v>
          </cell>
          <cell r="M476">
            <v>-9400.64</v>
          </cell>
          <cell r="N476">
            <v>-12222.2</v>
          </cell>
          <cell r="O476">
            <v>-17236.75</v>
          </cell>
          <cell r="P476">
            <v>-284303.24</v>
          </cell>
          <cell r="Q476">
            <v>-284303.24</v>
          </cell>
        </row>
        <row r="477">
          <cell r="A477" t="str">
            <v>F92140G</v>
          </cell>
          <cell r="B477" t="str">
            <v>OFFICE SUPPLIES AND</v>
          </cell>
          <cell r="C477">
            <v>0</v>
          </cell>
          <cell r="D477">
            <v>-4738</v>
          </cell>
          <cell r="E477">
            <v>-4737.66</v>
          </cell>
          <cell r="F477">
            <v>-53716.28</v>
          </cell>
          <cell r="G477">
            <v>14563</v>
          </cell>
          <cell r="H477">
            <v>-2390</v>
          </cell>
          <cell r="I477">
            <v>-13896.02</v>
          </cell>
          <cell r="J477">
            <v>-4738</v>
          </cell>
          <cell r="K477">
            <v>-4737.97</v>
          </cell>
          <cell r="L477">
            <v>-4738.0200000000004</v>
          </cell>
          <cell r="M477">
            <v>-3030.51</v>
          </cell>
          <cell r="N477">
            <v>-3940.22</v>
          </cell>
          <cell r="O477">
            <v>-5556.82</v>
          </cell>
          <cell r="P477">
            <v>-91656.5</v>
          </cell>
          <cell r="Q477">
            <v>-91656.5</v>
          </cell>
        </row>
        <row r="478">
          <cell r="A478" t="str">
            <v>F92170E</v>
          </cell>
          <cell r="B478" t="str">
            <v>OFFICE SUPPLIES AND EXPENSES-WA DOCS-EL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-25104.17</v>
          </cell>
          <cell r="H478">
            <v>287542.73</v>
          </cell>
          <cell r="I478">
            <v>-135628.98000000001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-246056.52</v>
          </cell>
          <cell r="P478">
            <v>-119246.94</v>
          </cell>
          <cell r="Q478">
            <v>-119246.94</v>
          </cell>
        </row>
        <row r="479">
          <cell r="A479" t="str">
            <v>F92170G</v>
          </cell>
          <cell r="B479" t="str">
            <v>OFFICE SUPPLIES AND EXPENSES-WA DOCS-GA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-8091.86</v>
          </cell>
          <cell r="H479">
            <v>92701.64</v>
          </cell>
          <cell r="I479">
            <v>-43704.59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-79323.179999999993</v>
          </cell>
          <cell r="P479">
            <v>-38417.989999999991</v>
          </cell>
          <cell r="Q479">
            <v>-38417.989999999991</v>
          </cell>
        </row>
        <row r="480">
          <cell r="A480" t="str">
            <v>F92180E</v>
          </cell>
          <cell r="B480" t="str">
            <v>OFFICE SUPPLIES AND EXPENSES-MAT COST A</v>
          </cell>
          <cell r="C480">
            <v>0</v>
          </cell>
          <cell r="D480">
            <v>-143286.1</v>
          </cell>
          <cell r="E480">
            <v>-36087.75</v>
          </cell>
          <cell r="F480">
            <v>-302662.86</v>
          </cell>
          <cell r="G480">
            <v>-181479.55</v>
          </cell>
          <cell r="H480">
            <v>-59091.15</v>
          </cell>
          <cell r="I480">
            <v>209004.44</v>
          </cell>
          <cell r="J480">
            <v>-61447.32</v>
          </cell>
          <cell r="K480">
            <v>-214678.26</v>
          </cell>
          <cell r="L480">
            <v>-9360.2000000000007</v>
          </cell>
          <cell r="M480">
            <v>0</v>
          </cell>
          <cell r="N480">
            <v>0</v>
          </cell>
          <cell r="O480">
            <v>986658.56</v>
          </cell>
          <cell r="P480">
            <v>187569.81000000006</v>
          </cell>
          <cell r="Q480">
            <v>187569.81000000006</v>
          </cell>
        </row>
        <row r="481">
          <cell r="A481" t="str">
            <v>F92180G</v>
          </cell>
          <cell r="B481" t="str">
            <v>OFFICE SUPPLIES AND EXPENSES-MAT COST A</v>
          </cell>
          <cell r="C481">
            <v>0</v>
          </cell>
          <cell r="D481">
            <v>-46193.94</v>
          </cell>
          <cell r="E481">
            <v>-11598.04</v>
          </cell>
          <cell r="F481">
            <v>-97564.67</v>
          </cell>
          <cell r="G481">
            <v>-58507.64</v>
          </cell>
          <cell r="H481">
            <v>-19061.099999999999</v>
          </cell>
          <cell r="I481">
            <v>67378.73</v>
          </cell>
          <cell r="J481">
            <v>-19791.22</v>
          </cell>
          <cell r="K481">
            <v>-69210.44</v>
          </cell>
          <cell r="L481">
            <v>-3017.6</v>
          </cell>
          <cell r="M481">
            <v>0</v>
          </cell>
          <cell r="N481">
            <v>0</v>
          </cell>
          <cell r="O481">
            <v>318076.19</v>
          </cell>
          <cell r="P481">
            <v>60510.270000000019</v>
          </cell>
          <cell r="Q481">
            <v>60510.270000000019</v>
          </cell>
        </row>
        <row r="482">
          <cell r="A482" t="str">
            <v>F92190E</v>
          </cell>
          <cell r="B482" t="str">
            <v>OFFICE SUPPLIES AND EXPENSES-OFFSET ADJ</v>
          </cell>
          <cell r="C482">
            <v>0</v>
          </cell>
          <cell r="D482">
            <v>36061.94</v>
          </cell>
          <cell r="E482">
            <v>-24762.63</v>
          </cell>
          <cell r="F482">
            <v>-14566.47</v>
          </cell>
          <cell r="G482">
            <v>0</v>
          </cell>
          <cell r="H482">
            <v>8995.68</v>
          </cell>
          <cell r="I482">
            <v>-9088.81</v>
          </cell>
          <cell r="J482">
            <v>3320.41</v>
          </cell>
          <cell r="K482">
            <v>-4665.6099999999997</v>
          </cell>
          <cell r="L482">
            <v>134.12</v>
          </cell>
          <cell r="M482">
            <v>-47.9</v>
          </cell>
          <cell r="N482">
            <v>0</v>
          </cell>
          <cell r="O482">
            <v>-84.69</v>
          </cell>
          <cell r="P482">
            <v>-4703.9599999999964</v>
          </cell>
          <cell r="Q482">
            <v>-4703.9599999999964</v>
          </cell>
        </row>
        <row r="483">
          <cell r="A483" t="str">
            <v>F92190G</v>
          </cell>
          <cell r="B483" t="str">
            <v>OFFICE SUPPLIES AND EXPENSES-OFFSET ADJ</v>
          </cell>
          <cell r="C483">
            <v>0</v>
          </cell>
          <cell r="D483">
            <v>11625.77</v>
          </cell>
          <cell r="E483">
            <v>-7999.37</v>
          </cell>
          <cell r="F483">
            <v>-4696.43</v>
          </cell>
          <cell r="G483">
            <v>0</v>
          </cell>
          <cell r="H483">
            <v>2899.99</v>
          </cell>
          <cell r="I483">
            <v>-2930.12</v>
          </cell>
          <cell r="J483">
            <v>1069.3900000000001</v>
          </cell>
          <cell r="K483">
            <v>-1504.25</v>
          </cell>
          <cell r="L483">
            <v>43.24</v>
          </cell>
          <cell r="M483">
            <v>-15.44</v>
          </cell>
          <cell r="N483">
            <v>0</v>
          </cell>
          <cell r="O483">
            <v>-27.31</v>
          </cell>
          <cell r="P483">
            <v>-1534.5299999999997</v>
          </cell>
          <cell r="Q483">
            <v>-1534.5299999999997</v>
          </cell>
        </row>
        <row r="484">
          <cell r="A484" t="str">
            <v>F92200C</v>
          </cell>
          <cell r="B484" t="str">
            <v>ADMINISTRATIVE EXPENSES TRANSFERRED-CRE</v>
          </cell>
          <cell r="C484">
            <v>0</v>
          </cell>
          <cell r="D484">
            <v>-104485.61</v>
          </cell>
          <cell r="E484">
            <v>-200846.28</v>
          </cell>
          <cell r="F484">
            <v>-144507.76</v>
          </cell>
          <cell r="G484">
            <v>-115887.31</v>
          </cell>
          <cell r="H484">
            <v>-155241.31</v>
          </cell>
          <cell r="I484">
            <v>-132500.76999999999</v>
          </cell>
          <cell r="J484">
            <v>-124672.29</v>
          </cell>
          <cell r="K484">
            <v>-172226.47</v>
          </cell>
          <cell r="L484">
            <v>-139693.85</v>
          </cell>
          <cell r="M484">
            <v>-188433.69</v>
          </cell>
          <cell r="N484">
            <v>-147449.68</v>
          </cell>
          <cell r="O484">
            <v>0</v>
          </cell>
          <cell r="P484">
            <v>-1625945.02</v>
          </cell>
          <cell r="Q484">
            <v>-1625945.02</v>
          </cell>
        </row>
        <row r="485">
          <cell r="A485" t="str">
            <v>F92200E</v>
          </cell>
          <cell r="B485" t="str">
            <v>ADMINISTRATIVE EXPENSES TRANSFERRED-CRE</v>
          </cell>
          <cell r="C485">
            <v>0</v>
          </cell>
          <cell r="D485">
            <v>-1862883.22</v>
          </cell>
          <cell r="E485">
            <v>-419728.6</v>
          </cell>
          <cell r="F485">
            <v>0</v>
          </cell>
          <cell r="G485">
            <v>-173769.27</v>
          </cell>
          <cell r="H485">
            <v>-361539.22</v>
          </cell>
          <cell r="I485">
            <v>-569203.13</v>
          </cell>
          <cell r="J485">
            <v>-305572.63</v>
          </cell>
          <cell r="K485">
            <v>-543076.05000000005</v>
          </cell>
          <cell r="L485">
            <v>-132032.62</v>
          </cell>
          <cell r="M485">
            <v>-418177.56</v>
          </cell>
          <cell r="N485">
            <v>9164.84</v>
          </cell>
          <cell r="O485">
            <v>-768270.52</v>
          </cell>
          <cell r="P485">
            <v>-5545087.9799999986</v>
          </cell>
          <cell r="Q485">
            <v>-5545087.9799999986</v>
          </cell>
        </row>
        <row r="486">
          <cell r="A486" t="str">
            <v>F92200G</v>
          </cell>
          <cell r="B486" t="str">
            <v>ADMINISTRATIVE EXPENSES TRANSFERRED-CRE</v>
          </cell>
          <cell r="C486">
            <v>0</v>
          </cell>
          <cell r="D486">
            <v>-600563.73</v>
          </cell>
          <cell r="E486">
            <v>-135313.78</v>
          </cell>
          <cell r="F486">
            <v>0</v>
          </cell>
          <cell r="G486">
            <v>-56020.44</v>
          </cell>
          <cell r="H486">
            <v>-116554.46</v>
          </cell>
          <cell r="I486">
            <v>-183501.99</v>
          </cell>
          <cell r="J486">
            <v>-98511.73</v>
          </cell>
          <cell r="K486">
            <v>-175079.02</v>
          </cell>
          <cell r="L486">
            <v>-42565.2</v>
          </cell>
          <cell r="M486">
            <v>-134813.75</v>
          </cell>
          <cell r="N486">
            <v>2954.59</v>
          </cell>
          <cell r="O486">
            <v>-247678.12</v>
          </cell>
          <cell r="P486">
            <v>-1787647.63</v>
          </cell>
          <cell r="Q486">
            <v>-1787647.63</v>
          </cell>
        </row>
        <row r="487">
          <cell r="A487" t="str">
            <v>F92300C</v>
          </cell>
          <cell r="B487" t="str">
            <v>OUTSIDE SERVICES EMPLOYED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-26.99</v>
          </cell>
          <cell r="H487">
            <v>27.03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1135932.23</v>
          </cell>
          <cell r="P487">
            <v>1135932.27</v>
          </cell>
          <cell r="Q487">
            <v>1135932.27</v>
          </cell>
        </row>
        <row r="488">
          <cell r="A488" t="str">
            <v>F92300E</v>
          </cell>
          <cell r="B488" t="str">
            <v>OUTSIDE SERVICES EMPLOYED</v>
          </cell>
          <cell r="C488">
            <v>0</v>
          </cell>
          <cell r="D488">
            <v>-10294.450000000001</v>
          </cell>
          <cell r="E488">
            <v>39139.699999999997</v>
          </cell>
          <cell r="F488">
            <v>41804.589999999997</v>
          </cell>
          <cell r="G488">
            <v>38738.49</v>
          </cell>
          <cell r="H488">
            <v>64528.33</v>
          </cell>
          <cell r="I488">
            <v>90371.34</v>
          </cell>
          <cell r="J488">
            <v>116890.02</v>
          </cell>
          <cell r="K488">
            <v>76896.27</v>
          </cell>
          <cell r="L488">
            <v>59073.97</v>
          </cell>
          <cell r="M488">
            <v>94919.44</v>
          </cell>
          <cell r="N488">
            <v>211251.32</v>
          </cell>
          <cell r="O488">
            <v>146047.73000000001</v>
          </cell>
          <cell r="P488">
            <v>969366.75</v>
          </cell>
          <cell r="Q488">
            <v>969366.75</v>
          </cell>
        </row>
        <row r="489">
          <cell r="A489" t="str">
            <v>F92300G</v>
          </cell>
          <cell r="B489" t="str">
            <v>OUTSIDE SERVICES EMPLOYED</v>
          </cell>
          <cell r="C489">
            <v>0</v>
          </cell>
          <cell r="D489">
            <v>13839.34</v>
          </cell>
          <cell r="E489">
            <v>11196.94</v>
          </cell>
          <cell r="F489">
            <v>28822.75</v>
          </cell>
          <cell r="G489">
            <v>24227.67</v>
          </cell>
          <cell r="H489">
            <v>17097.12</v>
          </cell>
          <cell r="I489">
            <v>17699.8</v>
          </cell>
          <cell r="J489">
            <v>16889.8</v>
          </cell>
          <cell r="K489">
            <v>22334.26</v>
          </cell>
          <cell r="L489">
            <v>18622.169999999998</v>
          </cell>
          <cell r="M489">
            <v>12605.63</v>
          </cell>
          <cell r="N489">
            <v>23616.85</v>
          </cell>
          <cell r="O489">
            <v>41400.32</v>
          </cell>
          <cell r="P489">
            <v>248352.65</v>
          </cell>
          <cell r="Q489">
            <v>248352.65</v>
          </cell>
        </row>
        <row r="490">
          <cell r="A490" t="str">
            <v>F92400E</v>
          </cell>
          <cell r="B490" t="str">
            <v>PROPERTY INSURANCE</v>
          </cell>
          <cell r="C490">
            <v>0</v>
          </cell>
          <cell r="D490">
            <v>118384.8</v>
          </cell>
          <cell r="E490">
            <v>84323.78</v>
          </cell>
          <cell r="F490">
            <v>141402.21</v>
          </cell>
          <cell r="G490">
            <v>-3450109.14</v>
          </cell>
          <cell r="H490">
            <v>10046.17</v>
          </cell>
          <cell r="I490">
            <v>79642.039999999994</v>
          </cell>
          <cell r="J490">
            <v>108179.14</v>
          </cell>
          <cell r="K490">
            <v>99238.01</v>
          </cell>
          <cell r="L490">
            <v>7354.54</v>
          </cell>
          <cell r="M490">
            <v>3463624.6</v>
          </cell>
          <cell r="N490">
            <v>-3451310.43</v>
          </cell>
          <cell r="O490">
            <v>29531.45</v>
          </cell>
          <cell r="P490">
            <v>-2759692.83</v>
          </cell>
          <cell r="Q490">
            <v>-2759692.83</v>
          </cell>
        </row>
        <row r="491">
          <cell r="A491" t="str">
            <v>F92400G</v>
          </cell>
          <cell r="B491" t="str">
            <v>PROPERTY INSURANCE</v>
          </cell>
          <cell r="C491">
            <v>0</v>
          </cell>
          <cell r="D491">
            <v>12438.83</v>
          </cell>
          <cell r="E491">
            <v>1401.68</v>
          </cell>
          <cell r="F491">
            <v>20512.439999999999</v>
          </cell>
          <cell r="G491">
            <v>1102.2</v>
          </cell>
          <cell r="H491">
            <v>1519.36</v>
          </cell>
          <cell r="I491">
            <v>23874.51</v>
          </cell>
          <cell r="J491">
            <v>33108.910000000003</v>
          </cell>
          <cell r="K491">
            <v>23240.32</v>
          </cell>
          <cell r="L491">
            <v>2800.46</v>
          </cell>
          <cell r="M491">
            <v>41894.949999999997</v>
          </cell>
          <cell r="N491">
            <v>400.43</v>
          </cell>
          <cell r="O491">
            <v>16697.89</v>
          </cell>
          <cell r="P491">
            <v>178991.97999999998</v>
          </cell>
          <cell r="Q491">
            <v>178991.97999999998</v>
          </cell>
        </row>
        <row r="492">
          <cell r="A492" t="str">
            <v>F92500C</v>
          </cell>
          <cell r="B492" t="str">
            <v>INJURIES AND DAMAGES</v>
          </cell>
          <cell r="C492">
            <v>0</v>
          </cell>
          <cell r="D492">
            <v>-239632.46</v>
          </cell>
          <cell r="E492">
            <v>300725.75</v>
          </cell>
          <cell r="F492">
            <v>-779988.23</v>
          </cell>
          <cell r="G492">
            <v>-239632</v>
          </cell>
          <cell r="H492">
            <v>-239632</v>
          </cell>
          <cell r="I492">
            <v>597365</v>
          </cell>
          <cell r="J492">
            <v>-332283</v>
          </cell>
          <cell r="K492">
            <v>-332283</v>
          </cell>
          <cell r="L492">
            <v>321672</v>
          </cell>
          <cell r="M492">
            <v>-406370</v>
          </cell>
          <cell r="N492">
            <v>0</v>
          </cell>
          <cell r="O492">
            <v>1269328.48</v>
          </cell>
          <cell r="P492">
            <v>-80729.459999999963</v>
          </cell>
          <cell r="Q492">
            <v>-80729.459999999963</v>
          </cell>
        </row>
        <row r="493">
          <cell r="A493" t="str">
            <v>F92500E</v>
          </cell>
          <cell r="B493" t="str">
            <v>INJURIES AND DAMAGES</v>
          </cell>
          <cell r="C493">
            <v>0</v>
          </cell>
          <cell r="D493">
            <v>302787.12</v>
          </cell>
          <cell r="E493">
            <v>392344.15</v>
          </cell>
          <cell r="F493">
            <v>298518.3</v>
          </cell>
          <cell r="G493">
            <v>270152.40000000002</v>
          </cell>
          <cell r="H493">
            <v>273618.03999999998</v>
          </cell>
          <cell r="I493">
            <v>231520.61</v>
          </cell>
          <cell r="J493">
            <v>269161.01</v>
          </cell>
          <cell r="K493">
            <v>353426.75</v>
          </cell>
          <cell r="L493">
            <v>294662.31</v>
          </cell>
          <cell r="M493">
            <v>393704.85</v>
          </cell>
          <cell r="N493">
            <v>215423.21</v>
          </cell>
          <cell r="O493">
            <v>234963.77</v>
          </cell>
          <cell r="P493">
            <v>3530282.52</v>
          </cell>
          <cell r="Q493">
            <v>3530282.52</v>
          </cell>
        </row>
        <row r="494">
          <cell r="A494" t="str">
            <v>F92500G</v>
          </cell>
          <cell r="B494" t="str">
            <v>INJURIES AND DAMAGES</v>
          </cell>
          <cell r="C494">
            <v>0</v>
          </cell>
          <cell r="D494">
            <v>129639.57</v>
          </cell>
          <cell r="E494">
            <v>164698.79</v>
          </cell>
          <cell r="F494">
            <v>120512.5</v>
          </cell>
          <cell r="G494">
            <v>141173.81</v>
          </cell>
          <cell r="H494">
            <v>151534.79999999999</v>
          </cell>
          <cell r="I494">
            <v>116748.2</v>
          </cell>
          <cell r="J494">
            <v>137780.54999999999</v>
          </cell>
          <cell r="K494">
            <v>201410.83</v>
          </cell>
          <cell r="L494">
            <v>162807.35999999999</v>
          </cell>
          <cell r="M494">
            <v>232816.86</v>
          </cell>
          <cell r="N494">
            <v>177281.68</v>
          </cell>
          <cell r="O494">
            <v>164516.44</v>
          </cell>
          <cell r="P494">
            <v>1900921.39</v>
          </cell>
          <cell r="Q494">
            <v>1900921.39</v>
          </cell>
        </row>
        <row r="495">
          <cell r="A495" t="str">
            <v>F92510C</v>
          </cell>
          <cell r="B495" t="str">
            <v>INJURIES AND DAMAGES - PLPD</v>
          </cell>
          <cell r="C495">
            <v>0</v>
          </cell>
          <cell r="D495">
            <v>47254.38</v>
          </cell>
          <cell r="E495">
            <v>21507.31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-7.19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68754.5</v>
          </cell>
          <cell r="Q495">
            <v>68754.5</v>
          </cell>
        </row>
        <row r="496">
          <cell r="A496" t="str">
            <v>F92510E</v>
          </cell>
          <cell r="B496" t="str">
            <v>INJURIES AND DAMAGES</v>
          </cell>
          <cell r="C496">
            <v>0</v>
          </cell>
          <cell r="D496">
            <v>99282.1</v>
          </cell>
          <cell r="E496">
            <v>108512.03</v>
          </cell>
          <cell r="F496">
            <v>135285.5</v>
          </cell>
          <cell r="G496">
            <v>101036.48</v>
          </cell>
          <cell r="H496">
            <v>182063.51</v>
          </cell>
          <cell r="I496">
            <v>143858.03</v>
          </cell>
          <cell r="J496">
            <v>97804.7</v>
          </cell>
          <cell r="K496">
            <v>116533.12</v>
          </cell>
          <cell r="L496">
            <v>95202.95</v>
          </cell>
          <cell r="M496">
            <v>108383.63</v>
          </cell>
          <cell r="N496">
            <v>155620.07</v>
          </cell>
          <cell r="O496">
            <v>144331.12</v>
          </cell>
          <cell r="P496">
            <v>1487913.2399999998</v>
          </cell>
          <cell r="Q496">
            <v>1487913.2399999998</v>
          </cell>
        </row>
        <row r="497">
          <cell r="A497" t="str">
            <v>F92510G</v>
          </cell>
          <cell r="B497" t="str">
            <v>INJURIES AND DAMAGES</v>
          </cell>
          <cell r="C497">
            <v>0</v>
          </cell>
          <cell r="D497">
            <v>42626.42</v>
          </cell>
          <cell r="E497">
            <v>42540.81</v>
          </cell>
          <cell r="F497">
            <v>39101.339999999997</v>
          </cell>
          <cell r="G497">
            <v>34338.410000000003</v>
          </cell>
          <cell r="H497">
            <v>69139.13</v>
          </cell>
          <cell r="I497">
            <v>52736.02</v>
          </cell>
          <cell r="J497">
            <v>37005.03</v>
          </cell>
          <cell r="K497">
            <v>45061.73</v>
          </cell>
          <cell r="L497">
            <v>36592.92</v>
          </cell>
          <cell r="M497">
            <v>41107.089999999997</v>
          </cell>
          <cell r="N497">
            <v>61844.88</v>
          </cell>
          <cell r="O497">
            <v>56954.54</v>
          </cell>
          <cell r="P497">
            <v>559048.32000000007</v>
          </cell>
          <cell r="Q497">
            <v>559048.32000000007</v>
          </cell>
        </row>
        <row r="498">
          <cell r="A498" t="str">
            <v>F92520E</v>
          </cell>
          <cell r="B498" t="str">
            <v>INJURIES AND DAMAGES</v>
          </cell>
          <cell r="C498">
            <v>0</v>
          </cell>
          <cell r="D498">
            <v>14724.45</v>
          </cell>
          <cell r="E498">
            <v>19558.810000000001</v>
          </cell>
          <cell r="F498">
            <v>14518.77</v>
          </cell>
          <cell r="G498">
            <v>17106.86</v>
          </cell>
          <cell r="H498">
            <v>18657.5</v>
          </cell>
          <cell r="I498">
            <v>13150.62</v>
          </cell>
          <cell r="J498">
            <v>13753.07</v>
          </cell>
          <cell r="K498">
            <v>17562.71</v>
          </cell>
          <cell r="L498">
            <v>14475.56</v>
          </cell>
          <cell r="M498">
            <v>40150.050000000003</v>
          </cell>
          <cell r="N498">
            <v>20871.54</v>
          </cell>
          <cell r="O498">
            <v>14154.98</v>
          </cell>
          <cell r="P498">
            <v>218684.91999999998</v>
          </cell>
          <cell r="Q498">
            <v>218684.91999999998</v>
          </cell>
        </row>
        <row r="499">
          <cell r="A499" t="str">
            <v>F92520G</v>
          </cell>
          <cell r="B499" t="str">
            <v>INJURIES AND DAMAGES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53.92</v>
          </cell>
          <cell r="J499">
            <v>23.92</v>
          </cell>
          <cell r="K499">
            <v>-16.32</v>
          </cell>
          <cell r="L499">
            <v>0</v>
          </cell>
          <cell r="M499">
            <v>81.099999999999994</v>
          </cell>
          <cell r="N499">
            <v>13.62</v>
          </cell>
          <cell r="O499">
            <v>29.16</v>
          </cell>
          <cell r="P499">
            <v>185.4</v>
          </cell>
          <cell r="Q499">
            <v>185.4</v>
          </cell>
        </row>
        <row r="500">
          <cell r="A500" t="str">
            <v>F92600C</v>
          </cell>
          <cell r="B500" t="str">
            <v>EMPLOYEE PENSIONS AND BENEFITS</v>
          </cell>
          <cell r="C500">
            <v>0</v>
          </cell>
          <cell r="D500">
            <v>-2438226.16</v>
          </cell>
          <cell r="E500">
            <v>-1214208.93</v>
          </cell>
          <cell r="F500">
            <v>-3764751.77</v>
          </cell>
          <cell r="G500">
            <v>3764750</v>
          </cell>
          <cell r="H500">
            <v>0</v>
          </cell>
          <cell r="I500">
            <v>-11730</v>
          </cell>
          <cell r="J500">
            <v>144898.6</v>
          </cell>
          <cell r="K500">
            <v>2866831.4</v>
          </cell>
          <cell r="L500">
            <v>-2747683.2</v>
          </cell>
          <cell r="M500">
            <v>-252316.79999999999</v>
          </cell>
          <cell r="N500">
            <v>-425459.03</v>
          </cell>
          <cell r="O500">
            <v>-4983176.57</v>
          </cell>
          <cell r="P500">
            <v>-9061072.4600000009</v>
          </cell>
          <cell r="Q500">
            <v>-9061072.4600000009</v>
          </cell>
        </row>
        <row r="501">
          <cell r="A501" t="str">
            <v>F92600E</v>
          </cell>
          <cell r="B501" t="str">
            <v>EMPLOYEE PENSIONS AND BENEFITS</v>
          </cell>
          <cell r="C501">
            <v>0</v>
          </cell>
          <cell r="D501">
            <v>-480737.14</v>
          </cell>
          <cell r="E501">
            <v>1888748.07</v>
          </cell>
          <cell r="F501">
            <v>3295556.56</v>
          </cell>
          <cell r="G501">
            <v>-2599574.85</v>
          </cell>
          <cell r="H501">
            <v>193646.57</v>
          </cell>
          <cell r="I501">
            <v>-205697.56</v>
          </cell>
          <cell r="J501">
            <v>161933.72</v>
          </cell>
          <cell r="K501">
            <v>258591.77</v>
          </cell>
          <cell r="L501">
            <v>2299123.42</v>
          </cell>
          <cell r="M501">
            <v>259433.66</v>
          </cell>
          <cell r="N501">
            <v>171166.45</v>
          </cell>
          <cell r="O501">
            <v>582291.56999999995</v>
          </cell>
          <cell r="P501">
            <v>5824482.2400000012</v>
          </cell>
          <cell r="Q501">
            <v>5824482.2400000012</v>
          </cell>
        </row>
        <row r="502">
          <cell r="A502" t="str">
            <v>F92600G</v>
          </cell>
          <cell r="B502" t="str">
            <v>EMPLOYEE PENSIONS AND BENEFITS</v>
          </cell>
          <cell r="C502">
            <v>0</v>
          </cell>
          <cell r="D502">
            <v>-193193.55</v>
          </cell>
          <cell r="E502">
            <v>755225.05</v>
          </cell>
          <cell r="F502">
            <v>1317789.21</v>
          </cell>
          <cell r="G502">
            <v>-1040105.81</v>
          </cell>
          <cell r="H502">
            <v>77638.740000000005</v>
          </cell>
          <cell r="I502">
            <v>-82452.820000000007</v>
          </cell>
          <cell r="J502">
            <v>64351.4</v>
          </cell>
          <cell r="K502">
            <v>103054.73</v>
          </cell>
          <cell r="L502">
            <v>918884.75</v>
          </cell>
          <cell r="M502">
            <v>103687.7</v>
          </cell>
          <cell r="N502">
            <v>67915.100000000006</v>
          </cell>
          <cell r="O502">
            <v>231969.07</v>
          </cell>
          <cell r="P502">
            <v>2324763.5699999998</v>
          </cell>
          <cell r="Q502">
            <v>2324763.5699999998</v>
          </cell>
        </row>
        <row r="503">
          <cell r="A503" t="str">
            <v>F92700E</v>
          </cell>
          <cell r="B503" t="str">
            <v>FRANCHISE REQUIREMENTS</v>
          </cell>
          <cell r="C503">
            <v>0</v>
          </cell>
          <cell r="D503">
            <v>2406033</v>
          </cell>
          <cell r="E503">
            <v>2313158.33</v>
          </cell>
          <cell r="F503">
            <v>1565894.58</v>
          </cell>
          <cell r="G503">
            <v>2034456</v>
          </cell>
          <cell r="H503">
            <v>2421092.54</v>
          </cell>
          <cell r="I503">
            <v>3245748</v>
          </cell>
          <cell r="J503">
            <v>5311677</v>
          </cell>
          <cell r="K503">
            <v>6276883.54</v>
          </cell>
          <cell r="L503">
            <v>4642084</v>
          </cell>
          <cell r="M503">
            <v>3038186</v>
          </cell>
          <cell r="N503">
            <v>-1135426.46</v>
          </cell>
          <cell r="O503">
            <v>4000833</v>
          </cell>
          <cell r="P503">
            <v>36120619.530000001</v>
          </cell>
          <cell r="Q503">
            <v>36120619.530000001</v>
          </cell>
        </row>
        <row r="504">
          <cell r="A504" t="str">
            <v>F92700G</v>
          </cell>
          <cell r="B504" t="str">
            <v>FRANCHISE REQUIREMENTS</v>
          </cell>
          <cell r="C504">
            <v>0</v>
          </cell>
          <cell r="D504">
            <v>1061979</v>
          </cell>
          <cell r="E504">
            <v>892428</v>
          </cell>
          <cell r="F504">
            <v>902059.37</v>
          </cell>
          <cell r="G504">
            <v>708955</v>
          </cell>
          <cell r="H504">
            <v>577305</v>
          </cell>
          <cell r="I504">
            <v>551591</v>
          </cell>
          <cell r="J504">
            <v>578717</v>
          </cell>
          <cell r="K504">
            <v>569616</v>
          </cell>
          <cell r="L504">
            <v>603158</v>
          </cell>
          <cell r="M504">
            <v>660718</v>
          </cell>
          <cell r="N504">
            <v>939954</v>
          </cell>
          <cell r="O504">
            <v>1476346</v>
          </cell>
          <cell r="P504">
            <v>9522826.370000001</v>
          </cell>
          <cell r="Q504">
            <v>9522826.370000001</v>
          </cell>
        </row>
        <row r="505">
          <cell r="A505" t="str">
            <v>F92800C</v>
          </cell>
          <cell r="B505" t="str">
            <v>REGULATORY COMMISSION EXPENSES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80057.83</v>
          </cell>
          <cell r="P505">
            <v>80057.83</v>
          </cell>
          <cell r="Q505">
            <v>80057.83</v>
          </cell>
        </row>
        <row r="506">
          <cell r="A506" t="str">
            <v>F92800E</v>
          </cell>
          <cell r="B506" t="str">
            <v>REGULATORY COMMISSION EXPENSES</v>
          </cell>
          <cell r="C506">
            <v>0</v>
          </cell>
          <cell r="D506">
            <v>346177</v>
          </cell>
          <cell r="E506">
            <v>561254.30000000005</v>
          </cell>
          <cell r="F506">
            <v>463917.41</v>
          </cell>
          <cell r="G506">
            <v>643359.36</v>
          </cell>
          <cell r="H506">
            <v>556679.80000000005</v>
          </cell>
          <cell r="I506">
            <v>489093.25</v>
          </cell>
          <cell r="J506">
            <v>381174.71</v>
          </cell>
          <cell r="K506">
            <v>403592.76</v>
          </cell>
          <cell r="L506">
            <v>496346.83</v>
          </cell>
          <cell r="M506">
            <v>581895.49</v>
          </cell>
          <cell r="N506">
            <v>884527.35</v>
          </cell>
          <cell r="O506">
            <v>806619.34</v>
          </cell>
          <cell r="P506">
            <v>6614637.5999999996</v>
          </cell>
          <cell r="Q506">
            <v>6614637.5999999996</v>
          </cell>
        </row>
        <row r="507">
          <cell r="A507" t="str">
            <v>F92800G</v>
          </cell>
          <cell r="B507" t="str">
            <v>REGULATORY COMMISSION EXPENSES</v>
          </cell>
          <cell r="C507">
            <v>0</v>
          </cell>
          <cell r="D507">
            <v>166843.48000000001</v>
          </cell>
          <cell r="E507">
            <v>162157.78</v>
          </cell>
          <cell r="F507">
            <v>177626.61</v>
          </cell>
          <cell r="G507">
            <v>111474.49</v>
          </cell>
          <cell r="H507">
            <v>134084.87</v>
          </cell>
          <cell r="I507">
            <v>200862.15</v>
          </cell>
          <cell r="J507">
            <v>130193.61</v>
          </cell>
          <cell r="K507">
            <v>146470.82999999999</v>
          </cell>
          <cell r="L507">
            <v>144711.82</v>
          </cell>
          <cell r="M507">
            <v>181826.03</v>
          </cell>
          <cell r="N507">
            <v>196254.51</v>
          </cell>
          <cell r="O507">
            <v>162408.60999999999</v>
          </cell>
          <cell r="P507">
            <v>1914914.79</v>
          </cell>
          <cell r="Q507">
            <v>1914914.79</v>
          </cell>
        </row>
        <row r="508">
          <cell r="A508" t="str">
            <v>F92900E</v>
          </cell>
          <cell r="B508" t="str">
            <v>DUPLICATE CHARGES-CR.</v>
          </cell>
          <cell r="C508">
            <v>0</v>
          </cell>
          <cell r="D508">
            <v>0</v>
          </cell>
          <cell r="E508">
            <v>-129692.79</v>
          </cell>
          <cell r="F508">
            <v>-50661.51</v>
          </cell>
          <cell r="G508">
            <v>0</v>
          </cell>
          <cell r="H508">
            <v>-97305.61</v>
          </cell>
          <cell r="I508">
            <v>-48210.62</v>
          </cell>
          <cell r="J508">
            <v>-97144.15</v>
          </cell>
          <cell r="K508">
            <v>-155027.45000000001</v>
          </cell>
          <cell r="L508">
            <v>-251518.51</v>
          </cell>
          <cell r="M508">
            <v>0</v>
          </cell>
          <cell r="N508">
            <v>0</v>
          </cell>
          <cell r="O508">
            <v>-741345.42</v>
          </cell>
          <cell r="P508">
            <v>-1570906.06</v>
          </cell>
          <cell r="Q508">
            <v>-1570906.06</v>
          </cell>
        </row>
        <row r="509">
          <cell r="A509" t="str">
            <v>F93010E</v>
          </cell>
          <cell r="B509" t="str">
            <v>GENERAL ADVERTISING EXPENSES</v>
          </cell>
          <cell r="C509">
            <v>0</v>
          </cell>
          <cell r="D509">
            <v>-205.39</v>
          </cell>
          <cell r="E509">
            <v>-3946.99</v>
          </cell>
          <cell r="F509">
            <v>7.18</v>
          </cell>
          <cell r="G509">
            <v>-814.56</v>
          </cell>
          <cell r="H509">
            <v>0</v>
          </cell>
          <cell r="I509">
            <v>265.66000000000003</v>
          </cell>
          <cell r="J509">
            <v>-3803.64</v>
          </cell>
          <cell r="K509">
            <v>-375.18</v>
          </cell>
          <cell r="L509">
            <v>30864.42</v>
          </cell>
          <cell r="M509">
            <v>4970.4799999999996</v>
          </cell>
          <cell r="N509">
            <v>8565.0499999999993</v>
          </cell>
          <cell r="O509">
            <v>11052.47</v>
          </cell>
          <cell r="P509">
            <v>46579.5</v>
          </cell>
          <cell r="Q509">
            <v>46579.5</v>
          </cell>
        </row>
        <row r="510">
          <cell r="A510" t="str">
            <v>F93010G</v>
          </cell>
          <cell r="B510" t="str">
            <v>GENERAL ADVERTISING EXPENSES</v>
          </cell>
          <cell r="C510">
            <v>0</v>
          </cell>
          <cell r="D510">
            <v>-66.22</v>
          </cell>
          <cell r="E510">
            <v>6633.15</v>
          </cell>
          <cell r="F510">
            <v>11881.03</v>
          </cell>
          <cell r="G510">
            <v>1800.75</v>
          </cell>
          <cell r="H510">
            <v>68408.42</v>
          </cell>
          <cell r="I510">
            <v>41902.300000000003</v>
          </cell>
          <cell r="J510">
            <v>2732.31</v>
          </cell>
          <cell r="K510">
            <v>41543.629999999997</v>
          </cell>
          <cell r="L510">
            <v>44416.42</v>
          </cell>
          <cell r="M510">
            <v>21914.77</v>
          </cell>
          <cell r="N510">
            <v>21890.58</v>
          </cell>
          <cell r="O510">
            <v>27502.76</v>
          </cell>
          <cell r="P510">
            <v>290559.90000000002</v>
          </cell>
          <cell r="Q510">
            <v>290559.90000000002</v>
          </cell>
        </row>
        <row r="511">
          <cell r="A511" t="str">
            <v>F93020C</v>
          </cell>
          <cell r="B511" t="str">
            <v>MISCELLANEOUS GENERAL EXPENSES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-481.95</v>
          </cell>
          <cell r="N511">
            <v>-240699.32</v>
          </cell>
          <cell r="O511">
            <v>-2341975.17</v>
          </cell>
          <cell r="P511">
            <v>-2583156.44</v>
          </cell>
          <cell r="Q511">
            <v>-2583156.44</v>
          </cell>
        </row>
        <row r="512">
          <cell r="A512" t="str">
            <v>F93020E</v>
          </cell>
          <cell r="B512" t="str">
            <v>MISCELLANEOUS GENERAL EXPENSES</v>
          </cell>
          <cell r="C512">
            <v>0</v>
          </cell>
          <cell r="D512">
            <v>99248.1</v>
          </cell>
          <cell r="E512">
            <v>444186.61</v>
          </cell>
          <cell r="F512">
            <v>3777590.64</v>
          </cell>
          <cell r="G512">
            <v>715459.29</v>
          </cell>
          <cell r="H512">
            <v>257828.1</v>
          </cell>
          <cell r="I512">
            <v>4440133.92</v>
          </cell>
          <cell r="J512">
            <v>197906.2</v>
          </cell>
          <cell r="K512">
            <v>-16951.439999999999</v>
          </cell>
          <cell r="L512">
            <v>4335096.41</v>
          </cell>
          <cell r="M512">
            <v>337998.83</v>
          </cell>
          <cell r="N512">
            <v>177392.41</v>
          </cell>
          <cell r="O512">
            <v>4419153.4400000004</v>
          </cell>
          <cell r="P512">
            <v>19185042.510000002</v>
          </cell>
          <cell r="Q512">
            <v>19185042.510000002</v>
          </cell>
        </row>
        <row r="513">
          <cell r="A513" t="str">
            <v>F93020G</v>
          </cell>
          <cell r="B513" t="str">
            <v>MISCELLANEOUS GENERAL EXPENSES</v>
          </cell>
          <cell r="C513">
            <v>0</v>
          </cell>
          <cell r="D513">
            <v>125016.42</v>
          </cell>
          <cell r="E513">
            <v>75131.360000000001</v>
          </cell>
          <cell r="F513">
            <v>-139677.99</v>
          </cell>
          <cell r="G513">
            <v>245518.25</v>
          </cell>
          <cell r="H513">
            <v>107742.25</v>
          </cell>
          <cell r="I513">
            <v>127065.05</v>
          </cell>
          <cell r="J513">
            <v>-138593.21</v>
          </cell>
          <cell r="K513">
            <v>45290.74</v>
          </cell>
          <cell r="L513">
            <v>61217.55</v>
          </cell>
          <cell r="M513">
            <v>106816.65</v>
          </cell>
          <cell r="N513">
            <v>70256.759999999995</v>
          </cell>
          <cell r="O513">
            <v>507728.95</v>
          </cell>
          <cell r="P513">
            <v>1193512.78</v>
          </cell>
          <cell r="Q513">
            <v>1193512.78</v>
          </cell>
        </row>
        <row r="514">
          <cell r="A514" t="str">
            <v>F93022C</v>
          </cell>
          <cell r="B514" t="str">
            <v>MISCELLANEOUS GENERAL EXPENSES-V&amp;S ADJU</v>
          </cell>
          <cell r="C514">
            <v>0</v>
          </cell>
          <cell r="D514">
            <v>184830.29</v>
          </cell>
          <cell r="E514">
            <v>97361.39</v>
          </cell>
          <cell r="F514">
            <v>45715.199999999997</v>
          </cell>
          <cell r="G514">
            <v>74284.58</v>
          </cell>
          <cell r="H514">
            <v>99706.58</v>
          </cell>
          <cell r="I514">
            <v>122078.18</v>
          </cell>
          <cell r="J514">
            <v>145926.75</v>
          </cell>
          <cell r="K514">
            <v>131587.14000000001</v>
          </cell>
          <cell r="L514">
            <v>145927.13</v>
          </cell>
          <cell r="M514">
            <v>109055.16</v>
          </cell>
          <cell r="N514">
            <v>161655.29999999999</v>
          </cell>
          <cell r="O514">
            <v>199342.59</v>
          </cell>
          <cell r="P514">
            <v>1517470.29</v>
          </cell>
          <cell r="Q514">
            <v>1517470.29</v>
          </cell>
        </row>
        <row r="515">
          <cell r="A515" t="str">
            <v>F93030E</v>
          </cell>
          <cell r="B515" t="str">
            <v>MISC GENERAL EXP-AFFIL. BILLING</v>
          </cell>
          <cell r="C515">
            <v>0</v>
          </cell>
          <cell r="D515">
            <v>0</v>
          </cell>
          <cell r="E515">
            <v>-23855.41</v>
          </cell>
          <cell r="F515">
            <v>0</v>
          </cell>
          <cell r="G515">
            <v>1000</v>
          </cell>
          <cell r="H515">
            <v>-940.9</v>
          </cell>
          <cell r="I515">
            <v>-61.19</v>
          </cell>
          <cell r="J515">
            <v>82.5</v>
          </cell>
          <cell r="K515">
            <v>-99.3</v>
          </cell>
          <cell r="L515">
            <v>0</v>
          </cell>
          <cell r="M515">
            <v>-444.46</v>
          </cell>
          <cell r="N515">
            <v>-55.93</v>
          </cell>
          <cell r="O515">
            <v>733.07</v>
          </cell>
          <cell r="P515">
            <v>-23641.62</v>
          </cell>
          <cell r="Q515">
            <v>-23641.62</v>
          </cell>
        </row>
        <row r="516">
          <cell r="A516" t="str">
            <v>F93040E</v>
          </cell>
          <cell r="B516" t="str">
            <v>EMERGING BUSINESS ENT. COSTS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57.03</v>
          </cell>
          <cell r="O516">
            <v>0</v>
          </cell>
          <cell r="P516">
            <v>57.03</v>
          </cell>
          <cell r="Q516">
            <v>57.03</v>
          </cell>
        </row>
        <row r="517">
          <cell r="A517" t="str">
            <v>F93040G</v>
          </cell>
          <cell r="B517" t="str">
            <v>FLEET COSTS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18.39</v>
          </cell>
          <cell r="O517">
            <v>0</v>
          </cell>
          <cell r="P517">
            <v>18.39</v>
          </cell>
          <cell r="Q517">
            <v>18.39</v>
          </cell>
        </row>
        <row r="518">
          <cell r="A518" t="str">
            <v>F93100E</v>
          </cell>
          <cell r="B518" t="str">
            <v>RENTS</v>
          </cell>
          <cell r="C518">
            <v>0</v>
          </cell>
          <cell r="D518">
            <v>354699.04</v>
          </cell>
          <cell r="E518">
            <v>169082.03</v>
          </cell>
          <cell r="F518">
            <v>232970.56</v>
          </cell>
          <cell r="G518">
            <v>241778.88</v>
          </cell>
          <cell r="H518">
            <v>232391.47</v>
          </cell>
          <cell r="I518">
            <v>250583.9</v>
          </cell>
          <cell r="J518">
            <v>283011.01</v>
          </cell>
          <cell r="K518">
            <v>275906.08</v>
          </cell>
          <cell r="L518">
            <v>265617.88</v>
          </cell>
          <cell r="M518">
            <v>334563.76</v>
          </cell>
          <cell r="N518">
            <v>281042.99</v>
          </cell>
          <cell r="O518">
            <v>288889.65999999997</v>
          </cell>
          <cell r="P518">
            <v>3210537.2600000007</v>
          </cell>
          <cell r="Q518">
            <v>3210537.2600000007</v>
          </cell>
        </row>
        <row r="519">
          <cell r="A519" t="str">
            <v>F93100G</v>
          </cell>
          <cell r="B519" t="str">
            <v>RENTS</v>
          </cell>
          <cell r="C519">
            <v>0</v>
          </cell>
          <cell r="D519">
            <v>114394.01</v>
          </cell>
          <cell r="E519">
            <v>54552.160000000003</v>
          </cell>
          <cell r="F519">
            <v>75479.47</v>
          </cell>
          <cell r="G519">
            <v>77986.66</v>
          </cell>
          <cell r="H519">
            <v>75137.710000000006</v>
          </cell>
          <cell r="I519">
            <v>81132.72</v>
          </cell>
          <cell r="J519">
            <v>91285.31</v>
          </cell>
          <cell r="K519">
            <v>88999.53</v>
          </cell>
          <cell r="L519">
            <v>85675.57</v>
          </cell>
          <cell r="M519">
            <v>91413.3</v>
          </cell>
          <cell r="N519">
            <v>90689.54</v>
          </cell>
          <cell r="O519">
            <v>93161.17</v>
          </cell>
          <cell r="P519">
            <v>1019907.1500000003</v>
          </cell>
          <cell r="Q519">
            <v>1019907.1500000003</v>
          </cell>
        </row>
        <row r="520">
          <cell r="A520" t="str">
            <v>F93500C</v>
          </cell>
          <cell r="B520" t="str">
            <v>MAINTENANCE OF GENERAL PLANT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-3.38</v>
          </cell>
          <cell r="I520">
            <v>-25421.7</v>
          </cell>
          <cell r="J520">
            <v>29.79</v>
          </cell>
          <cell r="K520">
            <v>0</v>
          </cell>
          <cell r="L520">
            <v>1913.88</v>
          </cell>
          <cell r="M520">
            <v>0</v>
          </cell>
          <cell r="N520">
            <v>0</v>
          </cell>
          <cell r="O520">
            <v>0</v>
          </cell>
          <cell r="P520">
            <v>-23481.41</v>
          </cell>
          <cell r="Q520">
            <v>-23481.41</v>
          </cell>
        </row>
        <row r="521">
          <cell r="A521" t="str">
            <v>F93500E</v>
          </cell>
          <cell r="B521" t="str">
            <v>MAINTENANCE OF GENERAL PLANT</v>
          </cell>
          <cell r="C521">
            <v>0</v>
          </cell>
          <cell r="D521">
            <v>986951.8</v>
          </cell>
          <cell r="E521">
            <v>1064058.5</v>
          </cell>
          <cell r="F521">
            <v>1019431.67</v>
          </cell>
          <cell r="G521">
            <v>738853.06</v>
          </cell>
          <cell r="H521">
            <v>1023729.21</v>
          </cell>
          <cell r="I521">
            <v>1052056.3799999999</v>
          </cell>
          <cell r="J521">
            <v>798662.16</v>
          </cell>
          <cell r="K521">
            <v>990252.59</v>
          </cell>
          <cell r="L521">
            <v>1041743.34</v>
          </cell>
          <cell r="M521">
            <v>1281888.3999999999</v>
          </cell>
          <cell r="N521">
            <v>1190039.51</v>
          </cell>
          <cell r="O521">
            <v>21687359.640000001</v>
          </cell>
          <cell r="P521">
            <v>32875026.260000002</v>
          </cell>
          <cell r="Q521">
            <v>32875026.260000002</v>
          </cell>
        </row>
        <row r="522">
          <cell r="A522" t="str">
            <v>F93500G</v>
          </cell>
          <cell r="B522" t="str">
            <v>MAINTENANCE OF GENERAL PLANT</v>
          </cell>
          <cell r="C522">
            <v>0</v>
          </cell>
          <cell r="D522">
            <v>327009.65000000002</v>
          </cell>
          <cell r="E522">
            <v>347301.49</v>
          </cell>
          <cell r="F522">
            <v>323315.84000000003</v>
          </cell>
          <cell r="G522">
            <v>238072.58</v>
          </cell>
          <cell r="H522">
            <v>330033.76</v>
          </cell>
          <cell r="I522">
            <v>337461.46</v>
          </cell>
          <cell r="J522">
            <v>257550.74</v>
          </cell>
          <cell r="K522">
            <v>318781.43</v>
          </cell>
          <cell r="L522">
            <v>336030.6</v>
          </cell>
          <cell r="M522">
            <v>413619.91</v>
          </cell>
          <cell r="N522">
            <v>383244.79999999999</v>
          </cell>
          <cell r="O522">
            <v>6970138.9299999997</v>
          </cell>
          <cell r="P522">
            <v>10582561.189999999</v>
          </cell>
          <cell r="Q522">
            <v>10582561.189999999</v>
          </cell>
        </row>
        <row r="523">
          <cell r="A523" t="str">
            <v>F93510E</v>
          </cell>
          <cell r="B523" t="str">
            <v>MAINT OF GENERAL PLA</v>
          </cell>
          <cell r="C523">
            <v>0</v>
          </cell>
          <cell r="D523">
            <v>99423.679999999993</v>
          </cell>
          <cell r="E523">
            <v>108717.52</v>
          </cell>
          <cell r="F523">
            <v>92700.26</v>
          </cell>
          <cell r="G523">
            <v>100195.67</v>
          </cell>
          <cell r="H523">
            <v>88397.68</v>
          </cell>
          <cell r="I523">
            <v>66613.100000000006</v>
          </cell>
          <cell r="J523">
            <v>76571.45</v>
          </cell>
          <cell r="K523">
            <v>76703.509999999995</v>
          </cell>
          <cell r="L523">
            <v>73454.39</v>
          </cell>
          <cell r="M523">
            <v>105719.51</v>
          </cell>
          <cell r="N523">
            <v>68930.789999999994</v>
          </cell>
          <cell r="O523">
            <v>76775.240000000005</v>
          </cell>
          <cell r="P523">
            <v>1034202.8</v>
          </cell>
          <cell r="Q523">
            <v>1034202.8</v>
          </cell>
        </row>
        <row r="524">
          <cell r="A524" t="str">
            <v>F93510G</v>
          </cell>
          <cell r="B524" t="str">
            <v>MAINT OF GENERAL PLA</v>
          </cell>
          <cell r="C524">
            <v>0</v>
          </cell>
          <cell r="D524">
            <v>39459.29</v>
          </cell>
          <cell r="E524">
            <v>43650.61</v>
          </cell>
          <cell r="F524">
            <v>35685.03</v>
          </cell>
          <cell r="G524">
            <v>40523.879999999997</v>
          </cell>
          <cell r="H524">
            <v>37449.17</v>
          </cell>
          <cell r="I524">
            <v>27288.91</v>
          </cell>
          <cell r="J524">
            <v>30284.23</v>
          </cell>
          <cell r="K524">
            <v>32447.82</v>
          </cell>
          <cell r="L524">
            <v>28475.68</v>
          </cell>
          <cell r="M524">
            <v>42711.41</v>
          </cell>
          <cell r="N524">
            <v>27997.89</v>
          </cell>
          <cell r="O524">
            <v>43142.22</v>
          </cell>
          <cell r="P524">
            <v>429116.14</v>
          </cell>
          <cell r="Q524">
            <v>429116.14</v>
          </cell>
        </row>
        <row r="525">
          <cell r="A525" t="str">
            <v>F99912C</v>
          </cell>
          <cell r="B525" t="str">
            <v>OVERHEAD RECONCILIATION-DEBIT</v>
          </cell>
          <cell r="C525">
            <v>52057.98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52057.98</v>
          </cell>
        </row>
        <row r="526">
          <cell r="A526" t="str">
            <v>F99913C</v>
          </cell>
          <cell r="B526" t="str">
            <v>OVERHEAD RECONCILIATION-CREDIT</v>
          </cell>
          <cell r="C526">
            <v>-52057.98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-52057.98</v>
          </cell>
        </row>
        <row r="527">
          <cell r="A527" t="str">
            <v>F99914C</v>
          </cell>
          <cell r="B527" t="str">
            <v>SEMPRA CHARGES RECON-DEBIT</v>
          </cell>
          <cell r="C527">
            <v>843660.1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843660.1</v>
          </cell>
        </row>
        <row r="528">
          <cell r="A528" t="str">
            <v>F99915C</v>
          </cell>
          <cell r="B528" t="str">
            <v>SEMPRA CHARGES RECON-CREDIT</v>
          </cell>
          <cell r="C528">
            <v>-843660.1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-843660.1</v>
          </cell>
        </row>
        <row r="529">
          <cell r="A529" t="str">
            <v>F99970C</v>
          </cell>
          <cell r="B529" t="str">
            <v>NEGATIVE ADJUSTMENTS-DEBITS</v>
          </cell>
          <cell r="C529">
            <v>1440991.19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1440991.19</v>
          </cell>
        </row>
        <row r="530">
          <cell r="A530" t="str">
            <v>F99971C</v>
          </cell>
          <cell r="B530" t="str">
            <v>NEGATIVE ADJUSTMENTS-DEBITS</v>
          </cell>
          <cell r="C530">
            <v>560771.13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560771.13</v>
          </cell>
        </row>
        <row r="531">
          <cell r="A531" t="str">
            <v>F99972C</v>
          </cell>
          <cell r="B531" t="str">
            <v>SDGE O/H NEGATIVE ADJUSTMENTS-DEBITS</v>
          </cell>
          <cell r="C531">
            <v>282062.7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282062.7</v>
          </cell>
        </row>
        <row r="532">
          <cell r="A532" t="str">
            <v>F99980C</v>
          </cell>
          <cell r="B532" t="str">
            <v>NEGATIVE ADJUSTMENTS-CREDITS</v>
          </cell>
          <cell r="C532">
            <v>-1440991.19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-1440991.19</v>
          </cell>
        </row>
        <row r="533">
          <cell r="A533" t="str">
            <v>F99981C</v>
          </cell>
          <cell r="B533" t="str">
            <v>NEGATIVE ADJUSTMENTS-CREDITS</v>
          </cell>
          <cell r="C533">
            <v>-560771.13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-560771.13</v>
          </cell>
        </row>
        <row r="534">
          <cell r="A534" t="str">
            <v>F99982C</v>
          </cell>
          <cell r="B534" t="str">
            <v>SDGE O/H NEGATIVE ADJUSTMENTS-CREDITS</v>
          </cell>
          <cell r="C534">
            <v>-282062.7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-282062.7</v>
          </cell>
        </row>
        <row r="535">
          <cell r="A535" t="str">
            <v>F99990C</v>
          </cell>
          <cell r="B535" t="str">
            <v>PROFIT AND LOSS OFFSET ACCOUNT</v>
          </cell>
          <cell r="C535">
            <v>0</v>
          </cell>
          <cell r="D535">
            <v>-50516726.799999997</v>
          </cell>
          <cell r="E535">
            <v>-62460241.329999998</v>
          </cell>
          <cell r="F535">
            <v>-57197847.840000004</v>
          </cell>
          <cell r="G535">
            <v>-40105254.25</v>
          </cell>
          <cell r="H535">
            <v>-53555595.390000001</v>
          </cell>
          <cell r="I535">
            <v>-55022782.530000001</v>
          </cell>
          <cell r="J535">
            <v>-52857198.469999999</v>
          </cell>
          <cell r="K535">
            <v>-62724998.939999998</v>
          </cell>
          <cell r="L535">
            <v>-64124086.880000003</v>
          </cell>
          <cell r="M535">
            <v>-68564665.280000001</v>
          </cell>
          <cell r="N535">
            <v>-53084959.810000002</v>
          </cell>
          <cell r="O535">
            <v>-91130668.230000004</v>
          </cell>
          <cell r="P535">
            <v>-711345025.75</v>
          </cell>
          <cell r="Q535">
            <v>-711345025.75</v>
          </cell>
        </row>
        <row r="536">
          <cell r="A536" t="str">
            <v>FERROR1</v>
          </cell>
          <cell r="B536" t="str">
            <v>FERC FLOW OF COSTS TRACE ERRORS</v>
          </cell>
          <cell r="C536">
            <v>0</v>
          </cell>
          <cell r="D536">
            <v>-113.15</v>
          </cell>
          <cell r="E536">
            <v>-0.04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-113.19000000000001</v>
          </cell>
          <cell r="Q536">
            <v>-113.19000000000001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2.9802322387695313E-8</v>
          </cell>
          <cell r="P537">
            <v>-8.9645386935899296E-7</v>
          </cell>
          <cell r="Q537">
            <v>2.9802322387695313E-8</v>
          </cell>
        </row>
      </sheetData>
      <sheetData sheetId="3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25940448.66</v>
          </cell>
          <cell r="E26">
            <v>17929176.25</v>
          </cell>
          <cell r="F26">
            <v>15446801.810000001</v>
          </cell>
          <cell r="G26">
            <v>9841464.6699999999</v>
          </cell>
          <cell r="H26">
            <v>8372962.2400000002</v>
          </cell>
          <cell r="I26">
            <v>35325174.700000003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225160380.94</v>
          </cell>
        </row>
        <row r="27">
          <cell r="A27" t="str">
            <v>F10100G</v>
          </cell>
          <cell r="B27" t="str">
            <v>PLANT IN SERVICE</v>
          </cell>
          <cell r="D27">
            <v>717567.8</v>
          </cell>
          <cell r="E27">
            <v>1948665.07</v>
          </cell>
          <cell r="F27">
            <v>1960692.9</v>
          </cell>
          <cell r="G27">
            <v>2769975.46</v>
          </cell>
          <cell r="H27">
            <v>1551142.09</v>
          </cell>
          <cell r="I27">
            <v>2300293.91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29982326.039999999</v>
          </cell>
        </row>
        <row r="28">
          <cell r="A28" t="str">
            <v>F10200E</v>
          </cell>
          <cell r="B28" t="str">
            <v>PLANT PURCHASED OR SOLD</v>
          </cell>
          <cell r="E28">
            <v>10232.040000000001</v>
          </cell>
          <cell r="I28">
            <v>0</v>
          </cell>
          <cell r="N28">
            <v>0</v>
          </cell>
          <cell r="O28">
            <v>0</v>
          </cell>
          <cell r="Q28">
            <v>10232.040000000001</v>
          </cell>
        </row>
        <row r="29">
          <cell r="A29" t="str">
            <v>F10500C</v>
          </cell>
          <cell r="B29" t="str">
            <v>HELD FOR FUTURE USE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-4020357.23</v>
          </cell>
          <cell r="E30">
            <v>-5585037.0099999998</v>
          </cell>
          <cell r="F30">
            <v>-323510.15999999997</v>
          </cell>
          <cell r="G30">
            <v>5764123.1100000003</v>
          </cell>
          <cell r="H30">
            <v>4013987.54</v>
          </cell>
          <cell r="I30">
            <v>-15587431.210000001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-10822583.350000001</v>
          </cell>
        </row>
        <row r="31">
          <cell r="A31" t="str">
            <v>F10700E</v>
          </cell>
          <cell r="Q31">
            <v>0</v>
          </cell>
        </row>
        <row r="32">
          <cell r="A32" t="str">
            <v>F10700G</v>
          </cell>
          <cell r="Q32">
            <v>0</v>
          </cell>
        </row>
        <row r="33">
          <cell r="A33" t="str">
            <v>F10800E</v>
          </cell>
          <cell r="B33" t="str">
            <v>ACCUMULATED PROVISION FOR DEPRECIATION</v>
          </cell>
          <cell r="D33">
            <v>-10434159.09</v>
          </cell>
          <cell r="E33">
            <v>-7880761.3399999999</v>
          </cell>
          <cell r="F33">
            <v>-7297371.6600000001</v>
          </cell>
          <cell r="G33">
            <v>-11487093.84</v>
          </cell>
          <cell r="H33">
            <v>-10242584.07</v>
          </cell>
          <cell r="I33">
            <v>-6345584.5599999996</v>
          </cell>
          <cell r="J33">
            <v>-10611088.880000001</v>
          </cell>
          <cell r="K33">
            <v>-10156127.970000001</v>
          </cell>
          <cell r="L33">
            <v>-1200453.06</v>
          </cell>
          <cell r="M33">
            <v>-10418804.390000001</v>
          </cell>
          <cell r="N33">
            <v>-9863965.2400000002</v>
          </cell>
          <cell r="O33">
            <v>-13115016.76</v>
          </cell>
          <cell r="Q33">
            <v>-109053010.86000001</v>
          </cell>
        </row>
        <row r="34">
          <cell r="A34" t="str">
            <v>F10800G</v>
          </cell>
          <cell r="B34" t="str">
            <v>ACCUMULATED PROVISION FOR DEPRECIATION</v>
          </cell>
          <cell r="D34">
            <v>-2749112.4</v>
          </cell>
          <cell r="E34">
            <v>-2619386.7200000002</v>
          </cell>
          <cell r="F34">
            <v>-2614343.4</v>
          </cell>
          <cell r="G34">
            <v>-2632218.91</v>
          </cell>
          <cell r="H34">
            <v>-2643990.7799999998</v>
          </cell>
          <cell r="I34">
            <v>-2652290.4300000002</v>
          </cell>
          <cell r="J34">
            <v>-2629735.56</v>
          </cell>
          <cell r="K34">
            <v>-2554886.54</v>
          </cell>
          <cell r="L34">
            <v>-2638800.62</v>
          </cell>
          <cell r="M34">
            <v>-2657122.14</v>
          </cell>
          <cell r="N34">
            <v>-2701946.33</v>
          </cell>
          <cell r="O34">
            <v>-2545273.4900000002</v>
          </cell>
          <cell r="Q34">
            <v>-31639107.32</v>
          </cell>
        </row>
        <row r="35">
          <cell r="A35" t="str">
            <v>F11100C</v>
          </cell>
          <cell r="B35" t="str">
            <v>ACCUMULATED PROVISION FOR AMORTIZATION AND DEPLETI</v>
          </cell>
          <cell r="D35">
            <v>-620411.32999999996</v>
          </cell>
          <cell r="E35">
            <v>-578905.94999999995</v>
          </cell>
          <cell r="F35">
            <v>-578905.94999999995</v>
          </cell>
          <cell r="G35">
            <v>-576658.32999999996</v>
          </cell>
          <cell r="H35">
            <v>-584493.68000000005</v>
          </cell>
          <cell r="I35">
            <v>-596643.18999999994</v>
          </cell>
          <cell r="J35">
            <v>2245453.16</v>
          </cell>
          <cell r="K35">
            <v>-487956.76</v>
          </cell>
          <cell r="L35">
            <v>-487956.76</v>
          </cell>
          <cell r="M35">
            <v>-485926.17</v>
          </cell>
          <cell r="N35">
            <v>-566359.52</v>
          </cell>
          <cell r="O35">
            <v>-654130.59</v>
          </cell>
          <cell r="Q35">
            <v>-3972895.0699999994</v>
          </cell>
        </row>
        <row r="36">
          <cell r="A36" t="str">
            <v>F11100E</v>
          </cell>
          <cell r="B36" t="str">
            <v>ACCUMULATED PROVISION FOR AMORTIZATION AND DEPLETI</v>
          </cell>
          <cell r="D36">
            <v>-169241.32</v>
          </cell>
          <cell r="E36">
            <v>-171851.85</v>
          </cell>
          <cell r="F36">
            <v>-168824.16</v>
          </cell>
          <cell r="G36">
            <v>-168257.21</v>
          </cell>
          <cell r="H36">
            <v>-173158.15</v>
          </cell>
          <cell r="I36">
            <v>-169271.49</v>
          </cell>
          <cell r="J36">
            <v>-3039584.28</v>
          </cell>
          <cell r="K36">
            <v>-324275.51</v>
          </cell>
          <cell r="L36">
            <v>-323149.46999999997</v>
          </cell>
          <cell r="M36">
            <v>-321933.62</v>
          </cell>
          <cell r="N36">
            <v>-313683.95</v>
          </cell>
          <cell r="O36">
            <v>-322399.90999999997</v>
          </cell>
          <cell r="Q36">
            <v>-5665630.9199999999</v>
          </cell>
        </row>
        <row r="37">
          <cell r="A37" t="str">
            <v>F11100G</v>
          </cell>
          <cell r="B37" t="str">
            <v>ACCUMULATED PROVISION FOR AMORTIZATION AND DEPLETI</v>
          </cell>
          <cell r="D37">
            <v>-23566.959999999999</v>
          </cell>
          <cell r="E37">
            <v>-23568.34</v>
          </cell>
          <cell r="F37">
            <v>-23572.3</v>
          </cell>
          <cell r="G37">
            <v>-25369.62</v>
          </cell>
          <cell r="H37">
            <v>-27172.02</v>
          </cell>
          <cell r="I37">
            <v>-27188.67</v>
          </cell>
          <cell r="J37">
            <v>-27128.46</v>
          </cell>
          <cell r="K37">
            <v>-27294.25</v>
          </cell>
          <cell r="L37">
            <v>-27298.73</v>
          </cell>
          <cell r="M37">
            <v>-27338.28</v>
          </cell>
          <cell r="N37">
            <v>-27486.79</v>
          </cell>
          <cell r="O37">
            <v>-27701.19</v>
          </cell>
          <cell r="Q37">
            <v>-314685.61</v>
          </cell>
        </row>
        <row r="38">
          <cell r="A38" t="str">
            <v>F11800C</v>
          </cell>
          <cell r="B38" t="str">
            <v>OTHER UTILITY PLANT</v>
          </cell>
          <cell r="D38">
            <v>2073681.32</v>
          </cell>
          <cell r="E38">
            <v>122895.49</v>
          </cell>
          <cell r="F38">
            <v>-180699.79</v>
          </cell>
          <cell r="G38">
            <v>527451.42000000004</v>
          </cell>
          <cell r="H38">
            <v>1949582.13</v>
          </cell>
          <cell r="I38">
            <v>-2434513.17</v>
          </cell>
          <cell r="J38">
            <v>-2531920.5099999998</v>
          </cell>
          <cell r="K38">
            <v>-206347.48</v>
          </cell>
          <cell r="L38">
            <v>-297420.06</v>
          </cell>
          <cell r="M38">
            <v>44811.12</v>
          </cell>
          <cell r="N38">
            <v>9994148.8800000008</v>
          </cell>
          <cell r="O38">
            <v>2422803.64</v>
          </cell>
          <cell r="Q38">
            <v>11484472.990000002</v>
          </cell>
        </row>
        <row r="39">
          <cell r="A39" t="str">
            <v>F11830C</v>
          </cell>
          <cell r="B39" t="str">
            <v>OTHER UTILITY PLANT CWIP</v>
          </cell>
          <cell r="D39">
            <v>-2476917.46</v>
          </cell>
          <cell r="E39">
            <v>1228308.8</v>
          </cell>
          <cell r="F39">
            <v>1353230.11</v>
          </cell>
          <cell r="G39">
            <v>1080200.21</v>
          </cell>
          <cell r="H39">
            <v>-697361.51</v>
          </cell>
          <cell r="I39">
            <v>-4266910.17</v>
          </cell>
          <cell r="J39">
            <v>-3082703.3</v>
          </cell>
          <cell r="K39">
            <v>1152627.52</v>
          </cell>
          <cell r="L39">
            <v>2272203.7000000002</v>
          </cell>
          <cell r="M39">
            <v>2169658.02</v>
          </cell>
          <cell r="N39">
            <v>-7779150.5999999996</v>
          </cell>
          <cell r="O39">
            <v>3628657.84</v>
          </cell>
          <cell r="Q39">
            <v>-5418156.839999998</v>
          </cell>
        </row>
        <row r="40">
          <cell r="A40" t="str">
            <v>F11900C</v>
          </cell>
          <cell r="B40" t="str">
            <v>ACCUM AMORT-OTHER UTILITY PLANT</v>
          </cell>
          <cell r="D40">
            <v>-1116960.6100000001</v>
          </cell>
          <cell r="E40">
            <v>-1163042.6299999999</v>
          </cell>
          <cell r="F40">
            <v>-885214.01</v>
          </cell>
          <cell r="G40">
            <v>-1162401.96</v>
          </cell>
          <cell r="H40">
            <v>-1177384.23</v>
          </cell>
          <cell r="I40">
            <v>6162431.9500000002</v>
          </cell>
          <cell r="J40">
            <v>-1151209</v>
          </cell>
          <cell r="K40">
            <v>-1178494.95</v>
          </cell>
          <cell r="L40">
            <v>-813913.62</v>
          </cell>
          <cell r="M40">
            <v>-1110594.29</v>
          </cell>
          <cell r="N40">
            <v>-803560.69</v>
          </cell>
          <cell r="O40">
            <v>-1019059.76</v>
          </cell>
          <cell r="Q40">
            <v>-5419403.7999999989</v>
          </cell>
        </row>
        <row r="41">
          <cell r="A41" t="str">
            <v>F12060E</v>
          </cell>
          <cell r="B41" t="str">
            <v>NUCLEAR FUEL UNDER CAPITAL LEASES-ACC DEPRECIATION</v>
          </cell>
          <cell r="D41">
            <v>26211221.920000002</v>
          </cell>
          <cell r="E41">
            <v>-523420</v>
          </cell>
          <cell r="F41">
            <v>-550292</v>
          </cell>
          <cell r="G41">
            <v>-532042</v>
          </cell>
          <cell r="H41">
            <v>-544736</v>
          </cell>
          <cell r="I41">
            <v>-1007268</v>
          </cell>
          <cell r="J41">
            <v>-1069121</v>
          </cell>
          <cell r="K41">
            <v>-1117620</v>
          </cell>
          <cell r="L41">
            <v>-1091057</v>
          </cell>
          <cell r="M41">
            <v>-949078</v>
          </cell>
          <cell r="N41">
            <v>-1096493</v>
          </cell>
          <cell r="O41">
            <v>-1135019</v>
          </cell>
          <cell r="Q41">
            <v>16595075.920000002</v>
          </cell>
        </row>
        <row r="42">
          <cell r="A42" t="str">
            <v>F12061E</v>
          </cell>
          <cell r="B42" t="str">
            <v>NUCLEAR FUEL UNDER CAPITAL LEASES-CWIP</v>
          </cell>
          <cell r="D42">
            <v>12911.33</v>
          </cell>
          <cell r="E42">
            <v>1672860.57</v>
          </cell>
          <cell r="F42">
            <v>-9617592.5099999998</v>
          </cell>
          <cell r="G42">
            <v>-2386</v>
          </cell>
          <cell r="H42">
            <v>144166.34</v>
          </cell>
          <cell r="I42">
            <v>9000</v>
          </cell>
          <cell r="K42">
            <v>2099873.4300000002</v>
          </cell>
          <cell r="L42">
            <v>-4000</v>
          </cell>
          <cell r="M42">
            <v>588093.75</v>
          </cell>
          <cell r="N42">
            <v>550098.25</v>
          </cell>
          <cell r="O42">
            <v>604.79999999999995</v>
          </cell>
          <cell r="Q42">
            <v>-4546370.04</v>
          </cell>
        </row>
        <row r="43">
          <cell r="A43" t="str">
            <v>F12063E</v>
          </cell>
          <cell r="B43" t="str">
            <v>NUCLEAR FUEL UNDER CAPITAL LEASES-PLANT IN SERVICE</v>
          </cell>
          <cell r="D43">
            <v>-26783109.920000002</v>
          </cell>
          <cell r="F43">
            <v>9653914.1300000008</v>
          </cell>
          <cell r="G43">
            <v>55727.6</v>
          </cell>
          <cell r="I43">
            <v>0</v>
          </cell>
          <cell r="K43">
            <v>1900719.6</v>
          </cell>
          <cell r="N43">
            <v>0</v>
          </cell>
          <cell r="O43">
            <v>0</v>
          </cell>
          <cell r="Q43">
            <v>-15172748.589999998</v>
          </cell>
        </row>
        <row r="44">
          <cell r="A44" t="str">
            <v>F12100C</v>
          </cell>
          <cell r="B44" t="str">
            <v>NONUTILITY PROPERTY</v>
          </cell>
          <cell r="D44">
            <v>1730.22</v>
          </cell>
          <cell r="E44">
            <v>-371725.03</v>
          </cell>
          <cell r="F44">
            <v>258822.72</v>
          </cell>
          <cell r="G44">
            <v>57595.88</v>
          </cell>
          <cell r="H44">
            <v>3751009.23</v>
          </cell>
          <cell r="I44">
            <v>578.79</v>
          </cell>
          <cell r="J44">
            <v>1838.17</v>
          </cell>
          <cell r="K44">
            <v>117314.66</v>
          </cell>
          <cell r="L44">
            <v>-1445.53</v>
          </cell>
          <cell r="M44">
            <v>227687.63</v>
          </cell>
          <cell r="N44">
            <v>-100261.23</v>
          </cell>
          <cell r="O44">
            <v>85515.66</v>
          </cell>
          <cell r="Q44">
            <v>4028661.1700000004</v>
          </cell>
        </row>
        <row r="45">
          <cell r="A45" t="str">
            <v>F12200C</v>
          </cell>
          <cell r="B45" t="str">
            <v>ACCUM. PROV. FOR DEPR. AND AMORT.</v>
          </cell>
          <cell r="D45">
            <v>-12756.23</v>
          </cell>
          <cell r="E45">
            <v>-12756.24</v>
          </cell>
          <cell r="F45">
            <v>-12756.23</v>
          </cell>
          <cell r="G45">
            <v>-12756.24</v>
          </cell>
          <cell r="H45">
            <v>-12756.23</v>
          </cell>
          <cell r="I45">
            <v>-12756.25</v>
          </cell>
          <cell r="J45">
            <v>-12756.22</v>
          </cell>
          <cell r="K45">
            <v>-12756.23</v>
          </cell>
          <cell r="L45">
            <v>-12756.24</v>
          </cell>
          <cell r="M45">
            <v>-12756.23</v>
          </cell>
          <cell r="N45">
            <v>-12756.24</v>
          </cell>
          <cell r="O45">
            <v>-12756.23</v>
          </cell>
          <cell r="Q45">
            <v>-153074.81</v>
          </cell>
        </row>
        <row r="46">
          <cell r="A46" t="str">
            <v>F12310C</v>
          </cell>
          <cell r="Q46">
            <v>0</v>
          </cell>
        </row>
        <row r="47">
          <cell r="A47" t="str">
            <v>F12400C</v>
          </cell>
          <cell r="B47" t="str">
            <v>OTHER INVESTMENTS</v>
          </cell>
          <cell r="G47">
            <v>-5355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112248.1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85276.9</v>
          </cell>
          <cell r="E48">
            <v>133435.69</v>
          </cell>
          <cell r="F48">
            <v>112647</v>
          </cell>
          <cell r="G48">
            <v>209090.16</v>
          </cell>
          <cell r="H48">
            <v>96427.4</v>
          </cell>
          <cell r="I48">
            <v>131951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326194.64000000013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-3673827.05</v>
          </cell>
          <cell r="G49">
            <v>410600</v>
          </cell>
          <cell r="H49">
            <v>410600</v>
          </cell>
          <cell r="I49">
            <v>-2915481.27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-16723104.000000002</v>
          </cell>
        </row>
        <row r="50">
          <cell r="A50" t="str">
            <v>F13100C</v>
          </cell>
          <cell r="B50" t="str">
            <v>CASH</v>
          </cell>
          <cell r="D50">
            <v>7513437.4100000001</v>
          </cell>
          <cell r="E50">
            <v>3483478.12</v>
          </cell>
          <cell r="F50">
            <v>-8206841.1399999997</v>
          </cell>
          <cell r="G50">
            <v>4879293.88</v>
          </cell>
          <cell r="H50">
            <v>-2736209.81</v>
          </cell>
          <cell r="I50">
            <v>-2703084.95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3461823.5400000005</v>
          </cell>
        </row>
        <row r="51">
          <cell r="A51" t="str">
            <v>F13400C</v>
          </cell>
          <cell r="B51" t="str">
            <v>OTHER SPECIAL DEPOSITS</v>
          </cell>
          <cell r="D51">
            <v>-100763.1</v>
          </cell>
          <cell r="E51">
            <v>12.92</v>
          </cell>
          <cell r="F51">
            <v>12.61</v>
          </cell>
          <cell r="G51">
            <v>9.92</v>
          </cell>
          <cell r="H51">
            <v>-235283.46</v>
          </cell>
          <cell r="I51">
            <v>663622.76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72345.929999999993</v>
          </cell>
        </row>
        <row r="52">
          <cell r="A52" t="str">
            <v>F13500C</v>
          </cell>
          <cell r="B52" t="str">
            <v>WORKING FUND</v>
          </cell>
          <cell r="F52">
            <v>1000</v>
          </cell>
          <cell r="H52">
            <v>-2090.67</v>
          </cell>
          <cell r="I52">
            <v>-6909.9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-17940</v>
          </cell>
        </row>
        <row r="53">
          <cell r="A53" t="str">
            <v>F13600C</v>
          </cell>
          <cell r="B53" t="str">
            <v>TEMPORARY CASH INVESTMENTS</v>
          </cell>
          <cell r="D53">
            <v>-55241221.799999997</v>
          </cell>
          <cell r="E53">
            <v>240236513.11000001</v>
          </cell>
          <cell r="F53">
            <v>111004961.56999999</v>
          </cell>
          <cell r="G53">
            <v>30738253.079999998</v>
          </cell>
          <cell r="H53">
            <v>-316499536.69999999</v>
          </cell>
          <cell r="I53">
            <v>106223934.18000001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61931248.659999996</v>
          </cell>
        </row>
        <row r="54">
          <cell r="A54" t="str">
            <v>F14200C</v>
          </cell>
          <cell r="B54" t="str">
            <v>CUSTOMER ACCOUNTS RECEIVABLE</v>
          </cell>
          <cell r="D54">
            <v>90783741.890000001</v>
          </cell>
          <cell r="E54">
            <v>25821856.18</v>
          </cell>
          <cell r="F54">
            <v>-13964461.15</v>
          </cell>
          <cell r="G54">
            <v>-54285099.18</v>
          </cell>
          <cell r="H54">
            <v>-22894221.25</v>
          </cell>
          <cell r="I54">
            <v>-2289760.4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-47042384.839999989</v>
          </cell>
        </row>
        <row r="55">
          <cell r="A55" t="str">
            <v>F14300C</v>
          </cell>
          <cell r="B55" t="str">
            <v>OTHER ACCOUNTS RECEIVABLE</v>
          </cell>
          <cell r="D55">
            <v>-6503081.21</v>
          </cell>
          <cell r="E55">
            <v>-17970498.43</v>
          </cell>
          <cell r="F55">
            <v>5270207.28</v>
          </cell>
          <cell r="G55">
            <v>4094465.84</v>
          </cell>
          <cell r="H55">
            <v>12139692.43</v>
          </cell>
          <cell r="I55">
            <v>-2909986.79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-17594056.990000002</v>
          </cell>
        </row>
        <row r="56">
          <cell r="A56" t="str">
            <v>F14400C</v>
          </cell>
          <cell r="Q56">
            <v>0</v>
          </cell>
        </row>
        <row r="57">
          <cell r="A57" t="str">
            <v>F14500C</v>
          </cell>
          <cell r="B57" t="str">
            <v>NOTES REC FROM ASSOC</v>
          </cell>
          <cell r="D57">
            <v>-19087729.07</v>
          </cell>
          <cell r="H57">
            <v>146883180.28999999</v>
          </cell>
          <cell r="I57">
            <v>-146580476.66999999</v>
          </cell>
          <cell r="J57">
            <v>3546911.12</v>
          </cell>
          <cell r="K57">
            <v>138543994.84999999</v>
          </cell>
          <cell r="L57">
            <v>31142952.530000001</v>
          </cell>
          <cell r="M57">
            <v>41374603.950000003</v>
          </cell>
          <cell r="N57">
            <v>-19716138.43</v>
          </cell>
          <cell r="O57">
            <v>-143432350.00999999</v>
          </cell>
          <cell r="Q57">
            <v>32674948.560000002</v>
          </cell>
        </row>
        <row r="58">
          <cell r="A58" t="str">
            <v>F14600C</v>
          </cell>
          <cell r="B58" t="str">
            <v>ACCOUNTS RECEIVABLE FROM ASSOC. COMPANIES</v>
          </cell>
          <cell r="D58">
            <v>-6948913.9699999997</v>
          </cell>
          <cell r="E58">
            <v>9291785.6699999999</v>
          </cell>
          <cell r="F58">
            <v>1966347.8</v>
          </cell>
          <cell r="G58">
            <v>7579757.9100000001</v>
          </cell>
          <cell r="H58">
            <v>-6192670.6799999997</v>
          </cell>
          <cell r="I58">
            <v>76598.679999999993</v>
          </cell>
          <cell r="J58">
            <v>-1799175.24</v>
          </cell>
          <cell r="K58">
            <v>3380399.61</v>
          </cell>
          <cell r="L58">
            <v>951171.52</v>
          </cell>
          <cell r="M58">
            <v>-6163089.1299999999</v>
          </cell>
          <cell r="N58">
            <v>5028848.33</v>
          </cell>
          <cell r="O58">
            <v>-11434258.59</v>
          </cell>
          <cell r="Q58">
            <v>-4263198.0900000008</v>
          </cell>
        </row>
        <row r="59">
          <cell r="A59" t="str">
            <v>F15200C</v>
          </cell>
          <cell r="Q59">
            <v>0</v>
          </cell>
        </row>
        <row r="60">
          <cell r="A60" t="str">
            <v>F15400C</v>
          </cell>
          <cell r="B60" t="str">
            <v>PLANT MATERIALS AND OPERATING SUPPLIES</v>
          </cell>
          <cell r="D60">
            <v>-651454.52</v>
          </cell>
          <cell r="E60">
            <v>-219848.22</v>
          </cell>
          <cell r="F60">
            <v>-519100.37</v>
          </cell>
          <cell r="G60">
            <v>1899669.15</v>
          </cell>
          <cell r="H60">
            <v>-173280.15</v>
          </cell>
          <cell r="I60">
            <v>-1092566.6100000001</v>
          </cell>
          <cell r="J60">
            <v>-320566.09000000003</v>
          </cell>
          <cell r="K60">
            <v>727549.72</v>
          </cell>
          <cell r="L60">
            <v>-1724128.1</v>
          </cell>
          <cell r="M60">
            <v>2168113.79</v>
          </cell>
          <cell r="N60">
            <v>-2352968.2200000002</v>
          </cell>
          <cell r="O60">
            <v>266764.79999999999</v>
          </cell>
          <cell r="Q60">
            <v>-1991814.82</v>
          </cell>
        </row>
        <row r="61">
          <cell r="A61" t="str">
            <v>F15600C</v>
          </cell>
          <cell r="B61" t="str">
            <v>OTHER MATERIALS AND SUPPLIES</v>
          </cell>
          <cell r="D61">
            <v>-301.92</v>
          </cell>
          <cell r="E61">
            <v>701.15</v>
          </cell>
          <cell r="F61">
            <v>952.82</v>
          </cell>
          <cell r="G61">
            <v>2903.32</v>
          </cell>
          <cell r="H61">
            <v>280</v>
          </cell>
          <cell r="I61">
            <v>-8331.35</v>
          </cell>
          <cell r="J61">
            <v>-37604.839999999997</v>
          </cell>
          <cell r="K61">
            <v>2908.13</v>
          </cell>
          <cell r="L61">
            <v>-735.53</v>
          </cell>
          <cell r="M61">
            <v>10301.42</v>
          </cell>
          <cell r="N61">
            <v>-176.41</v>
          </cell>
          <cell r="O61">
            <v>-10125.01</v>
          </cell>
          <cell r="Q61">
            <v>-39228.22</v>
          </cell>
        </row>
        <row r="62">
          <cell r="A62" t="str">
            <v>F15700C</v>
          </cell>
          <cell r="Q62">
            <v>0</v>
          </cell>
        </row>
        <row r="63">
          <cell r="A63" t="str">
            <v>F16300C</v>
          </cell>
          <cell r="B63" t="str">
            <v>STORES EXPENSE UNDISTRIBUTED</v>
          </cell>
          <cell r="D63">
            <v>244573.57</v>
          </cell>
          <cell r="E63">
            <v>137612.95000000001</v>
          </cell>
          <cell r="F63">
            <v>11337.92</v>
          </cell>
          <cell r="G63">
            <v>857385.24</v>
          </cell>
          <cell r="H63">
            <v>342876.7</v>
          </cell>
          <cell r="I63">
            <v>-104401.66</v>
          </cell>
          <cell r="J63">
            <v>856271.73</v>
          </cell>
          <cell r="K63">
            <v>139120.53</v>
          </cell>
          <cell r="L63">
            <v>-1429832.63</v>
          </cell>
          <cell r="M63">
            <v>-2678314.69</v>
          </cell>
          <cell r="N63">
            <v>1955901.55</v>
          </cell>
          <cell r="O63">
            <v>-25960.75</v>
          </cell>
          <cell r="Q63">
            <v>306570.4600000002</v>
          </cell>
        </row>
        <row r="64">
          <cell r="A64" t="str">
            <v>F16410C</v>
          </cell>
          <cell r="B64" t="str">
            <v>GAS STORED UNDERGROUND-CURRENT</v>
          </cell>
          <cell r="D64">
            <v>-5555239</v>
          </cell>
          <cell r="E64">
            <v>-3152571</v>
          </cell>
          <cell r="F64">
            <v>223555</v>
          </cell>
          <cell r="G64">
            <v>3466164</v>
          </cell>
          <cell r="H64">
            <v>11082045</v>
          </cell>
          <cell r="I64">
            <v>9013380</v>
          </cell>
          <cell r="J64">
            <v>2399738</v>
          </cell>
          <cell r="K64">
            <v>1200193</v>
          </cell>
          <cell r="L64">
            <v>3582041</v>
          </cell>
          <cell r="M64">
            <v>1646309</v>
          </cell>
          <cell r="N64">
            <v>24135</v>
          </cell>
          <cell r="O64">
            <v>-2231773</v>
          </cell>
          <cell r="Q64">
            <v>21697977</v>
          </cell>
        </row>
        <row r="65">
          <cell r="A65" t="str">
            <v>F16420C</v>
          </cell>
          <cell r="B65" t="str">
            <v>LIQUEFIED NATURAL GAS STORED</v>
          </cell>
          <cell r="D65">
            <v>-24.46</v>
          </cell>
          <cell r="E65">
            <v>-2764.54</v>
          </cell>
          <cell r="F65">
            <v>4818.83</v>
          </cell>
          <cell r="G65">
            <v>-5336.02</v>
          </cell>
          <cell r="H65">
            <v>383.76</v>
          </cell>
          <cell r="I65">
            <v>869.23</v>
          </cell>
          <cell r="J65">
            <v>1216.01</v>
          </cell>
          <cell r="K65">
            <v>-1560.79</v>
          </cell>
          <cell r="L65">
            <v>1097.95</v>
          </cell>
          <cell r="M65">
            <v>1306.01</v>
          </cell>
          <cell r="N65">
            <v>-2898.51</v>
          </cell>
          <cell r="O65">
            <v>3606.41</v>
          </cell>
          <cell r="Q65">
            <v>713.8799999999992</v>
          </cell>
        </row>
        <row r="66">
          <cell r="A66" t="str">
            <v>F16500C</v>
          </cell>
          <cell r="B66" t="str">
            <v>PREPAYMENTS</v>
          </cell>
          <cell r="D66">
            <v>-906794.99</v>
          </cell>
          <cell r="E66">
            <v>-294897.78999999998</v>
          </cell>
          <cell r="F66">
            <v>-297930.78999999998</v>
          </cell>
          <cell r="G66">
            <v>1457619.11</v>
          </cell>
          <cell r="H66">
            <v>-2093306.98</v>
          </cell>
          <cell r="I66">
            <v>-251729.07</v>
          </cell>
          <cell r="J66">
            <v>932018.24</v>
          </cell>
          <cell r="K66">
            <v>-297281.71999999997</v>
          </cell>
          <cell r="L66">
            <v>1187606.98</v>
          </cell>
          <cell r="M66">
            <v>-268504.52</v>
          </cell>
          <cell r="N66">
            <v>-268504.46999999997</v>
          </cell>
          <cell r="O66">
            <v>-3320078.35</v>
          </cell>
          <cell r="Q66">
            <v>-4421784.3499999996</v>
          </cell>
        </row>
        <row r="67">
          <cell r="A67" t="str">
            <v>F17100C</v>
          </cell>
          <cell r="B67" t="str">
            <v>INTEREST AND DIVIDENDS RECEIVABLE</v>
          </cell>
          <cell r="D67">
            <v>7710738.3600000003</v>
          </cell>
          <cell r="E67">
            <v>213035754.69</v>
          </cell>
          <cell r="F67">
            <v>-220274097.78999999</v>
          </cell>
          <cell r="G67">
            <v>3693890.22</v>
          </cell>
          <cell r="H67">
            <v>-3868696.55</v>
          </cell>
          <cell r="I67">
            <v>-477613.16</v>
          </cell>
          <cell r="J67">
            <v>721711.59</v>
          </cell>
          <cell r="K67">
            <v>-160367.42000000001</v>
          </cell>
          <cell r="L67">
            <v>-103808.47</v>
          </cell>
          <cell r="M67">
            <v>-247117</v>
          </cell>
          <cell r="N67">
            <v>212307.48</v>
          </cell>
          <cell r="O67">
            <v>72508625.079999998</v>
          </cell>
          <cell r="Q67">
            <v>72751327.030000016</v>
          </cell>
        </row>
        <row r="68">
          <cell r="A68" t="str">
            <v>F17300C</v>
          </cell>
          <cell r="B68" t="str">
            <v>ACCRUED UTILITY REVENUES</v>
          </cell>
          <cell r="O68">
            <v>-1259000</v>
          </cell>
          <cell r="Q68">
            <v>-1259000</v>
          </cell>
        </row>
        <row r="69">
          <cell r="A69" t="str">
            <v>F17400C</v>
          </cell>
          <cell r="B69" t="str">
            <v>MISCELLANEOUS CURRENT AND ACCRUED ASSETS</v>
          </cell>
          <cell r="D69">
            <v>119502474</v>
          </cell>
          <cell r="E69">
            <v>-14430775</v>
          </cell>
          <cell r="F69">
            <v>-38602426</v>
          </cell>
          <cell r="G69">
            <v>43949154</v>
          </cell>
          <cell r="H69">
            <v>-66522252</v>
          </cell>
          <cell r="I69">
            <v>-32176527</v>
          </cell>
          <cell r="J69">
            <v>-4650701</v>
          </cell>
          <cell r="K69">
            <v>-3719714</v>
          </cell>
          <cell r="L69">
            <v>-859042</v>
          </cell>
          <cell r="M69">
            <v>12889277</v>
          </cell>
          <cell r="N69">
            <v>-14404777</v>
          </cell>
          <cell r="O69">
            <v>21862</v>
          </cell>
          <cell r="Q69">
            <v>996553</v>
          </cell>
        </row>
        <row r="70">
          <cell r="A70" t="str">
            <v>F17401C</v>
          </cell>
          <cell r="B70" t="str">
            <v>MISC. CURRENT AND ACCRUED ASSETS-BALANCING ACCOUNT</v>
          </cell>
          <cell r="D70">
            <v>153278983</v>
          </cell>
          <cell r="E70">
            <v>25911539</v>
          </cell>
          <cell r="F70">
            <v>28100050</v>
          </cell>
          <cell r="G70">
            <v>47918095</v>
          </cell>
          <cell r="H70">
            <v>-77267363</v>
          </cell>
          <cell r="I70">
            <v>-11018197</v>
          </cell>
          <cell r="J70">
            <v>4938027</v>
          </cell>
          <cell r="K70">
            <v>-91816044</v>
          </cell>
          <cell r="L70">
            <v>847882.66</v>
          </cell>
          <cell r="M70">
            <v>16817330.280000001</v>
          </cell>
          <cell r="N70">
            <v>-115764467.94</v>
          </cell>
          <cell r="O70">
            <v>-14194993</v>
          </cell>
          <cell r="Q70">
            <v>-32249158</v>
          </cell>
        </row>
        <row r="71">
          <cell r="A71" t="str">
            <v>F18100C</v>
          </cell>
          <cell r="B71" t="str">
            <v>UNAMORTIZED DEBT EXPENSES</v>
          </cell>
          <cell r="D71">
            <v>-48511.54</v>
          </cell>
          <cell r="E71">
            <v>-48511.54</v>
          </cell>
          <cell r="F71">
            <v>-48511.54</v>
          </cell>
          <cell r="G71">
            <v>-48511.54</v>
          </cell>
          <cell r="H71">
            <v>-48511.54</v>
          </cell>
          <cell r="I71">
            <v>-48511.54</v>
          </cell>
          <cell r="J71">
            <v>-48511.54</v>
          </cell>
          <cell r="K71">
            <v>-48511.54</v>
          </cell>
          <cell r="L71">
            <v>-48511.54</v>
          </cell>
          <cell r="M71">
            <v>-48511.54</v>
          </cell>
          <cell r="N71">
            <v>-48511.54</v>
          </cell>
          <cell r="O71">
            <v>-48511.54</v>
          </cell>
          <cell r="Q71">
            <v>-582138.48</v>
          </cell>
        </row>
        <row r="72">
          <cell r="A72" t="str">
            <v>F18220C</v>
          </cell>
          <cell r="Q72">
            <v>0</v>
          </cell>
        </row>
        <row r="73">
          <cell r="A73" t="str">
            <v>F18230C</v>
          </cell>
          <cell r="B73" t="str">
            <v>OTHER REGULATORY ASSETS</v>
          </cell>
          <cell r="D73">
            <v>269509887.64999998</v>
          </cell>
          <cell r="E73">
            <v>595420720.64999998</v>
          </cell>
          <cell r="F73">
            <v>-159952634.34999999</v>
          </cell>
          <cell r="G73">
            <v>77208173.650000006</v>
          </cell>
          <cell r="H73">
            <v>-89671161.349999994</v>
          </cell>
          <cell r="I73">
            <v>-225253089.12</v>
          </cell>
          <cell r="J73">
            <v>-7918186.3399999999</v>
          </cell>
          <cell r="K73">
            <v>-140435267.59</v>
          </cell>
          <cell r="L73">
            <v>540619453.38</v>
          </cell>
          <cell r="M73">
            <v>-45944843.590000004</v>
          </cell>
          <cell r="N73">
            <v>38090072.259999998</v>
          </cell>
          <cell r="O73">
            <v>-48227459.960000001</v>
          </cell>
          <cell r="Q73">
            <v>803445665.28999984</v>
          </cell>
        </row>
        <row r="74">
          <cell r="A74" t="str">
            <v>F18300C</v>
          </cell>
          <cell r="B74" t="str">
            <v>PRELIM. SURVEY AND INVESTIGATION CHARGES (ELECTRIC</v>
          </cell>
          <cell r="D74">
            <v>306375.07</v>
          </cell>
          <cell r="E74">
            <v>411246.37</v>
          </cell>
          <cell r="F74">
            <v>72617.990000000005</v>
          </cell>
          <cell r="G74">
            <v>578197.4</v>
          </cell>
          <cell r="H74">
            <v>315685.53999999998</v>
          </cell>
          <cell r="I74">
            <v>342646.36</v>
          </cell>
          <cell r="J74">
            <v>294895.27</v>
          </cell>
          <cell r="K74">
            <v>615651.31999999995</v>
          </cell>
          <cell r="L74">
            <v>552406.93999999994</v>
          </cell>
          <cell r="M74">
            <v>377812.92</v>
          </cell>
          <cell r="N74">
            <v>748915.04</v>
          </cell>
          <cell r="O74">
            <v>386262.24</v>
          </cell>
          <cell r="Q74">
            <v>5002712.46</v>
          </cell>
        </row>
        <row r="75">
          <cell r="A75" t="str">
            <v>F18400C</v>
          </cell>
          <cell r="B75" t="str">
            <v>CLEARING ACCOUNTS</v>
          </cell>
          <cell r="D75">
            <v>-193734.73</v>
          </cell>
          <cell r="E75">
            <v>7822.08</v>
          </cell>
          <cell r="F75">
            <v>598382.09</v>
          </cell>
          <cell r="G75">
            <v>-469348.22</v>
          </cell>
          <cell r="H75">
            <v>-751411.14</v>
          </cell>
          <cell r="I75">
            <v>-254707.8</v>
          </cell>
          <cell r="J75">
            <v>-246168.46</v>
          </cell>
          <cell r="K75">
            <v>-2858202.75</v>
          </cell>
          <cell r="L75">
            <v>2390475.1</v>
          </cell>
          <cell r="M75">
            <v>56617.85</v>
          </cell>
          <cell r="N75">
            <v>-13060.44</v>
          </cell>
          <cell r="O75">
            <v>75254.34</v>
          </cell>
          <cell r="Q75">
            <v>-1658082.0799999994</v>
          </cell>
        </row>
        <row r="76">
          <cell r="A76" t="str">
            <v>F18500C</v>
          </cell>
          <cell r="B76" t="str">
            <v>TEMPORARY FACILITIES</v>
          </cell>
          <cell r="D76">
            <v>53131.96</v>
          </cell>
          <cell r="E76">
            <v>36444.879999999997</v>
          </cell>
          <cell r="F76">
            <v>1937.11</v>
          </cell>
          <cell r="G76">
            <v>-732385.93</v>
          </cell>
          <cell r="H76">
            <v>184799.48</v>
          </cell>
          <cell r="I76">
            <v>16802.560000000001</v>
          </cell>
          <cell r="J76">
            <v>-33553.72</v>
          </cell>
          <cell r="K76">
            <v>-30071.7</v>
          </cell>
          <cell r="L76">
            <v>-43962.21</v>
          </cell>
          <cell r="M76">
            <v>-7057.48</v>
          </cell>
          <cell r="N76">
            <v>-65736.39</v>
          </cell>
          <cell r="O76">
            <v>203034.34</v>
          </cell>
          <cell r="Q76">
            <v>-416617.10000000021</v>
          </cell>
        </row>
        <row r="77">
          <cell r="A77" t="str">
            <v>F18600C</v>
          </cell>
          <cell r="B77" t="str">
            <v>MISCELLANEOUS DEFERRED DEBITS</v>
          </cell>
          <cell r="D77">
            <v>108626095.5</v>
          </cell>
          <cell r="E77">
            <v>-551307632.36000001</v>
          </cell>
          <cell r="F77">
            <v>-40951647.490000002</v>
          </cell>
          <cell r="G77">
            <v>25617346.57</v>
          </cell>
          <cell r="H77">
            <v>231962432.84</v>
          </cell>
          <cell r="I77">
            <v>-315642.32</v>
          </cell>
          <cell r="J77">
            <v>1555594.69</v>
          </cell>
          <cell r="K77">
            <v>-82523051.5</v>
          </cell>
          <cell r="L77">
            <v>33167405.829999998</v>
          </cell>
          <cell r="M77">
            <v>13435598.050000001</v>
          </cell>
          <cell r="N77">
            <v>-117259347.95</v>
          </cell>
          <cell r="O77">
            <v>110026084.83</v>
          </cell>
          <cell r="Q77">
            <v>-267966763.31000006</v>
          </cell>
        </row>
        <row r="78">
          <cell r="A78" t="str">
            <v>F18800C</v>
          </cell>
          <cell r="B78" t="str">
            <v>RESEARCH  DEVEL. AND DEMONSTRATION EXPEND.</v>
          </cell>
          <cell r="I78">
            <v>0</v>
          </cell>
          <cell r="K78">
            <v>4719.09</v>
          </cell>
          <cell r="N78">
            <v>0</v>
          </cell>
          <cell r="O78">
            <v>0</v>
          </cell>
          <cell r="Q78">
            <v>4719.09</v>
          </cell>
        </row>
        <row r="79">
          <cell r="A79" t="str">
            <v>F18900C</v>
          </cell>
          <cell r="B79" t="str">
            <v>UNAMORTIZED LOSS ON REACQUIRED DEBT</v>
          </cell>
          <cell r="D79">
            <v>-374872.7</v>
          </cell>
          <cell r="E79">
            <v>-374872.7</v>
          </cell>
          <cell r="F79">
            <v>-374872.7</v>
          </cell>
          <cell r="G79">
            <v>-374872.7</v>
          </cell>
          <cell r="H79">
            <v>-374872.7</v>
          </cell>
          <cell r="I79">
            <v>-374872.7</v>
          </cell>
          <cell r="J79">
            <v>-374872.7</v>
          </cell>
          <cell r="K79">
            <v>-374872.71</v>
          </cell>
          <cell r="L79">
            <v>-363294.65</v>
          </cell>
          <cell r="M79">
            <v>-363294.65</v>
          </cell>
          <cell r="N79">
            <v>-363294.65</v>
          </cell>
          <cell r="O79">
            <v>-363294.65</v>
          </cell>
          <cell r="Q79">
            <v>-4452160.21</v>
          </cell>
        </row>
        <row r="80">
          <cell r="A80" t="str">
            <v>F19000C</v>
          </cell>
          <cell r="B80" t="str">
            <v>ACCUMULATED DEFERRED INCOME TAXES</v>
          </cell>
          <cell r="D80">
            <v>232697807</v>
          </cell>
          <cell r="E80">
            <v>-217983807</v>
          </cell>
          <cell r="F80">
            <v>30096000</v>
          </cell>
          <cell r="G80">
            <v>121000</v>
          </cell>
          <cell r="H80">
            <v>290451000</v>
          </cell>
          <cell r="I80">
            <v>89000</v>
          </cell>
          <cell r="J80">
            <v>260000</v>
          </cell>
          <cell r="K80">
            <v>87200000</v>
          </cell>
          <cell r="L80">
            <v>-9224000</v>
          </cell>
          <cell r="M80">
            <v>122000</v>
          </cell>
          <cell r="N80">
            <v>11289000</v>
          </cell>
          <cell r="O80">
            <v>-28947000</v>
          </cell>
          <cell r="Q80">
            <v>396171000</v>
          </cell>
        </row>
        <row r="81">
          <cell r="A81" t="str">
            <v>F19002C</v>
          </cell>
          <cell r="B81" t="str">
            <v>ACCUMULATED DEFERRED INCOME TAXES</v>
          </cell>
          <cell r="D81">
            <v>-61526238.229999997</v>
          </cell>
          <cell r="I81">
            <v>0</v>
          </cell>
          <cell r="N81">
            <v>0</v>
          </cell>
          <cell r="O81">
            <v>0</v>
          </cell>
          <cell r="Q81">
            <v>-61526238.229999997</v>
          </cell>
        </row>
        <row r="82">
          <cell r="A82" t="str">
            <v>F19100C</v>
          </cell>
          <cell r="B82" t="str">
            <v>UNRECOVERED PURCHASED GAS COSTS</v>
          </cell>
          <cell r="I82">
            <v>0</v>
          </cell>
          <cell r="L82">
            <v>46327738</v>
          </cell>
          <cell r="M82">
            <v>16609840</v>
          </cell>
          <cell r="N82">
            <v>4996641</v>
          </cell>
          <cell r="O82">
            <v>-765736</v>
          </cell>
          <cell r="Q82">
            <v>67168483</v>
          </cell>
        </row>
        <row r="83">
          <cell r="A83" t="str">
            <v>F20100C</v>
          </cell>
          <cell r="B83" t="str">
            <v>COMMON STOCK ISSUED</v>
          </cell>
          <cell r="I83">
            <v>0</v>
          </cell>
          <cell r="N83">
            <v>0</v>
          </cell>
          <cell r="O83">
            <v>0</v>
          </cell>
          <cell r="Q83">
            <v>0</v>
          </cell>
        </row>
        <row r="84">
          <cell r="A84" t="str">
            <v>F20400C</v>
          </cell>
          <cell r="Q84">
            <v>0</v>
          </cell>
        </row>
        <row r="85">
          <cell r="A85" t="str">
            <v>F20401C</v>
          </cell>
          <cell r="Q85">
            <v>0</v>
          </cell>
        </row>
        <row r="86">
          <cell r="A86" t="str">
            <v>F20700C</v>
          </cell>
          <cell r="Q86">
            <v>0</v>
          </cell>
        </row>
        <row r="87">
          <cell r="A87" t="str">
            <v>F21100C</v>
          </cell>
          <cell r="B87" t="str">
            <v>MISCELLANEOUS PAID-IN CAPITAL</v>
          </cell>
          <cell r="I87">
            <v>-104163</v>
          </cell>
          <cell r="J87">
            <v>-100613</v>
          </cell>
          <cell r="N87">
            <v>0</v>
          </cell>
          <cell r="O87">
            <v>14324</v>
          </cell>
          <cell r="Q87">
            <v>-190452</v>
          </cell>
        </row>
        <row r="88">
          <cell r="A88" t="str">
            <v>F21400C</v>
          </cell>
          <cell r="Q88">
            <v>0</v>
          </cell>
        </row>
        <row r="89">
          <cell r="A89" t="str">
            <v>F21600C</v>
          </cell>
          <cell r="B89" t="str">
            <v>RETAINED EARNINGS</v>
          </cell>
          <cell r="E89">
            <v>0</v>
          </cell>
          <cell r="I89">
            <v>0</v>
          </cell>
          <cell r="N89">
            <v>0</v>
          </cell>
          <cell r="O89">
            <v>150000000</v>
          </cell>
          <cell r="Q89">
            <v>150000000</v>
          </cell>
        </row>
        <row r="90">
          <cell r="A90" t="str">
            <v>F22101C</v>
          </cell>
          <cell r="B90" t="str">
            <v>BONDS-LT DEBT</v>
          </cell>
          <cell r="I90">
            <v>0</v>
          </cell>
          <cell r="J90">
            <v>-27647000</v>
          </cell>
          <cell r="N90">
            <v>0</v>
          </cell>
          <cell r="O90">
            <v>0</v>
          </cell>
          <cell r="Q90">
            <v>-27647000</v>
          </cell>
        </row>
        <row r="91">
          <cell r="A91" t="str">
            <v>F22200C</v>
          </cell>
          <cell r="B91" t="str">
            <v>REACQUIRED BONDS</v>
          </cell>
          <cell r="D91">
            <v>30756734</v>
          </cell>
          <cell r="E91">
            <v>-79243266</v>
          </cell>
          <cell r="F91">
            <v>-11513468</v>
          </cell>
          <cell r="G91">
            <v>4931249.5</v>
          </cell>
          <cell r="H91">
            <v>4931249.5</v>
          </cell>
          <cell r="I91">
            <v>-9862499</v>
          </cell>
          <cell r="J91">
            <v>5258290.07</v>
          </cell>
          <cell r="K91">
            <v>5258290.07</v>
          </cell>
          <cell r="L91">
            <v>-10516580.140000001</v>
          </cell>
          <cell r="M91">
            <v>5987059.7699999996</v>
          </cell>
          <cell r="N91">
            <v>5987059.7699999996</v>
          </cell>
          <cell r="O91">
            <v>-11974119.539999999</v>
          </cell>
          <cell r="Q91">
            <v>-60000000.000000007</v>
          </cell>
        </row>
        <row r="92">
          <cell r="A92" t="str">
            <v>F22400C</v>
          </cell>
          <cell r="B92" t="str">
            <v>OTHER LT DEBT-CURRENT PORTION</v>
          </cell>
          <cell r="N92">
            <v>52000</v>
          </cell>
          <cell r="O92">
            <v>0</v>
          </cell>
          <cell r="Q92">
            <v>52000</v>
          </cell>
        </row>
        <row r="93">
          <cell r="A93" t="str">
            <v>F22401C</v>
          </cell>
          <cell r="B93" t="str">
            <v>OTHER LT DEBT</v>
          </cell>
          <cell r="D93">
            <v>67996.53</v>
          </cell>
          <cell r="G93">
            <v>4755.91</v>
          </cell>
          <cell r="I93">
            <v>0</v>
          </cell>
          <cell r="N93">
            <v>192870.42</v>
          </cell>
          <cell r="O93">
            <v>0.04</v>
          </cell>
          <cell r="Q93">
            <v>265622.89999999997</v>
          </cell>
        </row>
        <row r="94">
          <cell r="A94" t="str">
            <v>F22500C</v>
          </cell>
          <cell r="B94" t="str">
            <v>UNAMORTIZED PREMIUM ON LONG-TERM DEBT</v>
          </cell>
          <cell r="D94">
            <v>2106.09</v>
          </cell>
          <cell r="E94">
            <v>2106.09</v>
          </cell>
          <cell r="F94">
            <v>2106.09</v>
          </cell>
          <cell r="G94">
            <v>2106.09</v>
          </cell>
          <cell r="H94">
            <v>2106.09</v>
          </cell>
          <cell r="I94">
            <v>2106.09</v>
          </cell>
          <cell r="J94">
            <v>2106.09</v>
          </cell>
          <cell r="K94">
            <v>2106.09</v>
          </cell>
          <cell r="L94">
            <v>2106.09</v>
          </cell>
          <cell r="M94">
            <v>2106.09</v>
          </cell>
          <cell r="N94">
            <v>2106.09</v>
          </cell>
          <cell r="O94">
            <v>2106.09</v>
          </cell>
          <cell r="Q94">
            <v>25273.08</v>
          </cell>
        </row>
        <row r="95">
          <cell r="A95" t="str">
            <v>F22600C</v>
          </cell>
          <cell r="B95" t="str">
            <v>(LESS) UNAMORTIZED DISCOUNT ON LONG-TERM DEBT-DEBI</v>
          </cell>
          <cell r="D95">
            <v>-9709.9500000000007</v>
          </cell>
          <cell r="E95">
            <v>-9709.9500000000007</v>
          </cell>
          <cell r="F95">
            <v>-9709.9500000000007</v>
          </cell>
          <cell r="G95">
            <v>-9709.9500000000007</v>
          </cell>
          <cell r="H95">
            <v>-9709.9500000000007</v>
          </cell>
          <cell r="I95">
            <v>-9709.9500000000007</v>
          </cell>
          <cell r="J95">
            <v>-9709.9500000000007</v>
          </cell>
          <cell r="K95">
            <v>-9709.9500000000007</v>
          </cell>
          <cell r="L95">
            <v>-9709.9500000000007</v>
          </cell>
          <cell r="M95">
            <v>-9709.9500000000007</v>
          </cell>
          <cell r="N95">
            <v>-9709.9500000000007</v>
          </cell>
          <cell r="O95">
            <v>-9709.9500000000007</v>
          </cell>
          <cell r="Q95">
            <v>-116519.39999999998</v>
          </cell>
        </row>
        <row r="96">
          <cell r="A96" t="str">
            <v>F22700C</v>
          </cell>
          <cell r="B96" t="str">
            <v>OBLIGATIONS UNDER CAPITAL LEASES-NONCURRENT</v>
          </cell>
          <cell r="D96">
            <v>560014.39</v>
          </cell>
          <cell r="E96">
            <v>-7503379.1200000001</v>
          </cell>
          <cell r="F96">
            <v>513970.38</v>
          </cell>
          <cell r="G96">
            <v>532042</v>
          </cell>
          <cell r="H96">
            <v>544736</v>
          </cell>
          <cell r="I96">
            <v>11710244.880000001</v>
          </cell>
          <cell r="N96">
            <v>0</v>
          </cell>
          <cell r="O96">
            <v>0</v>
          </cell>
          <cell r="Q96">
            <v>6357628.5300000003</v>
          </cell>
        </row>
        <row r="97">
          <cell r="A97" t="str">
            <v>F22820C</v>
          </cell>
          <cell r="B97" t="str">
            <v>ACCUMULATED PROVISION FOR INJURIES AND DAMAGES</v>
          </cell>
          <cell r="D97">
            <v>-26010.76</v>
          </cell>
          <cell r="E97">
            <v>-34246.93</v>
          </cell>
          <cell r="F97">
            <v>-703058.48</v>
          </cell>
          <cell r="G97">
            <v>-48336.25</v>
          </cell>
          <cell r="H97">
            <v>-197407.07</v>
          </cell>
          <cell r="I97">
            <v>-3804282.08</v>
          </cell>
          <cell r="J97">
            <v>-66978.350000000006</v>
          </cell>
          <cell r="K97">
            <v>260586.49</v>
          </cell>
          <cell r="L97">
            <v>1140038.56</v>
          </cell>
          <cell r="M97">
            <v>-397230.61</v>
          </cell>
          <cell r="N97">
            <v>140067.10999999999</v>
          </cell>
          <cell r="O97">
            <v>-214770.84</v>
          </cell>
          <cell r="Q97">
            <v>-3951629.2099999995</v>
          </cell>
        </row>
        <row r="98">
          <cell r="A98" t="str">
            <v>F22830C</v>
          </cell>
          <cell r="B98" t="str">
            <v>ACCUMULATED PROVISION FOR PENSIONS AND BENEFITS</v>
          </cell>
          <cell r="D98">
            <v>-188266.78</v>
          </cell>
          <cell r="E98">
            <v>-186003.76</v>
          </cell>
          <cell r="F98">
            <v>-189149.29</v>
          </cell>
          <cell r="G98">
            <v>-186897.3</v>
          </cell>
          <cell r="H98">
            <v>-184774.57</v>
          </cell>
          <cell r="I98">
            <v>-166823.93</v>
          </cell>
          <cell r="J98">
            <v>-243547.11</v>
          </cell>
          <cell r="K98">
            <v>-217936.83</v>
          </cell>
          <cell r="L98">
            <v>-206888.13</v>
          </cell>
          <cell r="M98">
            <v>-198994.95</v>
          </cell>
          <cell r="N98">
            <v>-202575.89</v>
          </cell>
          <cell r="O98">
            <v>2020344.93</v>
          </cell>
          <cell r="Q98">
            <v>-151513.6100000001</v>
          </cell>
        </row>
        <row r="99">
          <cell r="A99" t="str">
            <v>F22840C</v>
          </cell>
          <cell r="B99" t="str">
            <v>ACCUMULATED MISCELLANEOUS OPERATING PROVISIONS</v>
          </cell>
          <cell r="D99">
            <v>170358.63</v>
          </cell>
          <cell r="E99">
            <v>141352.14000000001</v>
          </cell>
          <cell r="F99">
            <v>1583124.89</v>
          </cell>
          <cell r="G99">
            <v>330096.62</v>
          </cell>
          <cell r="H99">
            <v>1252981.43</v>
          </cell>
          <cell r="I99">
            <v>7519401.5499999998</v>
          </cell>
          <cell r="J99">
            <v>110986.62</v>
          </cell>
          <cell r="K99">
            <v>1120698.42</v>
          </cell>
          <cell r="L99">
            <v>7161310.9400000004</v>
          </cell>
          <cell r="M99">
            <v>2112114.33</v>
          </cell>
          <cell r="N99">
            <v>-708297.48</v>
          </cell>
          <cell r="O99">
            <v>308373.90999999997</v>
          </cell>
          <cell r="Q99">
            <v>21102502</v>
          </cell>
        </row>
        <row r="100">
          <cell r="A100" t="str">
            <v>F23100C</v>
          </cell>
          <cell r="B100" t="str">
            <v>NOTES PAYABLE</v>
          </cell>
          <cell r="D100">
            <v>-75000000</v>
          </cell>
          <cell r="E100">
            <v>-175000000</v>
          </cell>
          <cell r="H100">
            <v>250000000</v>
          </cell>
          <cell r="I100">
            <v>0</v>
          </cell>
          <cell r="J100">
            <v>27647000</v>
          </cell>
          <cell r="N100">
            <v>0</v>
          </cell>
          <cell r="O100">
            <v>0</v>
          </cell>
          <cell r="Q100">
            <v>27647000</v>
          </cell>
        </row>
        <row r="101">
          <cell r="A101" t="str">
            <v>F23200C</v>
          </cell>
          <cell r="B101" t="str">
            <v>ACCOUNTS PAYABLE</v>
          </cell>
          <cell r="D101">
            <v>-79015580.890000001</v>
          </cell>
          <cell r="E101">
            <v>62655582.390000001</v>
          </cell>
          <cell r="F101">
            <v>137267681.44</v>
          </cell>
          <cell r="G101">
            <v>62564689.030000001</v>
          </cell>
          <cell r="H101">
            <v>29342044.440000001</v>
          </cell>
          <cell r="I101">
            <v>20615732.09</v>
          </cell>
          <cell r="J101">
            <v>10036283.49</v>
          </cell>
          <cell r="K101">
            <v>47376785.100000001</v>
          </cell>
          <cell r="L101">
            <v>-3147840.03</v>
          </cell>
          <cell r="M101">
            <v>5199810.37</v>
          </cell>
          <cell r="N101">
            <v>-95510.93</v>
          </cell>
          <cell r="O101">
            <v>-26659587.539999999</v>
          </cell>
          <cell r="Q101">
            <v>266140088.96000007</v>
          </cell>
        </row>
        <row r="102">
          <cell r="A102" t="str">
            <v>F23300C</v>
          </cell>
          <cell r="Q102">
            <v>0</v>
          </cell>
        </row>
        <row r="103">
          <cell r="A103" t="str">
            <v>F23301C</v>
          </cell>
          <cell r="B103" t="str">
            <v>NOTES PAYABLE TO ASSOC. COS-RATE REDUCTION BONDS</v>
          </cell>
          <cell r="F103">
            <v>17270202</v>
          </cell>
          <cell r="I103">
            <v>14793748.49</v>
          </cell>
          <cell r="L103">
            <v>15774870.199999999</v>
          </cell>
          <cell r="N103">
            <v>0</v>
          </cell>
          <cell r="O103">
            <v>17961179.309999999</v>
          </cell>
          <cell r="Q103">
            <v>65800000</v>
          </cell>
        </row>
        <row r="104">
          <cell r="A104" t="str">
            <v>F23302C</v>
          </cell>
          <cell r="Q104">
            <v>0</v>
          </cell>
        </row>
        <row r="105">
          <cell r="A105" t="str">
            <v>F23400C</v>
          </cell>
          <cell r="B105" t="str">
            <v>ACCOUNTS PAYABLE TO ASSOCIATED COMPANIES</v>
          </cell>
          <cell r="D105">
            <v>28346200.670000002</v>
          </cell>
          <cell r="E105">
            <v>-21759053.030000001</v>
          </cell>
          <cell r="F105">
            <v>4205775.8600000003</v>
          </cell>
          <cell r="G105">
            <v>-2409463.81</v>
          </cell>
          <cell r="H105">
            <v>-2496770.3199999998</v>
          </cell>
          <cell r="I105">
            <v>4722950.8099999996</v>
          </cell>
          <cell r="J105">
            <v>-1935654.77</v>
          </cell>
          <cell r="K105">
            <v>-2417672.34</v>
          </cell>
          <cell r="L105">
            <v>1576073.96</v>
          </cell>
          <cell r="M105">
            <v>-3117704.9</v>
          </cell>
          <cell r="N105">
            <v>-1557783.94</v>
          </cell>
          <cell r="O105">
            <v>1240418.69</v>
          </cell>
          <cell r="Q105">
            <v>4397316.8800000008</v>
          </cell>
        </row>
        <row r="106">
          <cell r="A106" t="str">
            <v>F23500C</v>
          </cell>
          <cell r="B106" t="str">
            <v>CUSTOMER DEPOSITS</v>
          </cell>
          <cell r="D106">
            <v>911926</v>
          </cell>
          <cell r="E106">
            <v>1968127</v>
          </cell>
          <cell r="F106">
            <v>931695</v>
          </cell>
          <cell r="G106">
            <v>232413</v>
          </cell>
          <cell r="H106">
            <v>777</v>
          </cell>
          <cell r="I106">
            <v>-427199</v>
          </cell>
          <cell r="J106">
            <v>-1195458</v>
          </cell>
          <cell r="K106">
            <v>-667664</v>
          </cell>
          <cell r="L106">
            <v>-749279</v>
          </cell>
          <cell r="M106">
            <v>-713845</v>
          </cell>
          <cell r="N106">
            <v>-1163701</v>
          </cell>
          <cell r="O106">
            <v>-413611</v>
          </cell>
          <cell r="Q106">
            <v>-1285819</v>
          </cell>
        </row>
        <row r="107">
          <cell r="A107" t="str">
            <v>F23600C</v>
          </cell>
          <cell r="B107" t="str">
            <v>TAXES ACCRUED</v>
          </cell>
          <cell r="D107">
            <v>-2307730.41</v>
          </cell>
          <cell r="E107">
            <v>-2382382.0099999998</v>
          </cell>
          <cell r="F107">
            <v>-8504096.6099999994</v>
          </cell>
          <cell r="G107">
            <v>14543658.92</v>
          </cell>
          <cell r="H107">
            <v>-4856331.0999999996</v>
          </cell>
          <cell r="I107">
            <v>-15350270.98</v>
          </cell>
          <cell r="J107">
            <v>-16270182.119999999</v>
          </cell>
          <cell r="K107">
            <v>-22192450.030000001</v>
          </cell>
          <cell r="L107">
            <v>17743561.989999998</v>
          </cell>
          <cell r="M107">
            <v>-13085479.91</v>
          </cell>
          <cell r="N107">
            <v>-22797361.120000001</v>
          </cell>
          <cell r="O107">
            <v>77228569.640000001</v>
          </cell>
          <cell r="Q107">
            <v>1769506.2600000054</v>
          </cell>
        </row>
        <row r="108">
          <cell r="A108" t="str">
            <v>F23601C</v>
          </cell>
          <cell r="B108" t="str">
            <v>INCOME TAXES ACCRUED</v>
          </cell>
          <cell r="D108">
            <v>-235912068.69</v>
          </cell>
          <cell r="I108">
            <v>0</v>
          </cell>
          <cell r="N108">
            <v>0</v>
          </cell>
          <cell r="O108">
            <v>0</v>
          </cell>
          <cell r="Q108">
            <v>-235912068.69</v>
          </cell>
        </row>
        <row r="109">
          <cell r="A109" t="str">
            <v>F23700C</v>
          </cell>
          <cell r="B109" t="str">
            <v>INTEREST ACCRUED</v>
          </cell>
          <cell r="D109">
            <v>-1765856.59</v>
          </cell>
          <cell r="E109">
            <v>-878629.5</v>
          </cell>
          <cell r="F109">
            <v>-2408923.6</v>
          </cell>
          <cell r="G109">
            <v>-1490486.96</v>
          </cell>
          <cell r="H109">
            <v>1446528.45</v>
          </cell>
          <cell r="I109">
            <v>1982022.87</v>
          </cell>
          <cell r="J109">
            <v>-2548477.86</v>
          </cell>
          <cell r="K109">
            <v>-2389171.7200000002</v>
          </cell>
          <cell r="L109">
            <v>3930759.3</v>
          </cell>
          <cell r="M109">
            <v>-712963.85</v>
          </cell>
          <cell r="N109">
            <v>-2531118.31</v>
          </cell>
          <cell r="O109">
            <v>4308323.9400000004</v>
          </cell>
          <cell r="Q109">
            <v>-3057993.8299999991</v>
          </cell>
        </row>
        <row r="110">
          <cell r="A110" t="str">
            <v>F23800C</v>
          </cell>
          <cell r="B110" t="str">
            <v>DIVIDENDS DECLARED</v>
          </cell>
          <cell r="D110">
            <v>1097028.07</v>
          </cell>
          <cell r="E110">
            <v>-548514.03</v>
          </cell>
          <cell r="F110">
            <v>-548514.03</v>
          </cell>
          <cell r="G110">
            <v>1097028.07</v>
          </cell>
          <cell r="H110">
            <v>-548514.03</v>
          </cell>
          <cell r="I110">
            <v>-548514.03</v>
          </cell>
          <cell r="J110">
            <v>1097028.07</v>
          </cell>
          <cell r="K110">
            <v>-548514.03</v>
          </cell>
          <cell r="L110">
            <v>-548514.03</v>
          </cell>
          <cell r="M110">
            <v>1097028.07</v>
          </cell>
          <cell r="N110">
            <v>-150548514.03</v>
          </cell>
          <cell r="O110">
            <v>149451485.97</v>
          </cell>
          <cell r="Q110">
            <v>3.9999991655349731E-2</v>
          </cell>
        </row>
        <row r="111">
          <cell r="A111" t="str">
            <v>F24100C</v>
          </cell>
          <cell r="B111" t="str">
            <v>TAX COLLECTIONS PAYABLE</v>
          </cell>
          <cell r="D111">
            <v>1819552.47</v>
          </cell>
          <cell r="E111">
            <v>-1349033.01</v>
          </cell>
          <cell r="F111">
            <v>-2235404.2599999998</v>
          </cell>
          <cell r="G111">
            <v>2941593.02</v>
          </cell>
          <cell r="H111">
            <v>-96662</v>
          </cell>
          <cell r="I111">
            <v>-3514723.11</v>
          </cell>
          <cell r="J111">
            <v>-1655401.59</v>
          </cell>
          <cell r="K111">
            <v>3603670.04</v>
          </cell>
          <cell r="L111">
            <v>-1405797.28</v>
          </cell>
          <cell r="M111">
            <v>-1345380.28</v>
          </cell>
          <cell r="N111">
            <v>669109.48</v>
          </cell>
          <cell r="O111">
            <v>-796786.13</v>
          </cell>
          <cell r="Q111">
            <v>-3365262.6499999994</v>
          </cell>
        </row>
        <row r="112">
          <cell r="A112" t="str">
            <v>F24200C</v>
          </cell>
          <cell r="B112" t="str">
            <v>MISCELLANEOUS CURRENT AND ACCRUED LIABILITIES</v>
          </cell>
          <cell r="D112">
            <v>-20872244.300000001</v>
          </cell>
          <cell r="E112">
            <v>10844471.93</v>
          </cell>
          <cell r="F112">
            <v>19750828.170000002</v>
          </cell>
          <cell r="G112">
            <v>-126393099</v>
          </cell>
          <cell r="H112">
            <v>-32383355.890000001</v>
          </cell>
          <cell r="I112">
            <v>-23100928.210000001</v>
          </cell>
          <cell r="J112">
            <v>-11642246.619999999</v>
          </cell>
          <cell r="K112">
            <v>-9313660.4800000004</v>
          </cell>
          <cell r="L112">
            <v>-45456699.090000004</v>
          </cell>
          <cell r="M112">
            <v>103585038.52</v>
          </cell>
          <cell r="N112">
            <v>14152849.84</v>
          </cell>
          <cell r="O112">
            <v>17173786.620000001</v>
          </cell>
          <cell r="Q112">
            <v>-103655258.51000002</v>
          </cell>
        </row>
        <row r="113">
          <cell r="A113" t="str">
            <v>F24201C</v>
          </cell>
          <cell r="B113" t="str">
            <v>MISC. CURRENT AND ACCRUED LIABILITIES-BALANCING AC</v>
          </cell>
          <cell r="D113">
            <v>-247756511.09</v>
          </cell>
          <cell r="E113">
            <v>-85190455.75</v>
          </cell>
          <cell r="F113">
            <v>-63354647.920000002</v>
          </cell>
          <cell r="G113">
            <v>-125684146.33</v>
          </cell>
          <cell r="H113">
            <v>175907840.56999999</v>
          </cell>
          <cell r="I113">
            <v>298397365.81</v>
          </cell>
          <cell r="J113">
            <v>-23075436.129999999</v>
          </cell>
          <cell r="K113">
            <v>160096221.66999999</v>
          </cell>
          <cell r="L113">
            <v>-3604461.69</v>
          </cell>
          <cell r="M113">
            <v>-25289488.129999999</v>
          </cell>
          <cell r="N113">
            <v>127084723.04000001</v>
          </cell>
          <cell r="O113">
            <v>13311037.689999999</v>
          </cell>
          <cell r="Q113">
            <v>200842041.73999995</v>
          </cell>
        </row>
        <row r="114">
          <cell r="A114" t="str">
            <v>F24202C</v>
          </cell>
          <cell r="B114" t="str">
            <v>MISC. CURRENT AND ACCRUED LIABILITIES-APPLICANT IN</v>
          </cell>
          <cell r="D114">
            <v>18230</v>
          </cell>
          <cell r="E114">
            <v>-189384</v>
          </cell>
          <cell r="F114">
            <v>-51984</v>
          </cell>
          <cell r="G114">
            <v>-111415</v>
          </cell>
          <cell r="H114">
            <v>102769</v>
          </cell>
          <cell r="I114">
            <v>58642</v>
          </cell>
          <cell r="J114">
            <v>468939</v>
          </cell>
          <cell r="K114">
            <v>-365963</v>
          </cell>
          <cell r="L114">
            <v>-89347</v>
          </cell>
          <cell r="M114">
            <v>370640</v>
          </cell>
          <cell r="N114">
            <v>149040</v>
          </cell>
          <cell r="O114">
            <v>19832</v>
          </cell>
          <cell r="Q114">
            <v>379999</v>
          </cell>
        </row>
        <row r="115">
          <cell r="A115" t="str">
            <v>F24300C</v>
          </cell>
          <cell r="B115" t="str">
            <v>OBLIGATIONS UNDER CAPITAL LEASES-CURRENT PORTION</v>
          </cell>
          <cell r="I115">
            <v>12000000</v>
          </cell>
          <cell r="N115">
            <v>0</v>
          </cell>
          <cell r="O115">
            <v>0</v>
          </cell>
          <cell r="Q115">
            <v>12000000</v>
          </cell>
        </row>
        <row r="116">
          <cell r="A116" t="str">
            <v>F24301C</v>
          </cell>
          <cell r="Q116">
            <v>0</v>
          </cell>
        </row>
        <row r="117">
          <cell r="A117" t="str">
            <v>F25200C</v>
          </cell>
          <cell r="B117" t="str">
            <v>CUSTOMER ADVANCES FOR CONSTRUCTION</v>
          </cell>
          <cell r="D117">
            <v>853581.3</v>
          </cell>
          <cell r="E117">
            <v>-502585.63</v>
          </cell>
          <cell r="F117">
            <v>515414.04</v>
          </cell>
          <cell r="G117">
            <v>865360.55</v>
          </cell>
          <cell r="H117">
            <v>-1628414.01</v>
          </cell>
          <cell r="I117">
            <v>-1974987.17</v>
          </cell>
          <cell r="J117">
            <v>24371.17</v>
          </cell>
          <cell r="K117">
            <v>-5471.29</v>
          </cell>
          <cell r="L117">
            <v>130983.12</v>
          </cell>
          <cell r="M117">
            <v>-563785.71</v>
          </cell>
          <cell r="N117">
            <v>198360.75</v>
          </cell>
          <cell r="O117">
            <v>226970.77</v>
          </cell>
          <cell r="Q117">
            <v>-1860202.1099999999</v>
          </cell>
        </row>
        <row r="118">
          <cell r="A118" t="str">
            <v>F25300C</v>
          </cell>
          <cell r="B118" t="str">
            <v>OTHER DEFERRED CREDITS-CAC</v>
          </cell>
          <cell r="D118">
            <v>317731.34000000003</v>
          </cell>
          <cell r="E118">
            <v>-250381.36</v>
          </cell>
          <cell r="F118">
            <v>171778.77</v>
          </cell>
          <cell r="G118">
            <v>219920.19</v>
          </cell>
          <cell r="H118">
            <v>-589126.16</v>
          </cell>
          <cell r="I118">
            <v>-714681.92</v>
          </cell>
          <cell r="J118">
            <v>186453.21</v>
          </cell>
          <cell r="K118">
            <v>-135274.45000000001</v>
          </cell>
          <cell r="L118">
            <v>8882.2000000000007</v>
          </cell>
          <cell r="M118">
            <v>-85814.16</v>
          </cell>
          <cell r="N118">
            <v>130180.86</v>
          </cell>
          <cell r="O118">
            <v>89577.09</v>
          </cell>
          <cell r="Q118">
            <v>-650754.39000000025</v>
          </cell>
        </row>
        <row r="119">
          <cell r="A119" t="str">
            <v>F25301C</v>
          </cell>
          <cell r="B119" t="str">
            <v>OTHER DEFERRED CREDITS</v>
          </cell>
          <cell r="D119">
            <v>-147131313.22999999</v>
          </cell>
          <cell r="E119">
            <v>-61603688.899999999</v>
          </cell>
          <cell r="F119">
            <v>210635039.72</v>
          </cell>
          <cell r="G119">
            <v>-278882.27</v>
          </cell>
          <cell r="H119">
            <v>-839946.52</v>
          </cell>
          <cell r="I119">
            <v>1315920.53</v>
          </cell>
          <cell r="J119">
            <v>-705952.16</v>
          </cell>
          <cell r="K119">
            <v>-202984.64</v>
          </cell>
          <cell r="L119">
            <v>-620260098.75999999</v>
          </cell>
          <cell r="M119">
            <v>-12622100.41</v>
          </cell>
          <cell r="N119">
            <v>-59627394.689999998</v>
          </cell>
          <cell r="O119">
            <v>19322108.5</v>
          </cell>
          <cell r="Q119">
            <v>-671999292.82999992</v>
          </cell>
        </row>
        <row r="120">
          <cell r="A120" t="str">
            <v>F25400C</v>
          </cell>
          <cell r="B120" t="str">
            <v>OTH REG LIABILITIES</v>
          </cell>
          <cell r="D120">
            <v>-77603600</v>
          </cell>
          <cell r="E120">
            <v>69015621</v>
          </cell>
          <cell r="F120">
            <v>2828365</v>
          </cell>
          <cell r="G120">
            <v>-25348616</v>
          </cell>
          <cell r="H120">
            <v>-54976863</v>
          </cell>
          <cell r="I120">
            <v>124760</v>
          </cell>
          <cell r="J120">
            <v>-1280537</v>
          </cell>
          <cell r="K120">
            <v>382995</v>
          </cell>
          <cell r="L120">
            <v>6262289</v>
          </cell>
          <cell r="M120">
            <v>-13342427</v>
          </cell>
          <cell r="N120">
            <v>97676604</v>
          </cell>
          <cell r="O120">
            <v>1472320</v>
          </cell>
          <cell r="Q120">
            <v>5210911</v>
          </cell>
        </row>
        <row r="121">
          <cell r="A121" t="str">
            <v>F25500C</v>
          </cell>
          <cell r="B121" t="str">
            <v>ACCUMULATED DEFERRED INVESTMENT TAX CREDITS</v>
          </cell>
          <cell r="D121">
            <v>233000</v>
          </cell>
          <cell r="E121">
            <v>137000</v>
          </cell>
          <cell r="F121">
            <v>466000</v>
          </cell>
          <cell r="G121">
            <v>195000</v>
          </cell>
          <cell r="H121">
            <v>140000</v>
          </cell>
          <cell r="I121">
            <v>140000</v>
          </cell>
          <cell r="J121">
            <v>416000</v>
          </cell>
          <cell r="K121">
            <v>213000</v>
          </cell>
          <cell r="L121">
            <v>263000</v>
          </cell>
          <cell r="M121">
            <v>196000</v>
          </cell>
          <cell r="N121">
            <v>132000</v>
          </cell>
          <cell r="O121">
            <v>269000</v>
          </cell>
          <cell r="Q121">
            <v>2800000</v>
          </cell>
        </row>
        <row r="122">
          <cell r="A122" t="str">
            <v>F28100C</v>
          </cell>
          <cell r="B122" t="str">
            <v>ACCUMULATED DEFERRED INCOME TAXES</v>
          </cell>
          <cell r="O122">
            <v>-8000</v>
          </cell>
          <cell r="Q122">
            <v>-8000</v>
          </cell>
        </row>
        <row r="123">
          <cell r="A123" t="str">
            <v>F28200C</v>
          </cell>
          <cell r="B123" t="str">
            <v>ACCUMULATED DEFERRED INCOME TAXES-OTHER PROPERTY</v>
          </cell>
          <cell r="D123">
            <v>367000</v>
          </cell>
          <cell r="E123">
            <v>-41000</v>
          </cell>
          <cell r="F123">
            <v>5443000</v>
          </cell>
          <cell r="G123">
            <v>308000</v>
          </cell>
          <cell r="H123">
            <v>221000</v>
          </cell>
          <cell r="I123">
            <v>5128000</v>
          </cell>
          <cell r="J123">
            <v>655000</v>
          </cell>
          <cell r="K123">
            <v>334000</v>
          </cell>
          <cell r="L123">
            <v>4496000</v>
          </cell>
          <cell r="M123">
            <v>311000</v>
          </cell>
          <cell r="N123">
            <v>209000</v>
          </cell>
          <cell r="O123">
            <v>-34146000</v>
          </cell>
          <cell r="Q123">
            <v>-16715000</v>
          </cell>
        </row>
        <row r="124">
          <cell r="A124" t="str">
            <v>F28301C</v>
          </cell>
          <cell r="B124" t="str">
            <v>ACCUMULATED DEFERRED INCOME TAXES-TAXES ACCRUED</v>
          </cell>
          <cell r="D124">
            <v>1361000</v>
          </cell>
          <cell r="E124">
            <v>803000</v>
          </cell>
          <cell r="F124">
            <v>2726000</v>
          </cell>
          <cell r="G124">
            <v>1139000</v>
          </cell>
          <cell r="H124">
            <v>-289541000</v>
          </cell>
          <cell r="I124">
            <v>827439</v>
          </cell>
          <cell r="J124">
            <v>2437254</v>
          </cell>
          <cell r="K124">
            <v>1240000</v>
          </cell>
          <cell r="L124">
            <v>1541000</v>
          </cell>
          <cell r="M124">
            <v>1150000</v>
          </cell>
          <cell r="N124">
            <v>-16000</v>
          </cell>
          <cell r="O124">
            <v>3190252</v>
          </cell>
          <cell r="Q124">
            <v>-273142055</v>
          </cell>
        </row>
        <row r="125">
          <cell r="A125" t="str">
            <v>F28302C</v>
          </cell>
          <cell r="B125" t="str">
            <v>ACCUMULATED DEFERRED INC TAXES</v>
          </cell>
          <cell r="D125">
            <v>-948000</v>
          </cell>
          <cell r="E125">
            <v>-896216.43</v>
          </cell>
          <cell r="F125">
            <v>1615000</v>
          </cell>
          <cell r="G125">
            <v>-777000</v>
          </cell>
          <cell r="H125">
            <v>-177430000</v>
          </cell>
          <cell r="I125">
            <v>3047000</v>
          </cell>
          <cell r="J125">
            <v>-1656000</v>
          </cell>
          <cell r="K125">
            <v>-844000</v>
          </cell>
          <cell r="L125">
            <v>1986000</v>
          </cell>
          <cell r="M125">
            <v>-781000</v>
          </cell>
          <cell r="N125">
            <v>-528000</v>
          </cell>
          <cell r="O125">
            <v>-106039837.63</v>
          </cell>
          <cell r="Q125">
            <v>-283252054.06</v>
          </cell>
        </row>
        <row r="126">
          <cell r="A126" t="str">
            <v>F29900C</v>
          </cell>
          <cell r="B126" t="str">
            <v>CLEARING ACCOUNT-ACCOUNTS PAYABLE</v>
          </cell>
          <cell r="D126">
            <v>358333.68</v>
          </cell>
          <cell r="E126">
            <v>-10679389.07</v>
          </cell>
          <cell r="F126">
            <v>-8678937.6400000006</v>
          </cell>
          <cell r="G126">
            <v>-3167800.21</v>
          </cell>
          <cell r="H126">
            <v>-9649244.1400000006</v>
          </cell>
          <cell r="I126">
            <v>-9525067.3499999996</v>
          </cell>
          <cell r="J126">
            <v>-10757391.289999999</v>
          </cell>
          <cell r="K126">
            <v>-7828524.5099999998</v>
          </cell>
          <cell r="L126">
            <v>-7252417.5</v>
          </cell>
          <cell r="M126">
            <v>-11399993.949999999</v>
          </cell>
          <cell r="N126">
            <v>-10083357.130000001</v>
          </cell>
          <cell r="O126">
            <v>-17467131.309999999</v>
          </cell>
          <cell r="Q126">
            <v>-106130920.42</v>
          </cell>
        </row>
        <row r="127">
          <cell r="A127" t="str">
            <v>F29910C</v>
          </cell>
          <cell r="B127" t="str">
            <v>CLEARING ACCOUNT-ACCOUNTS RECEIVABLE</v>
          </cell>
          <cell r="D127">
            <v>-167446.48000000001</v>
          </cell>
          <cell r="E127">
            <v>-226089.67</v>
          </cell>
          <cell r="F127">
            <v>-308214.93</v>
          </cell>
          <cell r="G127">
            <v>-244973.94</v>
          </cell>
          <cell r="H127">
            <v>-255376.2</v>
          </cell>
          <cell r="I127">
            <v>-247490.97</v>
          </cell>
          <cell r="J127">
            <v>-152526.28</v>
          </cell>
          <cell r="K127">
            <v>-269818.88</v>
          </cell>
          <cell r="N127">
            <v>72695.13</v>
          </cell>
          <cell r="O127">
            <v>0</v>
          </cell>
          <cell r="Q127">
            <v>-1799242.2200000002</v>
          </cell>
        </row>
        <row r="128">
          <cell r="A128" t="str">
            <v>F29920C</v>
          </cell>
          <cell r="B128" t="str">
            <v>CLEARING ACCOUNT-FI/CO RECONCILIATION ENTRIES</v>
          </cell>
          <cell r="D128">
            <v>-166646</v>
          </cell>
          <cell r="E128">
            <v>10965039.449999999</v>
          </cell>
          <cell r="F128">
            <v>8984486.7699999996</v>
          </cell>
          <cell r="G128">
            <v>3417647.59</v>
          </cell>
          <cell r="H128">
            <v>9945658.0999999996</v>
          </cell>
          <cell r="I128">
            <v>9817550.9600000009</v>
          </cell>
          <cell r="J128">
            <v>10955886.710000001</v>
          </cell>
          <cell r="K128">
            <v>8140811.6299999999</v>
          </cell>
          <cell r="L128">
            <v>7294241.4199999999</v>
          </cell>
          <cell r="M128">
            <v>11442051.07</v>
          </cell>
          <cell r="N128">
            <v>10051759.58</v>
          </cell>
          <cell r="O128">
            <v>17464634.68</v>
          </cell>
          <cell r="Q128">
            <v>108313121.95999998</v>
          </cell>
        </row>
        <row r="129">
          <cell r="A129" t="str">
            <v>F29990C</v>
          </cell>
          <cell r="B129" t="str">
            <v>BALANCE SHEET OFFSET ACCOUNT</v>
          </cell>
          <cell r="D129">
            <v>65802692.390000001</v>
          </cell>
          <cell r="E129">
            <v>56475969.340000004</v>
          </cell>
          <cell r="F129">
            <v>61681522.969999999</v>
          </cell>
          <cell r="G129">
            <v>57600900.140000001</v>
          </cell>
          <cell r="H129">
            <v>65188421</v>
          </cell>
          <cell r="I129">
            <v>53334603.219999999</v>
          </cell>
          <cell r="J129">
            <v>62958587.590000004</v>
          </cell>
          <cell r="K129">
            <v>56950255.469999999</v>
          </cell>
          <cell r="L129">
            <v>61410909.310000002</v>
          </cell>
          <cell r="M129">
            <v>62371151.369999997</v>
          </cell>
          <cell r="N129">
            <v>58139272.600000001</v>
          </cell>
          <cell r="O129">
            <v>96216725.930000007</v>
          </cell>
          <cell r="Q129">
            <v>758131011.33000016</v>
          </cell>
        </row>
        <row r="130">
          <cell r="A130" t="str">
            <v>F29995C</v>
          </cell>
          <cell r="Q130">
            <v>0</v>
          </cell>
        </row>
        <row r="131">
          <cell r="A131" t="str">
            <v>F40300C</v>
          </cell>
          <cell r="B131" t="str">
            <v>DEPRECIATION EXPENSE</v>
          </cell>
          <cell r="D131">
            <v>1150064.22</v>
          </cell>
          <cell r="E131">
            <v>1163439.6000000001</v>
          </cell>
          <cell r="F131">
            <v>1163313.55</v>
          </cell>
          <cell r="G131">
            <v>1165812.76</v>
          </cell>
          <cell r="H131">
            <v>1177541.21</v>
          </cell>
          <cell r="I131">
            <v>1159715.98</v>
          </cell>
          <cell r="J131">
            <v>1150324.6299999999</v>
          </cell>
          <cell r="K131">
            <v>1169128.19</v>
          </cell>
          <cell r="L131">
            <v>1174398.29</v>
          </cell>
          <cell r="M131">
            <v>1173941.8799999999</v>
          </cell>
          <cell r="N131">
            <v>1175616.3899999999</v>
          </cell>
          <cell r="O131">
            <v>1181566.95</v>
          </cell>
          <cell r="Q131">
            <v>14004863.649999999</v>
          </cell>
        </row>
        <row r="132">
          <cell r="A132" t="str">
            <v>F40300E</v>
          </cell>
          <cell r="B132" t="str">
            <v>DEPRECIATION EXPENSE</v>
          </cell>
          <cell r="D132">
            <v>13162939.550000001</v>
          </cell>
          <cell r="E132">
            <v>13232128.15</v>
          </cell>
          <cell r="F132">
            <v>13281205.02</v>
          </cell>
          <cell r="G132">
            <v>13293117.27</v>
          </cell>
          <cell r="H132">
            <v>13361213.65</v>
          </cell>
          <cell r="I132">
            <v>6772622.9500000002</v>
          </cell>
          <cell r="J132">
            <v>12400735.65</v>
          </cell>
          <cell r="K132">
            <v>12118797.18</v>
          </cell>
          <cell r="L132">
            <v>12859936</v>
          </cell>
          <cell r="M132">
            <v>12893829.17</v>
          </cell>
          <cell r="N132">
            <v>12339025.710000001</v>
          </cell>
          <cell r="O132">
            <v>12712124.140000001</v>
          </cell>
          <cell r="Q132">
            <v>148427674.44</v>
          </cell>
        </row>
        <row r="133">
          <cell r="A133" t="str">
            <v>F40300G</v>
          </cell>
          <cell r="B133" t="str">
            <v>DEPRECIATION EXPENSE</v>
          </cell>
          <cell r="D133">
            <v>2891770.39</v>
          </cell>
          <cell r="E133">
            <v>2898719.98</v>
          </cell>
          <cell r="F133">
            <v>2905012.66</v>
          </cell>
          <cell r="G133">
            <v>2910371.8</v>
          </cell>
          <cell r="H133">
            <v>2915550.21</v>
          </cell>
          <cell r="I133">
            <v>2912906.77</v>
          </cell>
          <cell r="J133">
            <v>2794763.42</v>
          </cell>
          <cell r="K133">
            <v>2799986.63</v>
          </cell>
          <cell r="L133">
            <v>2805543.17</v>
          </cell>
          <cell r="M133">
            <v>2811245.62</v>
          </cell>
          <cell r="N133">
            <v>2817715.4</v>
          </cell>
          <cell r="O133">
            <v>2829272.25</v>
          </cell>
          <cell r="Q133">
            <v>34292858.299999997</v>
          </cell>
        </row>
        <row r="134">
          <cell r="A134" t="str">
            <v>F40400C</v>
          </cell>
          <cell r="B134" t="str">
            <v>AMORTIZATION OF LIMITED-TERM INVESTMENTS</v>
          </cell>
          <cell r="D134">
            <v>620411.32999999996</v>
          </cell>
          <cell r="E134">
            <v>578905.94999999995</v>
          </cell>
          <cell r="F134">
            <v>578905.94999999995</v>
          </cell>
          <cell r="G134">
            <v>576658.32999999996</v>
          </cell>
          <cell r="H134">
            <v>584493.68000000005</v>
          </cell>
          <cell r="I134">
            <v>596643.18999999994</v>
          </cell>
          <cell r="J134">
            <v>544457</v>
          </cell>
          <cell r="K134">
            <v>487956.76</v>
          </cell>
          <cell r="L134">
            <v>487956.76</v>
          </cell>
          <cell r="M134">
            <v>485926.17</v>
          </cell>
          <cell r="N134">
            <v>566359.52</v>
          </cell>
          <cell r="O134">
            <v>654130.59</v>
          </cell>
          <cell r="Q134">
            <v>6762805.2299999986</v>
          </cell>
        </row>
        <row r="135">
          <cell r="A135" t="str">
            <v>F40400E</v>
          </cell>
          <cell r="B135" t="str">
            <v>AMORTIZATION OF LIMITED-TERM INVESTMENTS</v>
          </cell>
          <cell r="D135">
            <v>35961.24</v>
          </cell>
          <cell r="E135">
            <v>35961.24</v>
          </cell>
          <cell r="F135">
            <v>35961.24</v>
          </cell>
          <cell r="G135">
            <v>35961.230000000003</v>
          </cell>
          <cell r="H135">
            <v>35961.24</v>
          </cell>
          <cell r="I135">
            <v>40883.67</v>
          </cell>
          <cell r="J135">
            <v>115126.28</v>
          </cell>
          <cell r="K135">
            <v>185562.61</v>
          </cell>
          <cell r="L135">
            <v>186678.7</v>
          </cell>
          <cell r="M135">
            <v>186888.75</v>
          </cell>
          <cell r="N135">
            <v>189225.91</v>
          </cell>
          <cell r="O135">
            <v>191353.03</v>
          </cell>
          <cell r="Q135">
            <v>1275525.1399999999</v>
          </cell>
        </row>
        <row r="136">
          <cell r="A136" t="str">
            <v>F40400G</v>
          </cell>
          <cell r="B136" t="str">
            <v>AMORTIZATION OF LIMITED-TERM INVESTMENTS</v>
          </cell>
          <cell r="G136">
            <v>1800.65</v>
          </cell>
          <cell r="H136">
            <v>3602.73</v>
          </cell>
          <cell r="I136">
            <v>3609.15</v>
          </cell>
          <cell r="J136">
            <v>3633.19</v>
          </cell>
          <cell r="K136">
            <v>3692.54</v>
          </cell>
          <cell r="L136">
            <v>3763.63</v>
          </cell>
          <cell r="M136">
            <v>3772.6</v>
          </cell>
          <cell r="N136">
            <v>3750.78</v>
          </cell>
          <cell r="O136">
            <v>3750.79</v>
          </cell>
          <cell r="Q136">
            <v>31376.06</v>
          </cell>
        </row>
        <row r="137">
          <cell r="A137" t="str">
            <v>F40500C</v>
          </cell>
          <cell r="B137" t="str">
            <v>AMORTIZATION OF OTHER PLANT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F40500E</v>
          </cell>
          <cell r="B138" t="str">
            <v>AMORTIZATION OF OTHER PLANT</v>
          </cell>
          <cell r="D138">
            <v>136172.07</v>
          </cell>
          <cell r="E138">
            <v>136565.60999999999</v>
          </cell>
          <cell r="F138">
            <v>137173.19</v>
          </cell>
          <cell r="G138">
            <v>137615.93</v>
          </cell>
          <cell r="H138">
            <v>138204.65</v>
          </cell>
          <cell r="I138">
            <v>138562.76999999999</v>
          </cell>
          <cell r="J138">
            <v>138686.54999999999</v>
          </cell>
          <cell r="K138">
            <v>139098.6</v>
          </cell>
          <cell r="L138">
            <v>137201.47</v>
          </cell>
          <cell r="M138">
            <v>142130.59</v>
          </cell>
          <cell r="N138">
            <v>139402.49</v>
          </cell>
          <cell r="O138">
            <v>140484.51</v>
          </cell>
          <cell r="Q138">
            <v>1661298.4300000002</v>
          </cell>
        </row>
        <row r="139">
          <cell r="A139" t="str">
            <v>F40500G</v>
          </cell>
          <cell r="B139" t="str">
            <v>AMORTIZATION OF OTHER PLANT</v>
          </cell>
          <cell r="D139">
            <v>23566.959999999999</v>
          </cell>
          <cell r="E139">
            <v>23568.34</v>
          </cell>
          <cell r="F139">
            <v>23572.3</v>
          </cell>
          <cell r="G139">
            <v>23568.97</v>
          </cell>
          <cell r="H139">
            <v>23569.29</v>
          </cell>
          <cell r="I139">
            <v>23593.89</v>
          </cell>
          <cell r="J139">
            <v>23628.28</v>
          </cell>
          <cell r="K139">
            <v>23601.71</v>
          </cell>
          <cell r="L139">
            <v>23535.1</v>
          </cell>
          <cell r="M139">
            <v>23565.68</v>
          </cell>
          <cell r="N139">
            <v>23736.01</v>
          </cell>
          <cell r="O139">
            <v>23950.400000000001</v>
          </cell>
          <cell r="Q139">
            <v>283456.93</v>
          </cell>
        </row>
        <row r="140">
          <cell r="A140" t="str">
            <v>F40600C</v>
          </cell>
          <cell r="B140" t="str">
            <v>AMORT. OF UTILITY PLANT ACQ. ADJ.</v>
          </cell>
          <cell r="D140">
            <v>1312</v>
          </cell>
          <cell r="E140">
            <v>1312</v>
          </cell>
          <cell r="F140">
            <v>1312</v>
          </cell>
          <cell r="G140">
            <v>1312</v>
          </cell>
          <cell r="H140">
            <v>1312</v>
          </cell>
          <cell r="I140">
            <v>1312</v>
          </cell>
          <cell r="J140">
            <v>1312</v>
          </cell>
          <cell r="K140">
            <v>1312</v>
          </cell>
          <cell r="L140">
            <v>1312</v>
          </cell>
          <cell r="N140">
            <v>2624</v>
          </cell>
          <cell r="O140">
            <v>1312</v>
          </cell>
          <cell r="Q140">
            <v>15744</v>
          </cell>
        </row>
        <row r="141">
          <cell r="A141" t="str">
            <v>F40700E</v>
          </cell>
          <cell r="B141" t="str">
            <v>AMORT. OF PROP LOSSES  UNREC PLANT AND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F40710C</v>
          </cell>
          <cell r="B142" t="str">
            <v>AMORT. OF PROP LOSSES  UNREC PLANT AND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F40730E</v>
          </cell>
          <cell r="B143" t="str">
            <v>REGULATORY DEBITS</v>
          </cell>
          <cell r="I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 t="str">
            <v>F40810C</v>
          </cell>
          <cell r="B144" t="str">
            <v>TAXES OTHER THAN INCOME TAXES</v>
          </cell>
          <cell r="D144">
            <v>642608.68000000005</v>
          </cell>
          <cell r="E144">
            <v>510316.3</v>
          </cell>
          <cell r="F144">
            <v>537547.26</v>
          </cell>
          <cell r="G144">
            <v>520984.52</v>
          </cell>
          <cell r="H144">
            <v>678702.87</v>
          </cell>
          <cell r="I144">
            <v>516870.99</v>
          </cell>
          <cell r="J144">
            <v>650176.17000000004</v>
          </cell>
          <cell r="K144">
            <v>535561.97</v>
          </cell>
          <cell r="L144">
            <v>533564.76</v>
          </cell>
          <cell r="M144">
            <v>694766.62</v>
          </cell>
          <cell r="N144">
            <v>548476.88</v>
          </cell>
          <cell r="O144">
            <v>699487.66</v>
          </cell>
          <cell r="Q144">
            <v>7069064.6799999997</v>
          </cell>
        </row>
        <row r="145">
          <cell r="A145" t="str">
            <v>F40811E</v>
          </cell>
          <cell r="B145" t="str">
            <v>PROPERTY TAXES ELEC</v>
          </cell>
          <cell r="I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 t="str">
            <v>F40811G</v>
          </cell>
          <cell r="B146" t="str">
            <v>PROPERTY TAXES GAS</v>
          </cell>
          <cell r="I146">
            <v>0</v>
          </cell>
          <cell r="N146">
            <v>0</v>
          </cell>
          <cell r="O146">
            <v>0</v>
          </cell>
          <cell r="Q146">
            <v>0</v>
          </cell>
        </row>
        <row r="147">
          <cell r="A147" t="str">
            <v>F40820C</v>
          </cell>
          <cell r="B147" t="str">
            <v>TAXES OTHER THAN INCOME TAXES</v>
          </cell>
          <cell r="D147">
            <v>21719.57</v>
          </cell>
          <cell r="E147">
            <v>-21719.57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</row>
        <row r="148">
          <cell r="A148" t="str">
            <v>F40830E</v>
          </cell>
          <cell r="B148" t="str">
            <v>TAXES OTHER THAN INCOME TAXES-PROPERTY ELECTRIC</v>
          </cell>
          <cell r="D148">
            <v>1644325.64</v>
          </cell>
          <cell r="E148">
            <v>1717247.87</v>
          </cell>
          <cell r="F148">
            <v>1717781.33</v>
          </cell>
          <cell r="G148">
            <v>1657329.9</v>
          </cell>
          <cell r="H148">
            <v>1717781.33</v>
          </cell>
          <cell r="I148">
            <v>1717781.35</v>
          </cell>
          <cell r="J148">
            <v>1839537.01</v>
          </cell>
          <cell r="K148">
            <v>1842231.8</v>
          </cell>
          <cell r="L148">
            <v>1851451.81</v>
          </cell>
          <cell r="M148">
            <v>1850103.58</v>
          </cell>
          <cell r="N148">
            <v>1850103.58</v>
          </cell>
          <cell r="O148">
            <v>2151345.6800000002</v>
          </cell>
          <cell r="Q148">
            <v>21557020.880000003</v>
          </cell>
        </row>
        <row r="149">
          <cell r="A149" t="str">
            <v>F40830G</v>
          </cell>
          <cell r="B149" t="str">
            <v>TAXES OTHER THAN INCOME TAXES-PROPERTY GAS</v>
          </cell>
          <cell r="D149">
            <v>533439.09</v>
          </cell>
          <cell r="E149">
            <v>534614.73</v>
          </cell>
          <cell r="F149">
            <v>534710.5</v>
          </cell>
          <cell r="G149">
            <v>515221.93</v>
          </cell>
          <cell r="H149">
            <v>534710.5</v>
          </cell>
          <cell r="I149">
            <v>534710.5</v>
          </cell>
          <cell r="J149">
            <v>581668.05000000005</v>
          </cell>
          <cell r="K149">
            <v>583058</v>
          </cell>
          <cell r="L149">
            <v>583300.04</v>
          </cell>
          <cell r="M149">
            <v>583058</v>
          </cell>
          <cell r="N149">
            <v>583058</v>
          </cell>
          <cell r="O149">
            <v>401497.4</v>
          </cell>
          <cell r="Q149">
            <v>6503046.7400000002</v>
          </cell>
        </row>
        <row r="150">
          <cell r="A150" t="str">
            <v>F40840E</v>
          </cell>
          <cell r="B150" t="str">
            <v>TAXES OTHER THAN INCOME TAXES-OTHER ELE</v>
          </cell>
          <cell r="I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F40840G</v>
          </cell>
          <cell r="B151" t="str">
            <v>TAXES OTHER THAN INCOME TAXES-OTHER GAS</v>
          </cell>
          <cell r="I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F40910E</v>
          </cell>
          <cell r="B152" t="str">
            <v>INCOME TAXES-FEDERAL (409.1)</v>
          </cell>
          <cell r="D152">
            <v>2445000</v>
          </cell>
          <cell r="E152">
            <v>8929783.5700000003</v>
          </cell>
          <cell r="F152">
            <v>-239000</v>
          </cell>
          <cell r="G152">
            <v>5754000</v>
          </cell>
          <cell r="H152">
            <v>4002000</v>
          </cell>
          <cell r="I152">
            <v>18230000</v>
          </cell>
          <cell r="J152">
            <v>6346000</v>
          </cell>
          <cell r="K152">
            <v>14311000</v>
          </cell>
          <cell r="L152">
            <v>36762000</v>
          </cell>
          <cell r="M152">
            <v>6860000</v>
          </cell>
          <cell r="N152">
            <v>10448000</v>
          </cell>
          <cell r="O152">
            <v>-9992400.1699999999</v>
          </cell>
          <cell r="Q152">
            <v>103856383.39999999</v>
          </cell>
        </row>
        <row r="153">
          <cell r="A153" t="str">
            <v>F40910G</v>
          </cell>
          <cell r="B153" t="str">
            <v>INCOME TAXES-FEDERAL (409.1)</v>
          </cell>
          <cell r="D153">
            <v>1380000</v>
          </cell>
          <cell r="E153">
            <v>818000</v>
          </cell>
          <cell r="F153">
            <v>2768000</v>
          </cell>
          <cell r="G153">
            <v>1158000</v>
          </cell>
          <cell r="H153">
            <v>834000</v>
          </cell>
          <cell r="I153">
            <v>835000</v>
          </cell>
          <cell r="J153">
            <v>2471000</v>
          </cell>
          <cell r="K153">
            <v>1260000</v>
          </cell>
          <cell r="L153">
            <v>1565000</v>
          </cell>
          <cell r="M153">
            <v>1167000</v>
          </cell>
          <cell r="N153">
            <v>788000</v>
          </cell>
          <cell r="O153">
            <v>-17201000</v>
          </cell>
          <cell r="Q153">
            <v>-2157000</v>
          </cell>
        </row>
        <row r="154">
          <cell r="A154" t="str">
            <v>F40911E</v>
          </cell>
          <cell r="B154" t="str">
            <v>STATE INCOME TAXES ELEC</v>
          </cell>
          <cell r="D154">
            <v>-873000</v>
          </cell>
          <cell r="E154">
            <v>-509000</v>
          </cell>
          <cell r="F154">
            <v>2661000</v>
          </cell>
          <cell r="G154">
            <v>1832000</v>
          </cell>
          <cell r="H154">
            <v>1320000</v>
          </cell>
          <cell r="I154">
            <v>1320000</v>
          </cell>
          <cell r="J154">
            <v>3909000</v>
          </cell>
          <cell r="K154">
            <v>2965000</v>
          </cell>
          <cell r="L154">
            <v>8512000</v>
          </cell>
          <cell r="M154">
            <v>1846000</v>
          </cell>
          <cell r="N154">
            <v>1246000</v>
          </cell>
          <cell r="O154">
            <v>-8437.4599999999991</v>
          </cell>
          <cell r="Q154">
            <v>24220562.539999999</v>
          </cell>
        </row>
        <row r="155">
          <cell r="A155" t="str">
            <v>F40911G</v>
          </cell>
          <cell r="B155" t="str">
            <v>STATE INCOME TAXES GAS</v>
          </cell>
          <cell r="D155">
            <v>313000</v>
          </cell>
          <cell r="E155">
            <v>185000</v>
          </cell>
          <cell r="F155">
            <v>628000</v>
          </cell>
          <cell r="G155">
            <v>263000</v>
          </cell>
          <cell r="H155">
            <v>189000</v>
          </cell>
          <cell r="I155">
            <v>189000</v>
          </cell>
          <cell r="J155">
            <v>560000</v>
          </cell>
          <cell r="K155">
            <v>286000</v>
          </cell>
          <cell r="L155">
            <v>355000</v>
          </cell>
          <cell r="M155">
            <v>264000</v>
          </cell>
          <cell r="N155">
            <v>179000</v>
          </cell>
          <cell r="O155">
            <v>-2495000</v>
          </cell>
          <cell r="Q155">
            <v>916000</v>
          </cell>
        </row>
        <row r="156">
          <cell r="A156" t="str">
            <v>F40920C</v>
          </cell>
          <cell r="B156" t="str">
            <v>TAXES ON NON OPERATING INCOME</v>
          </cell>
          <cell r="D156">
            <v>973000</v>
          </cell>
          <cell r="E156">
            <v>1886000</v>
          </cell>
          <cell r="F156">
            <v>1632000</v>
          </cell>
          <cell r="G156">
            <v>1572000</v>
          </cell>
          <cell r="H156">
            <v>1116000</v>
          </cell>
          <cell r="I156">
            <v>892000</v>
          </cell>
          <cell r="J156">
            <v>1053000</v>
          </cell>
          <cell r="K156">
            <v>784000</v>
          </cell>
          <cell r="L156">
            <v>991000</v>
          </cell>
          <cell r="M156">
            <v>587000</v>
          </cell>
          <cell r="N156">
            <v>7597000</v>
          </cell>
          <cell r="O156">
            <v>4409000</v>
          </cell>
          <cell r="Q156">
            <v>23492000</v>
          </cell>
        </row>
        <row r="157">
          <cell r="A157" t="str">
            <v>F41010E</v>
          </cell>
          <cell r="B157" t="str">
            <v>PROVISION FOR DEFERRED INCOME TAXES FED ELECTRIC</v>
          </cell>
          <cell r="D157">
            <v>20822000</v>
          </cell>
          <cell r="E157">
            <v>12867216.43</v>
          </cell>
          <cell r="F157">
            <v>40328000</v>
          </cell>
          <cell r="G157">
            <v>1224000</v>
          </cell>
          <cell r="H157">
            <v>882000</v>
          </cell>
          <cell r="I157">
            <v>881000</v>
          </cell>
          <cell r="J157">
            <v>2611000</v>
          </cell>
          <cell r="K157">
            <v>-2519000</v>
          </cell>
          <cell r="L157">
            <v>-22245000</v>
          </cell>
          <cell r="M157">
            <v>1233000</v>
          </cell>
          <cell r="N157">
            <v>833000</v>
          </cell>
          <cell r="O157">
            <v>92408400.170000002</v>
          </cell>
          <cell r="Q157">
            <v>149325616.60000002</v>
          </cell>
        </row>
        <row r="158">
          <cell r="A158" t="str">
            <v>F41010G</v>
          </cell>
          <cell r="B158" t="str">
            <v>PROVISION FOR DEFERRED INCOME TAXES FED  GAS</v>
          </cell>
          <cell r="D158">
            <v>9000</v>
          </cell>
          <cell r="E158">
            <v>5000</v>
          </cell>
          <cell r="F158">
            <v>17000</v>
          </cell>
          <cell r="G158">
            <v>8000</v>
          </cell>
          <cell r="H158">
            <v>5000</v>
          </cell>
          <cell r="I158">
            <v>5000</v>
          </cell>
          <cell r="J158">
            <v>16000</v>
          </cell>
          <cell r="K158">
            <v>8000</v>
          </cell>
          <cell r="L158">
            <v>10000</v>
          </cell>
          <cell r="M158">
            <v>7000</v>
          </cell>
          <cell r="N158">
            <v>5000</v>
          </cell>
          <cell r="O158">
            <v>21791000</v>
          </cell>
          <cell r="Q158">
            <v>21886000</v>
          </cell>
        </row>
        <row r="159">
          <cell r="A159" t="str">
            <v>F41011E</v>
          </cell>
          <cell r="B159" t="str">
            <v>PROVISION FOR DEFERRED INCOME TAXES STATE ELECTRIC</v>
          </cell>
          <cell r="D159">
            <v>4890000</v>
          </cell>
          <cell r="E159">
            <v>2943000</v>
          </cell>
          <cell r="F159">
            <v>9447000</v>
          </cell>
          <cell r="I159">
            <v>0</v>
          </cell>
          <cell r="K159">
            <v>-972000</v>
          </cell>
          <cell r="L159">
            <v>-6036000</v>
          </cell>
          <cell r="N159">
            <v>0</v>
          </cell>
          <cell r="O159">
            <v>16472437.460000001</v>
          </cell>
          <cell r="Q159">
            <v>26744437.460000001</v>
          </cell>
        </row>
        <row r="160">
          <cell r="A160" t="str">
            <v>F41011G</v>
          </cell>
          <cell r="B160" t="str">
            <v>PROVISION FOR DEFERRED INCOME TAXES STA</v>
          </cell>
          <cell r="I160">
            <v>0</v>
          </cell>
          <cell r="N160">
            <v>0</v>
          </cell>
          <cell r="O160">
            <v>2843000</v>
          </cell>
          <cell r="Q160">
            <v>2843000</v>
          </cell>
        </row>
        <row r="161">
          <cell r="A161" t="str">
            <v>F41020C</v>
          </cell>
          <cell r="B161" t="str">
            <v>PROVISION FOR DEFERRED INC. TAXES NON OPERATING IN</v>
          </cell>
          <cell r="D161">
            <v>59000</v>
          </cell>
          <cell r="E161">
            <v>34000</v>
          </cell>
          <cell r="F161">
            <v>116000</v>
          </cell>
          <cell r="G161">
            <v>49000</v>
          </cell>
          <cell r="H161">
            <v>35000</v>
          </cell>
          <cell r="I161">
            <v>35000</v>
          </cell>
          <cell r="J161">
            <v>105000</v>
          </cell>
          <cell r="K161">
            <v>53000</v>
          </cell>
          <cell r="L161">
            <v>66000</v>
          </cell>
          <cell r="M161">
            <v>49000</v>
          </cell>
          <cell r="N161">
            <v>33000</v>
          </cell>
          <cell r="O161">
            <v>14481000</v>
          </cell>
          <cell r="Q161">
            <v>15115000</v>
          </cell>
        </row>
        <row r="162">
          <cell r="A162" t="str">
            <v>F41110E</v>
          </cell>
          <cell r="B162" t="str">
            <v>(LESS) PROVISION FOR DEFERRED INCOME TAXES-FED ELE</v>
          </cell>
          <cell r="D162">
            <v>-9010000</v>
          </cell>
          <cell r="E162">
            <v>-5344000</v>
          </cell>
          <cell r="F162">
            <v>-34138000</v>
          </cell>
          <cell r="G162">
            <v>-1475000</v>
          </cell>
          <cell r="H162">
            <v>-1063000</v>
          </cell>
          <cell r="I162">
            <v>-1065000</v>
          </cell>
          <cell r="J162">
            <v>-3148000</v>
          </cell>
          <cell r="K162">
            <v>-1604000</v>
          </cell>
          <cell r="L162">
            <v>-1996000</v>
          </cell>
          <cell r="M162">
            <v>-1487000</v>
          </cell>
          <cell r="N162">
            <v>-1003000</v>
          </cell>
          <cell r="O162">
            <v>-93418000</v>
          </cell>
          <cell r="Q162">
            <v>-154751000</v>
          </cell>
        </row>
        <row r="163">
          <cell r="A163" t="str">
            <v>F41110G</v>
          </cell>
          <cell r="B163" t="str">
            <v>(LESS) PROVISION FOR DEFERRED INCOME TAXES-FED GAS</v>
          </cell>
          <cell r="D163">
            <v>-256000</v>
          </cell>
          <cell r="E163">
            <v>-152000</v>
          </cell>
          <cell r="F163">
            <v>-517000</v>
          </cell>
          <cell r="G163">
            <v>-215000</v>
          </cell>
          <cell r="H163">
            <v>-155000</v>
          </cell>
          <cell r="I163">
            <v>-156000</v>
          </cell>
          <cell r="J163">
            <v>-459000</v>
          </cell>
          <cell r="K163">
            <v>-235000</v>
          </cell>
          <cell r="L163">
            <v>-290000</v>
          </cell>
          <cell r="M163">
            <v>-219000</v>
          </cell>
          <cell r="N163">
            <v>-147000</v>
          </cell>
          <cell r="O163">
            <v>-4907000</v>
          </cell>
          <cell r="Q163">
            <v>-7708000</v>
          </cell>
        </row>
        <row r="164">
          <cell r="A164" t="str">
            <v>F41112E</v>
          </cell>
          <cell r="B164" t="str">
            <v>(LESS) PROVISION FOR DEFERRED INCOME TAXES-STATE E</v>
          </cell>
          <cell r="D164">
            <v>-2338000</v>
          </cell>
          <cell r="E164">
            <v>-1388000</v>
          </cell>
          <cell r="F164">
            <v>-8748000</v>
          </cell>
          <cell r="G164">
            <v>-425000</v>
          </cell>
          <cell r="H164">
            <v>-308000</v>
          </cell>
          <cell r="I164">
            <v>-308000</v>
          </cell>
          <cell r="J164">
            <v>-908000</v>
          </cell>
          <cell r="K164">
            <v>-463000</v>
          </cell>
          <cell r="L164">
            <v>-576000</v>
          </cell>
          <cell r="M164">
            <v>-428000</v>
          </cell>
          <cell r="N164">
            <v>-290000</v>
          </cell>
          <cell r="O164">
            <v>-24502000</v>
          </cell>
          <cell r="Q164">
            <v>-40682000</v>
          </cell>
        </row>
        <row r="165">
          <cell r="A165" t="str">
            <v>F41112G</v>
          </cell>
          <cell r="B165" t="str">
            <v>(LESS) PROVISION FOR DEFERRED INCOME TAXES-STATE G</v>
          </cell>
          <cell r="D165">
            <v>-60000</v>
          </cell>
          <cell r="E165">
            <v>-37000</v>
          </cell>
          <cell r="F165">
            <v>-122000</v>
          </cell>
          <cell r="G165">
            <v>-51000</v>
          </cell>
          <cell r="H165">
            <v>-35000</v>
          </cell>
          <cell r="I165">
            <v>-38000</v>
          </cell>
          <cell r="J165">
            <v>-108000</v>
          </cell>
          <cell r="K165">
            <v>-55000</v>
          </cell>
          <cell r="L165">
            <v>-69000</v>
          </cell>
          <cell r="M165">
            <v>-51000</v>
          </cell>
          <cell r="N165">
            <v>-35000</v>
          </cell>
          <cell r="O165">
            <v>-1010000</v>
          </cell>
          <cell r="Q165">
            <v>-1671000</v>
          </cell>
        </row>
        <row r="166">
          <cell r="A166" t="str">
            <v>F41120C</v>
          </cell>
          <cell r="B166" t="str">
            <v>(LESS) PROVISION FOR DEFERRED INCOME TAXES-NON OP</v>
          </cell>
          <cell r="D166">
            <v>-90000</v>
          </cell>
          <cell r="E166">
            <v>-53000</v>
          </cell>
          <cell r="F166">
            <v>-181000</v>
          </cell>
          <cell r="G166">
            <v>-75000</v>
          </cell>
          <cell r="H166">
            <v>-55000</v>
          </cell>
          <cell r="I166">
            <v>-54000</v>
          </cell>
          <cell r="J166">
            <v>-161000</v>
          </cell>
          <cell r="K166">
            <v>-82000</v>
          </cell>
          <cell r="L166">
            <v>-102000</v>
          </cell>
          <cell r="M166">
            <v>-77000</v>
          </cell>
          <cell r="N166">
            <v>-10466000</v>
          </cell>
          <cell r="O166">
            <v>-5677000</v>
          </cell>
          <cell r="Q166">
            <v>-17073000</v>
          </cell>
        </row>
        <row r="167">
          <cell r="A167" t="str">
            <v>F41140E</v>
          </cell>
          <cell r="B167" t="str">
            <v>INVESTMENT TAX CREDIT ADJ.-FED ELECTRIC</v>
          </cell>
          <cell r="D167">
            <v>-183000</v>
          </cell>
          <cell r="E167">
            <v>-108000</v>
          </cell>
          <cell r="F167">
            <v>-366000</v>
          </cell>
          <cell r="G167">
            <v>-153000</v>
          </cell>
          <cell r="H167">
            <v>-110000</v>
          </cell>
          <cell r="I167">
            <v>-110000</v>
          </cell>
          <cell r="J167">
            <v>-327000</v>
          </cell>
          <cell r="K167">
            <v>-167000</v>
          </cell>
          <cell r="L167">
            <v>-207000</v>
          </cell>
          <cell r="M167">
            <v>-154000</v>
          </cell>
          <cell r="N167">
            <v>-104000</v>
          </cell>
          <cell r="O167">
            <v>-211000</v>
          </cell>
          <cell r="Q167">
            <v>-2200000</v>
          </cell>
        </row>
        <row r="168">
          <cell r="A168" t="str">
            <v>F41140G</v>
          </cell>
          <cell r="B168" t="str">
            <v>INVESTMENT TAX CREDIT ADJ.-FED GAS</v>
          </cell>
          <cell r="D168">
            <v>-50000</v>
          </cell>
          <cell r="E168">
            <v>-29000</v>
          </cell>
          <cell r="F168">
            <v>-100000</v>
          </cell>
          <cell r="G168">
            <v>-42000</v>
          </cell>
          <cell r="H168">
            <v>-30000</v>
          </cell>
          <cell r="I168">
            <v>-30000</v>
          </cell>
          <cell r="J168">
            <v>-89000</v>
          </cell>
          <cell r="K168">
            <v>-46000</v>
          </cell>
          <cell r="L168">
            <v>-56000</v>
          </cell>
          <cell r="M168">
            <v>-42000</v>
          </cell>
          <cell r="N168">
            <v>-28000</v>
          </cell>
          <cell r="O168">
            <v>-58000</v>
          </cell>
          <cell r="Q168">
            <v>-600000</v>
          </cell>
        </row>
        <row r="169">
          <cell r="A169" t="str">
            <v>F41160E</v>
          </cell>
          <cell r="B169" t="str">
            <v>GAIN FROM DISP UT PLANT</v>
          </cell>
          <cell r="E169">
            <v>1317.96</v>
          </cell>
          <cell r="F169">
            <v>123830.37</v>
          </cell>
          <cell r="I169">
            <v>0</v>
          </cell>
          <cell r="N169">
            <v>-3062665</v>
          </cell>
          <cell r="O169">
            <v>-32030.21</v>
          </cell>
          <cell r="Q169">
            <v>-2969546.88</v>
          </cell>
        </row>
        <row r="170">
          <cell r="A170" t="str">
            <v>F41170E</v>
          </cell>
          <cell r="B170" t="str">
            <v>LOSSES FROM DISP UT PLANT</v>
          </cell>
          <cell r="I170">
            <v>0</v>
          </cell>
          <cell r="N170">
            <v>0</v>
          </cell>
          <cell r="O170">
            <v>0</v>
          </cell>
          <cell r="Q170">
            <v>0</v>
          </cell>
        </row>
        <row r="171">
          <cell r="A171" t="str">
            <v>F41700C</v>
          </cell>
          <cell r="B171" t="str">
            <v>REVENUES FROM NONUTILITY OPERATIONS</v>
          </cell>
          <cell r="I171">
            <v>0</v>
          </cell>
          <cell r="K171">
            <v>19166.61</v>
          </cell>
          <cell r="N171">
            <v>0</v>
          </cell>
          <cell r="O171">
            <v>155</v>
          </cell>
          <cell r="Q171">
            <v>19321.61</v>
          </cell>
        </row>
        <row r="172">
          <cell r="A172" t="str">
            <v>F41710C</v>
          </cell>
          <cell r="B172" t="str">
            <v>EXPENSES OF NONUTILITY OPERATIONS</v>
          </cell>
          <cell r="D172">
            <v>12756.23</v>
          </cell>
          <cell r="E172">
            <v>61963.31</v>
          </cell>
          <cell r="F172">
            <v>40243.730000000003</v>
          </cell>
          <cell r="G172">
            <v>40243.74</v>
          </cell>
          <cell r="H172">
            <v>40243.730000000003</v>
          </cell>
          <cell r="I172">
            <v>40243.75</v>
          </cell>
          <cell r="J172">
            <v>34475.79</v>
          </cell>
          <cell r="K172">
            <v>40243.730000000003</v>
          </cell>
          <cell r="L172">
            <v>40243.74</v>
          </cell>
          <cell r="M172">
            <v>40243.730000000003</v>
          </cell>
          <cell r="N172">
            <v>40243.74</v>
          </cell>
          <cell r="O172">
            <v>37363.57</v>
          </cell>
          <cell r="Q172">
            <v>468508.78999999992</v>
          </cell>
        </row>
        <row r="173">
          <cell r="A173" t="str">
            <v>F41800C</v>
          </cell>
          <cell r="B173" t="str">
            <v>NONOPERATING RENTAL INCOME</v>
          </cell>
          <cell r="D173">
            <v>-17821.18</v>
          </cell>
          <cell r="E173">
            <v>-17850.400000000001</v>
          </cell>
          <cell r="F173">
            <v>-23532.58</v>
          </cell>
          <cell r="G173">
            <v>3849.67</v>
          </cell>
          <cell r="H173">
            <v>-17442.57</v>
          </cell>
          <cell r="I173">
            <v>-152962.07</v>
          </cell>
          <cell r="J173">
            <v>-335774.79</v>
          </cell>
          <cell r="K173">
            <v>-17781.990000000002</v>
          </cell>
          <cell r="L173">
            <v>-19181.990000000002</v>
          </cell>
          <cell r="M173">
            <v>39274.74</v>
          </cell>
          <cell r="N173">
            <v>129403.33</v>
          </cell>
          <cell r="O173">
            <v>-17081.990000000002</v>
          </cell>
          <cell r="Q173">
            <v>-446901.81999999989</v>
          </cell>
        </row>
        <row r="174">
          <cell r="A174" t="str">
            <v>F41900C</v>
          </cell>
          <cell r="B174" t="str">
            <v>INTEREST AND DIVIDEND INCOME</v>
          </cell>
          <cell r="D174">
            <v>-3971990.31</v>
          </cell>
          <cell r="E174">
            <v>-5527369.7699999996</v>
          </cell>
          <cell r="F174">
            <v>-4891071.1399999997</v>
          </cell>
          <cell r="G174">
            <v>-5006856.83</v>
          </cell>
          <cell r="H174">
            <v>-3560165.91</v>
          </cell>
          <cell r="I174">
            <v>-3655977.65</v>
          </cell>
          <cell r="J174">
            <v>-3283195.11</v>
          </cell>
          <cell r="K174">
            <v>-3336708.96</v>
          </cell>
          <cell r="L174">
            <v>-3348927.22</v>
          </cell>
          <cell r="M174">
            <v>-2788382.15</v>
          </cell>
          <cell r="N174">
            <v>-2723470.78</v>
          </cell>
          <cell r="O174">
            <v>-1748371.08</v>
          </cell>
          <cell r="Q174">
            <v>-43842486.909999996</v>
          </cell>
        </row>
        <row r="175">
          <cell r="A175" t="str">
            <v>F41910C</v>
          </cell>
          <cell r="B175" t="str">
            <v>ALLOWANCE FOR OTHER FUNDS USED DURING CONSTRUCTION</v>
          </cell>
          <cell r="D175">
            <v>-655058.18999999994</v>
          </cell>
          <cell r="E175">
            <v>118294.78</v>
          </cell>
          <cell r="F175">
            <v>-27579.15</v>
          </cell>
          <cell r="G175">
            <v>17923.27</v>
          </cell>
          <cell r="H175">
            <v>-325783.45</v>
          </cell>
          <cell r="I175">
            <v>-625899.75</v>
          </cell>
          <cell r="J175">
            <v>-614436.31999999995</v>
          </cell>
          <cell r="K175">
            <v>-637927.13</v>
          </cell>
          <cell r="L175">
            <v>-606674.64</v>
          </cell>
          <cell r="M175">
            <v>-682010.36</v>
          </cell>
          <cell r="N175">
            <v>-713615.7</v>
          </cell>
          <cell r="O175">
            <v>-576703.68999999994</v>
          </cell>
          <cell r="Q175">
            <v>-5329470.33</v>
          </cell>
        </row>
        <row r="176">
          <cell r="A176" t="str">
            <v>F42100C</v>
          </cell>
          <cell r="B176" t="str">
            <v>MISCELLANEOUS NONOPERATING INCOME</v>
          </cell>
          <cell r="D176">
            <v>1233188.8500000001</v>
          </cell>
          <cell r="E176">
            <v>372189</v>
          </cell>
          <cell r="F176">
            <v>44678</v>
          </cell>
          <cell r="G176">
            <v>-84067</v>
          </cell>
          <cell r="H176">
            <v>-24716.97</v>
          </cell>
          <cell r="I176">
            <v>-213737.59</v>
          </cell>
          <cell r="J176">
            <v>-17121.8</v>
          </cell>
          <cell r="K176">
            <v>-55079.4</v>
          </cell>
          <cell r="L176">
            <v>83242.600000000006</v>
          </cell>
          <cell r="M176">
            <v>-389693.05</v>
          </cell>
          <cell r="N176">
            <v>-133399.87</v>
          </cell>
          <cell r="O176">
            <v>-5626255.29</v>
          </cell>
          <cell r="Q176">
            <v>-4810772.5199999996</v>
          </cell>
        </row>
        <row r="177">
          <cell r="A177" t="str">
            <v>F42110C</v>
          </cell>
          <cell r="B177" t="str">
            <v>GAIN ON DISPOSITION OF PROPERTY</v>
          </cell>
          <cell r="F177">
            <v>-306527.57</v>
          </cell>
          <cell r="I177">
            <v>0</v>
          </cell>
          <cell r="J177">
            <v>3304.4</v>
          </cell>
          <cell r="N177">
            <v>-18803398.059999999</v>
          </cell>
          <cell r="O177">
            <v>-32677.279999999999</v>
          </cell>
          <cell r="Q177">
            <v>-19139298.510000002</v>
          </cell>
        </row>
        <row r="178">
          <cell r="A178" t="str">
            <v>F42120C</v>
          </cell>
          <cell r="B178" t="str">
            <v>LOSS ON DISPOSITION OF PROPERTY</v>
          </cell>
          <cell r="I178">
            <v>0</v>
          </cell>
          <cell r="N178">
            <v>0</v>
          </cell>
          <cell r="O178">
            <v>16966.900000000001</v>
          </cell>
          <cell r="Q178">
            <v>16966.900000000001</v>
          </cell>
        </row>
        <row r="179">
          <cell r="A179" t="str">
            <v>F42610C</v>
          </cell>
          <cell r="B179" t="str">
            <v>DONATIONS</v>
          </cell>
          <cell r="D179">
            <v>157022.43</v>
          </cell>
          <cell r="E179">
            <v>1612.98</v>
          </cell>
          <cell r="F179">
            <v>45131.57</v>
          </cell>
          <cell r="G179">
            <v>56239.63</v>
          </cell>
          <cell r="H179">
            <v>-5927.6</v>
          </cell>
          <cell r="I179">
            <v>35495.519999999997</v>
          </cell>
          <cell r="J179">
            <v>17522.39</v>
          </cell>
          <cell r="K179">
            <v>17901.37</v>
          </cell>
          <cell r="L179">
            <v>146070.35999999999</v>
          </cell>
          <cell r="M179">
            <v>17169.98</v>
          </cell>
          <cell r="N179">
            <v>573592</v>
          </cell>
          <cell r="O179">
            <v>590650.01</v>
          </cell>
          <cell r="Q179">
            <v>1652480.64</v>
          </cell>
        </row>
        <row r="180">
          <cell r="A180" t="str">
            <v>F42620C</v>
          </cell>
          <cell r="B180" t="str">
            <v>LIFE INSURANCE</v>
          </cell>
          <cell r="D180">
            <v>-112647</v>
          </cell>
          <cell r="E180">
            <v>-112647</v>
          </cell>
          <cell r="F180">
            <v>-112647</v>
          </cell>
          <cell r="G180">
            <v>-112647</v>
          </cell>
          <cell r="H180">
            <v>-112647</v>
          </cell>
          <cell r="I180">
            <v>-131951</v>
          </cell>
          <cell r="J180">
            <v>-129031</v>
          </cell>
          <cell r="K180">
            <v>-129031</v>
          </cell>
          <cell r="L180">
            <v>-129031</v>
          </cell>
          <cell r="M180">
            <v>-129031</v>
          </cell>
          <cell r="N180">
            <v>-129031</v>
          </cell>
          <cell r="O180">
            <v>-129031</v>
          </cell>
          <cell r="Q180">
            <v>-1469372</v>
          </cell>
        </row>
        <row r="181">
          <cell r="A181" t="str">
            <v>F42630C</v>
          </cell>
          <cell r="B181" t="str">
            <v>PENALTIES</v>
          </cell>
          <cell r="F181">
            <v>502.17</v>
          </cell>
          <cell r="G181">
            <v>23.68</v>
          </cell>
          <cell r="I181">
            <v>0</v>
          </cell>
          <cell r="K181">
            <v>18218.64</v>
          </cell>
          <cell r="N181">
            <v>0</v>
          </cell>
          <cell r="O181">
            <v>623.61</v>
          </cell>
          <cell r="Q181">
            <v>19368.099999999999</v>
          </cell>
        </row>
        <row r="182">
          <cell r="A182" t="str">
            <v>F42640C</v>
          </cell>
          <cell r="B182" t="str">
            <v>EXPENDITURES FOR CIVIC  POLITICAL AND R</v>
          </cell>
          <cell r="I182">
            <v>0</v>
          </cell>
          <cell r="N182">
            <v>0</v>
          </cell>
          <cell r="O182">
            <v>47305.55</v>
          </cell>
          <cell r="Q182">
            <v>47305.55</v>
          </cell>
        </row>
        <row r="183">
          <cell r="A183" t="str">
            <v>F42650C</v>
          </cell>
          <cell r="B183" t="str">
            <v>OTHER DEDUCTIONS</v>
          </cell>
          <cell r="D183">
            <v>-298881</v>
          </cell>
          <cell r="E183">
            <v>281661</v>
          </cell>
          <cell r="F183">
            <v>-21921</v>
          </cell>
          <cell r="I183">
            <v>0</v>
          </cell>
          <cell r="L183">
            <v>-109300</v>
          </cell>
          <cell r="M183">
            <v>2300</v>
          </cell>
          <cell r="N183">
            <v>1651951</v>
          </cell>
          <cell r="O183">
            <v>-24162000</v>
          </cell>
          <cell r="Q183">
            <v>-22656190</v>
          </cell>
        </row>
        <row r="184">
          <cell r="A184" t="str">
            <v>F42700C</v>
          </cell>
          <cell r="B184" t="str">
            <v>INTEREST ON LONG-TERM DEBT</v>
          </cell>
          <cell r="D184">
            <v>4477359.22</v>
          </cell>
          <cell r="E184">
            <v>4844926.18</v>
          </cell>
          <cell r="F184">
            <v>4702141.4000000004</v>
          </cell>
          <cell r="G184">
            <v>4704052.46</v>
          </cell>
          <cell r="H184">
            <v>5092146.43</v>
          </cell>
          <cell r="I184">
            <v>4625614.0999999996</v>
          </cell>
          <cell r="J184">
            <v>4561376.0599999996</v>
          </cell>
          <cell r="K184">
            <v>4564323.29</v>
          </cell>
          <cell r="L184">
            <v>4779948</v>
          </cell>
          <cell r="M184">
            <v>4825871.6900000004</v>
          </cell>
          <cell r="N184">
            <v>4754688.08</v>
          </cell>
          <cell r="O184">
            <v>4647211.68</v>
          </cell>
          <cell r="Q184">
            <v>56579658.589999996</v>
          </cell>
        </row>
        <row r="185">
          <cell r="A185" t="str">
            <v>F42800C</v>
          </cell>
          <cell r="B185" t="str">
            <v>AMORTIZATION OF DEBT DISC. AND EXPENSE</v>
          </cell>
          <cell r="D185">
            <v>58221.49</v>
          </cell>
          <cell r="E185">
            <v>58221.49</v>
          </cell>
          <cell r="F185">
            <v>58221.49</v>
          </cell>
          <cell r="G185">
            <v>58221.49</v>
          </cell>
          <cell r="H185">
            <v>58221.49</v>
          </cell>
          <cell r="I185">
            <v>58221.49</v>
          </cell>
          <cell r="J185">
            <v>58221.49</v>
          </cell>
          <cell r="K185">
            <v>58221.49</v>
          </cell>
          <cell r="L185">
            <v>58221.49</v>
          </cell>
          <cell r="M185">
            <v>58221.49</v>
          </cell>
          <cell r="N185">
            <v>58221.49</v>
          </cell>
          <cell r="O185">
            <v>58221.49</v>
          </cell>
          <cell r="Q185">
            <v>698657.88</v>
          </cell>
        </row>
        <row r="186">
          <cell r="A186" t="str">
            <v>F42810C</v>
          </cell>
          <cell r="B186" t="str">
            <v>AMORTIZATION OF LOSS ON REACQUIRED DEBT</v>
          </cell>
          <cell r="D186">
            <v>374872.7</v>
          </cell>
          <cell r="E186">
            <v>374872.7</v>
          </cell>
          <cell r="F186">
            <v>374872.7</v>
          </cell>
          <cell r="G186">
            <v>374872.7</v>
          </cell>
          <cell r="H186">
            <v>374872.7</v>
          </cell>
          <cell r="I186">
            <v>374872.7</v>
          </cell>
          <cell r="J186">
            <v>374872.7</v>
          </cell>
          <cell r="K186">
            <v>374872.71</v>
          </cell>
          <cell r="L186">
            <v>363294.65</v>
          </cell>
          <cell r="M186">
            <v>363294.65</v>
          </cell>
          <cell r="N186">
            <v>363294.65</v>
          </cell>
          <cell r="O186">
            <v>363294.65</v>
          </cell>
          <cell r="Q186">
            <v>4452160.21</v>
          </cell>
        </row>
        <row r="187">
          <cell r="A187" t="str">
            <v>F42900C</v>
          </cell>
          <cell r="B187" t="str">
            <v>(LESS) AMORT. OF PREMIUM ON DEBT-CREDIT</v>
          </cell>
          <cell r="D187">
            <v>-2106.09</v>
          </cell>
          <cell r="E187">
            <v>-2106.09</v>
          </cell>
          <cell r="F187">
            <v>-2106.09</v>
          </cell>
          <cell r="G187">
            <v>-2106.09</v>
          </cell>
          <cell r="H187">
            <v>-2106.09</v>
          </cell>
          <cell r="I187">
            <v>-2106.09</v>
          </cell>
          <cell r="J187">
            <v>-2106.09</v>
          </cell>
          <cell r="K187">
            <v>-2106.09</v>
          </cell>
          <cell r="L187">
            <v>-2106.09</v>
          </cell>
          <cell r="M187">
            <v>-2106.09</v>
          </cell>
          <cell r="N187">
            <v>-2106.09</v>
          </cell>
          <cell r="O187">
            <v>-2106.09</v>
          </cell>
          <cell r="Q187">
            <v>-25273.08</v>
          </cell>
        </row>
        <row r="188">
          <cell r="A188" t="str">
            <v>F43000C</v>
          </cell>
          <cell r="B188" t="str">
            <v>INTEREST ON DEBT TO ASSOC. COMPANIES</v>
          </cell>
          <cell r="D188">
            <v>2367783.9900000002</v>
          </cell>
          <cell r="E188">
            <v>2367783.9900000002</v>
          </cell>
          <cell r="F188">
            <v>2350012.23</v>
          </cell>
          <cell r="G188">
            <v>2280381.5099999998</v>
          </cell>
          <cell r="H188">
            <v>2280381.5099999998</v>
          </cell>
          <cell r="I188">
            <v>2192861.0699999998</v>
          </cell>
          <cell r="J188">
            <v>2204539.1</v>
          </cell>
          <cell r="K188">
            <v>2204539.1</v>
          </cell>
          <cell r="L188">
            <v>2191011.6</v>
          </cell>
          <cell r="M188">
            <v>2123664.89</v>
          </cell>
          <cell r="N188">
            <v>2123664.89</v>
          </cell>
          <cell r="O188">
            <v>2174773.65</v>
          </cell>
          <cell r="Q188">
            <v>26861397.530000001</v>
          </cell>
        </row>
        <row r="189">
          <cell r="A189" t="str">
            <v>F43100C</v>
          </cell>
          <cell r="B189" t="str">
            <v>OTHER INTEREST EXPENSE</v>
          </cell>
          <cell r="D189">
            <v>1252343.93</v>
          </cell>
          <cell r="E189">
            <v>2153340.81</v>
          </cell>
          <cell r="F189">
            <v>3354603.35</v>
          </cell>
          <cell r="G189">
            <v>3019988.56</v>
          </cell>
          <cell r="H189">
            <v>2085731.33</v>
          </cell>
          <cell r="I189">
            <v>2267332.37</v>
          </cell>
          <cell r="J189">
            <v>1724847.1</v>
          </cell>
          <cell r="K189">
            <v>1765600</v>
          </cell>
          <cell r="L189">
            <v>1736945</v>
          </cell>
          <cell r="M189">
            <v>2287400.8199999998</v>
          </cell>
          <cell r="N189">
            <v>1220998.3400000001</v>
          </cell>
          <cell r="O189">
            <v>1110021.29</v>
          </cell>
          <cell r="Q189">
            <v>23979152.900000002</v>
          </cell>
        </row>
        <row r="190">
          <cell r="A190" t="str">
            <v>F43200C</v>
          </cell>
          <cell r="B190" t="str">
            <v>(LESS) ALLOW FOR BORROWED FUNDS USED DURING CON-CR</v>
          </cell>
          <cell r="D190">
            <v>-289314.45</v>
          </cell>
          <cell r="E190">
            <v>-395938.77</v>
          </cell>
          <cell r="F190">
            <v>-511697.72</v>
          </cell>
          <cell r="G190">
            <v>-557290.31999999995</v>
          </cell>
          <cell r="H190">
            <v>-400627.95</v>
          </cell>
          <cell r="I190">
            <v>-278510.44</v>
          </cell>
          <cell r="J190">
            <v>-272188.82</v>
          </cell>
          <cell r="K190">
            <v>-277550.56</v>
          </cell>
          <cell r="L190">
            <v>-257627.19</v>
          </cell>
          <cell r="M190">
            <v>-285647.67</v>
          </cell>
          <cell r="N190">
            <v>-263973.86</v>
          </cell>
          <cell r="O190">
            <v>-258872.66</v>
          </cell>
          <cell r="Q190">
            <v>-4049240.4099999997</v>
          </cell>
        </row>
        <row r="191">
          <cell r="A191" t="str">
            <v>F43700C</v>
          </cell>
          <cell r="B191" t="str">
            <v>DIVIDENDS DECLARED-PREFERRED STOCK (ACCOUNT 437)</v>
          </cell>
          <cell r="D191">
            <v>548514.03</v>
          </cell>
          <cell r="E191">
            <v>548514.03</v>
          </cell>
          <cell r="F191">
            <v>548514.03</v>
          </cell>
          <cell r="G191">
            <v>548514.03</v>
          </cell>
          <cell r="H191">
            <v>548514.03</v>
          </cell>
          <cell r="I191">
            <v>548514.03</v>
          </cell>
          <cell r="J191">
            <v>548514.03</v>
          </cell>
          <cell r="K191">
            <v>548514.03</v>
          </cell>
          <cell r="L191">
            <v>548514.03</v>
          </cell>
          <cell r="M191">
            <v>548514.03</v>
          </cell>
          <cell r="N191">
            <v>548514.03</v>
          </cell>
          <cell r="O191">
            <v>548514.03</v>
          </cell>
          <cell r="Q191">
            <v>6582168.3600000022</v>
          </cell>
        </row>
        <row r="192">
          <cell r="A192" t="str">
            <v>F43701C</v>
          </cell>
          <cell r="B192" t="str">
            <v>DIVIDENDS DECLARED - PREFERRED STOCK (A</v>
          </cell>
          <cell r="I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 t="str">
            <v>F43800C</v>
          </cell>
          <cell r="B193" t="str">
            <v>DIVIDENDS DECLARED-COMMON STOCK (ACCOUN</v>
          </cell>
          <cell r="N193">
            <v>150000000</v>
          </cell>
          <cell r="O193">
            <v>-150000000</v>
          </cell>
          <cell r="Q193">
            <v>0</v>
          </cell>
        </row>
        <row r="194">
          <cell r="A194" t="str">
            <v>F44000C</v>
          </cell>
          <cell r="B194" t="str">
            <v>RESIDENTIAL SALES</v>
          </cell>
          <cell r="D194">
            <v>-81294285</v>
          </cell>
          <cell r="E194">
            <v>-73274464</v>
          </cell>
          <cell r="F194">
            <v>-70429636</v>
          </cell>
          <cell r="G194">
            <v>-61037677</v>
          </cell>
          <cell r="H194">
            <v>-57577305</v>
          </cell>
          <cell r="I194">
            <v>-61004957</v>
          </cell>
          <cell r="J194">
            <v>-64173785</v>
          </cell>
          <cell r="K194">
            <v>-65206747</v>
          </cell>
          <cell r="L194">
            <v>-72273351</v>
          </cell>
          <cell r="M194">
            <v>-58749670</v>
          </cell>
          <cell r="N194">
            <v>-48479232</v>
          </cell>
          <cell r="O194">
            <v>-61282106</v>
          </cell>
          <cell r="Q194">
            <v>-774783215</v>
          </cell>
        </row>
        <row r="195">
          <cell r="A195" t="str">
            <v>F44200C</v>
          </cell>
          <cell r="B195" t="str">
            <v>COMMERCIAL AND INDUSTRIAL SALES</v>
          </cell>
          <cell r="D195">
            <v>-145588399</v>
          </cell>
          <cell r="E195">
            <v>-136482663</v>
          </cell>
          <cell r="F195">
            <v>-143343395</v>
          </cell>
          <cell r="G195">
            <v>-125480427</v>
          </cell>
          <cell r="H195">
            <v>-94227055</v>
          </cell>
          <cell r="I195">
            <v>-88889023</v>
          </cell>
          <cell r="J195">
            <v>-89092225</v>
          </cell>
          <cell r="K195">
            <v>-88738948</v>
          </cell>
          <cell r="L195">
            <v>-94834624</v>
          </cell>
          <cell r="M195">
            <v>48215631</v>
          </cell>
          <cell r="N195">
            <v>-56923152</v>
          </cell>
          <cell r="O195">
            <v>-62959946</v>
          </cell>
          <cell r="Q195">
            <v>-1078344226</v>
          </cell>
        </row>
        <row r="196">
          <cell r="A196" t="str">
            <v>F44400C</v>
          </cell>
          <cell r="B196" t="str">
            <v>PUBLIC STREET AND HIGHWAY LIGHTING</v>
          </cell>
          <cell r="D196">
            <v>-825562</v>
          </cell>
          <cell r="E196">
            <v>-1023531</v>
          </cell>
          <cell r="F196">
            <v>-653673</v>
          </cell>
          <cell r="G196">
            <v>-1054214</v>
          </cell>
          <cell r="H196">
            <v>-649861</v>
          </cell>
          <cell r="I196">
            <v>-855915</v>
          </cell>
          <cell r="J196">
            <v>-856512</v>
          </cell>
          <cell r="K196">
            <v>-842887</v>
          </cell>
          <cell r="L196">
            <v>-863340</v>
          </cell>
          <cell r="M196">
            <v>-862771</v>
          </cell>
          <cell r="N196">
            <v>-755279</v>
          </cell>
          <cell r="O196">
            <v>-1036909</v>
          </cell>
          <cell r="Q196">
            <v>-10280454</v>
          </cell>
        </row>
        <row r="197">
          <cell r="A197" t="str">
            <v>F44700C</v>
          </cell>
          <cell r="B197" t="str">
            <v>SALES FOR RESALE</v>
          </cell>
          <cell r="D197">
            <v>-19956838</v>
          </cell>
          <cell r="E197">
            <v>-50246226.579999998</v>
          </cell>
          <cell r="F197">
            <v>-31910234.960000001</v>
          </cell>
          <cell r="G197">
            <v>-45814402.5</v>
          </cell>
          <cell r="H197">
            <v>-41578593</v>
          </cell>
          <cell r="I197">
            <v>-24838319</v>
          </cell>
          <cell r="J197">
            <v>-41596094</v>
          </cell>
          <cell r="K197">
            <v>-40655694</v>
          </cell>
          <cell r="L197">
            <v>-35156626</v>
          </cell>
          <cell r="M197">
            <v>-12996147.5</v>
          </cell>
          <cell r="N197">
            <v>-12493737</v>
          </cell>
          <cell r="O197">
            <v>317477859</v>
          </cell>
          <cell r="Q197">
            <v>-39765053.539999962</v>
          </cell>
        </row>
        <row r="198">
          <cell r="A198" t="str">
            <v>F44701C</v>
          </cell>
          <cell r="B198" t="str">
            <v>COST RECOVERY FROM ISO/PX</v>
          </cell>
          <cell r="D198">
            <v>157128.75</v>
          </cell>
          <cell r="E198">
            <v>343433.71</v>
          </cell>
          <cell r="F198">
            <v>1924764.54</v>
          </cell>
          <cell r="I198">
            <v>-1196029.6000000001</v>
          </cell>
          <cell r="N198">
            <v>0</v>
          </cell>
          <cell r="O198">
            <v>0</v>
          </cell>
          <cell r="Q198">
            <v>1229297.3999999999</v>
          </cell>
        </row>
        <row r="199">
          <cell r="A199" t="str">
            <v>F45100C</v>
          </cell>
          <cell r="B199" t="str">
            <v>MISCELLANEOUS SERVICE REVENUES</v>
          </cell>
          <cell r="D199">
            <v>-2416762</v>
          </cell>
          <cell r="E199">
            <v>-2412387</v>
          </cell>
          <cell r="F199">
            <v>-2631441</v>
          </cell>
          <cell r="G199">
            <v>-2551401.02</v>
          </cell>
          <cell r="H199">
            <v>-2289793.63</v>
          </cell>
          <cell r="I199">
            <v>-1977395.69</v>
          </cell>
          <cell r="J199">
            <v>-2181326.7599999998</v>
          </cell>
          <cell r="K199">
            <v>-2532794.7200000002</v>
          </cell>
          <cell r="L199">
            <v>-2339788.91</v>
          </cell>
          <cell r="M199">
            <v>-574593</v>
          </cell>
          <cell r="N199">
            <v>-1669477.96</v>
          </cell>
          <cell r="O199">
            <v>-1971335.77</v>
          </cell>
          <cell r="Q199">
            <v>-25548497.459999997</v>
          </cell>
        </row>
        <row r="200">
          <cell r="A200" t="str">
            <v>F45400C</v>
          </cell>
          <cell r="B200" t="str">
            <v>RENT FROM ELECTRIC PROPERTY</v>
          </cell>
          <cell r="D200">
            <v>-118455.49</v>
          </cell>
          <cell r="E200">
            <v>-230925.59</v>
          </cell>
          <cell r="F200">
            <v>-124429.84</v>
          </cell>
          <cell r="G200">
            <v>-195795.32</v>
          </cell>
          <cell r="H200">
            <v>-116836.18</v>
          </cell>
          <cell r="I200">
            <v>-149843.68</v>
          </cell>
          <cell r="J200">
            <v>-118069.84</v>
          </cell>
          <cell r="K200">
            <v>-138152.46</v>
          </cell>
          <cell r="L200">
            <v>-105645.48</v>
          </cell>
          <cell r="M200">
            <v>-215596.09</v>
          </cell>
          <cell r="N200">
            <v>-105807.64</v>
          </cell>
          <cell r="O200">
            <v>-194093.61</v>
          </cell>
          <cell r="Q200">
            <v>-1813651.2199999997</v>
          </cell>
        </row>
        <row r="201">
          <cell r="A201" t="str">
            <v>F45400E</v>
          </cell>
          <cell r="B201" t="str">
            <v>RENT FROM ELECTRIC PROPERTY</v>
          </cell>
          <cell r="D201">
            <v>-113732.51</v>
          </cell>
          <cell r="E201">
            <v>-1184407.23</v>
          </cell>
          <cell r="F201">
            <v>-22508.94</v>
          </cell>
          <cell r="G201">
            <v>-29400.9</v>
          </cell>
          <cell r="H201">
            <v>-54156.29</v>
          </cell>
          <cell r="I201">
            <v>-206420.45</v>
          </cell>
          <cell r="J201">
            <v>-74433.11</v>
          </cell>
          <cell r="K201">
            <v>-269552.71000000002</v>
          </cell>
          <cell r="L201">
            <v>-210646.65</v>
          </cell>
          <cell r="M201">
            <v>-160173.04999999999</v>
          </cell>
          <cell r="N201">
            <v>-46609.31</v>
          </cell>
          <cell r="O201">
            <v>-69304.820000000007</v>
          </cell>
          <cell r="Q201">
            <v>-2441345.9699999997</v>
          </cell>
        </row>
        <row r="202">
          <cell r="A202" t="str">
            <v>F45600C</v>
          </cell>
          <cell r="B202" t="str">
            <v>OTHER ELECTRIC REVENUES</v>
          </cell>
          <cell r="D202">
            <v>-113617611.3</v>
          </cell>
          <cell r="E202">
            <v>-45945819.93</v>
          </cell>
          <cell r="F202">
            <v>121668367.48</v>
          </cell>
          <cell r="G202">
            <v>112414782.61</v>
          </cell>
          <cell r="H202">
            <v>59981322.109999999</v>
          </cell>
          <cell r="I202">
            <v>9008441.9000000004</v>
          </cell>
          <cell r="J202">
            <v>40261644.729999997</v>
          </cell>
          <cell r="K202">
            <v>100617418.01000001</v>
          </cell>
          <cell r="L202">
            <v>62607869.810000002</v>
          </cell>
          <cell r="M202">
            <v>-89597248.420000002</v>
          </cell>
          <cell r="N202">
            <v>12267632.630000001</v>
          </cell>
          <cell r="O202">
            <v>44523186.18</v>
          </cell>
          <cell r="Q202">
            <v>314189985.81</v>
          </cell>
        </row>
        <row r="203">
          <cell r="A203" t="str">
            <v>F45600E</v>
          </cell>
          <cell r="B203" t="str">
            <v>OTHER ELECTRIC REVENUES</v>
          </cell>
          <cell r="I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 t="str">
            <v>F45601C</v>
          </cell>
          <cell r="B204" t="str">
            <v>OTHER ELECTRIC REVENUES</v>
          </cell>
          <cell r="D204">
            <v>-775376.97</v>
          </cell>
          <cell r="E204">
            <v>-763266.25</v>
          </cell>
          <cell r="F204">
            <v>-655753.07999999996</v>
          </cell>
          <cell r="G204">
            <v>-678496.54</v>
          </cell>
          <cell r="H204">
            <v>-659082.32999999996</v>
          </cell>
          <cell r="I204">
            <v>-459748.97</v>
          </cell>
          <cell r="J204">
            <v>1439.1</v>
          </cell>
          <cell r="K204">
            <v>166.3</v>
          </cell>
          <cell r="L204">
            <v>-963148.43</v>
          </cell>
          <cell r="M204">
            <v>-670715.86</v>
          </cell>
          <cell r="N204">
            <v>409950.69</v>
          </cell>
          <cell r="O204">
            <v>-322709.92</v>
          </cell>
          <cell r="Q204">
            <v>-5536742.2599999998</v>
          </cell>
        </row>
        <row r="205">
          <cell r="A205" t="str">
            <v>F48000C</v>
          </cell>
          <cell r="B205" t="str">
            <v>RESIDENTIAL SALES</v>
          </cell>
          <cell r="D205">
            <v>-75615678</v>
          </cell>
          <cell r="E205">
            <v>-85366150</v>
          </cell>
          <cell r="F205">
            <v>-71224394</v>
          </cell>
          <cell r="G205">
            <v>-47816218</v>
          </cell>
          <cell r="H205">
            <v>-37358905</v>
          </cell>
          <cell r="I205">
            <v>-34663245</v>
          </cell>
          <cell r="J205">
            <v>-23131893</v>
          </cell>
          <cell r="K205">
            <v>-12125024</v>
          </cell>
          <cell r="L205">
            <v>-11963411</v>
          </cell>
          <cell r="M205">
            <v>-12542886</v>
          </cell>
          <cell r="N205">
            <v>-15904654</v>
          </cell>
          <cell r="O205">
            <v>-33736806</v>
          </cell>
          <cell r="Q205">
            <v>-461449264</v>
          </cell>
        </row>
        <row r="206">
          <cell r="A206" t="str">
            <v>F48100C</v>
          </cell>
          <cell r="B206" t="str">
            <v>COMMERCIAL AND INDUSTRIAL SALES</v>
          </cell>
          <cell r="D206">
            <v>-31482105</v>
          </cell>
          <cell r="E206">
            <v>-34441325</v>
          </cell>
          <cell r="F206">
            <v>-29316489</v>
          </cell>
          <cell r="G206">
            <v>-31935563</v>
          </cell>
          <cell r="H206">
            <v>-21796650</v>
          </cell>
          <cell r="I206">
            <v>-23513759</v>
          </cell>
          <cell r="J206">
            <v>-14676316</v>
          </cell>
          <cell r="K206">
            <v>-8061351</v>
          </cell>
          <cell r="L206">
            <v>-9495623</v>
          </cell>
          <cell r="M206">
            <v>-7810869</v>
          </cell>
          <cell r="N206">
            <v>-8279085</v>
          </cell>
          <cell r="O206">
            <v>-11602145</v>
          </cell>
          <cell r="Q206">
            <v>-232411280</v>
          </cell>
        </row>
        <row r="207">
          <cell r="A207" t="str">
            <v>F48300C</v>
          </cell>
          <cell r="B207" t="str">
            <v>SALES FOR RESALE</v>
          </cell>
          <cell r="I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 t="str">
            <v>F48400C</v>
          </cell>
          <cell r="B208" t="str">
            <v>INTERDEPARTMENTAL SALES</v>
          </cell>
          <cell r="D208">
            <v>-4225214</v>
          </cell>
          <cell r="E208">
            <v>-3537540</v>
          </cell>
          <cell r="F208">
            <v>-3436130</v>
          </cell>
          <cell r="G208">
            <v>-3705121</v>
          </cell>
          <cell r="H208">
            <v>-3008776</v>
          </cell>
          <cell r="I208">
            <v>-3338773</v>
          </cell>
          <cell r="J208">
            <v>-2626938</v>
          </cell>
          <cell r="K208">
            <v>-3721110</v>
          </cell>
          <cell r="L208">
            <v>-3753127</v>
          </cell>
          <cell r="M208">
            <v>-3312023</v>
          </cell>
          <cell r="N208">
            <v>-3278445</v>
          </cell>
          <cell r="O208">
            <v>-3339838</v>
          </cell>
          <cell r="Q208">
            <v>-41283035</v>
          </cell>
        </row>
        <row r="209">
          <cell r="A209" t="str">
            <v>F48401C</v>
          </cell>
          <cell r="B209" t="str">
            <v>GAS FUEL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F48800C</v>
          </cell>
          <cell r="B210" t="str">
            <v>MISCELLANEOUS SERVICE REVENUES</v>
          </cell>
          <cell r="D210">
            <v>-673884</v>
          </cell>
          <cell r="E210">
            <v>-779054</v>
          </cell>
          <cell r="F210">
            <v>-703389</v>
          </cell>
          <cell r="G210">
            <v>-572532</v>
          </cell>
          <cell r="H210">
            <v>-490174.68</v>
          </cell>
          <cell r="I210">
            <v>-507319</v>
          </cell>
          <cell r="J210">
            <v>-423423</v>
          </cell>
          <cell r="K210">
            <v>-335052</v>
          </cell>
          <cell r="L210">
            <v>-310474</v>
          </cell>
          <cell r="M210">
            <v>-300809</v>
          </cell>
          <cell r="N210">
            <v>-291539</v>
          </cell>
          <cell r="O210">
            <v>-396597</v>
          </cell>
          <cell r="Q210">
            <v>-5784246.6799999997</v>
          </cell>
        </row>
        <row r="211">
          <cell r="A211" t="str">
            <v>F48900C</v>
          </cell>
          <cell r="B211" t="str">
            <v>REV. FROM TRANS. OF GAS OF OTHERS</v>
          </cell>
          <cell r="I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 t="str">
            <v>F49300C</v>
          </cell>
          <cell r="B212" t="str">
            <v>RENT FROM GAS PROPERTY</v>
          </cell>
          <cell r="D212">
            <v>-2158.06</v>
          </cell>
          <cell r="E212">
            <v>-2158.06</v>
          </cell>
          <cell r="F212">
            <v>-2158.06</v>
          </cell>
          <cell r="G212">
            <v>-2158.06</v>
          </cell>
          <cell r="H212">
            <v>-2158.06</v>
          </cell>
          <cell r="I212">
            <v>-2158.06</v>
          </cell>
          <cell r="J212">
            <v>-2158.06</v>
          </cell>
          <cell r="K212">
            <v>-2158.06</v>
          </cell>
          <cell r="L212">
            <v>-2158.06</v>
          </cell>
          <cell r="M212">
            <v>-2158.06</v>
          </cell>
          <cell r="N212">
            <v>-2158.06</v>
          </cell>
          <cell r="O212">
            <v>-35531.339999999997</v>
          </cell>
          <cell r="Q212">
            <v>-59270</v>
          </cell>
        </row>
        <row r="213">
          <cell r="A213" t="str">
            <v>F49500C</v>
          </cell>
          <cell r="B213" t="str">
            <v>OTHER GAS REVENUES</v>
          </cell>
          <cell r="D213">
            <v>-35091253.899999999</v>
          </cell>
          <cell r="E213">
            <v>30866519.879999999</v>
          </cell>
          <cell r="F213">
            <v>7080323.8099999996</v>
          </cell>
          <cell r="G213">
            <v>12182000.779999999</v>
          </cell>
          <cell r="H213">
            <v>6162860.9100000001</v>
          </cell>
          <cell r="I213">
            <v>-2251375.19</v>
          </cell>
          <cell r="J213">
            <v>24201596.969999999</v>
          </cell>
          <cell r="K213">
            <v>8876657.75</v>
          </cell>
          <cell r="L213">
            <v>6944439.7599999998</v>
          </cell>
          <cell r="M213">
            <v>3388981.32</v>
          </cell>
          <cell r="N213">
            <v>-13431311.039999999</v>
          </cell>
          <cell r="O213">
            <v>5833653.4900000002</v>
          </cell>
          <cell r="Q213">
            <v>54763094.539999999</v>
          </cell>
        </row>
        <row r="214">
          <cell r="A214" t="str">
            <v>F49500G</v>
          </cell>
          <cell r="B214" t="str">
            <v>OTHER GAS REVENUES</v>
          </cell>
          <cell r="D214">
            <v>-118.08</v>
          </cell>
          <cell r="E214">
            <v>-112.12</v>
          </cell>
          <cell r="G214">
            <v>-123.92</v>
          </cell>
          <cell r="I214">
            <v>0</v>
          </cell>
          <cell r="K214">
            <v>-14476.5</v>
          </cell>
          <cell r="M214">
            <v>-135.51</v>
          </cell>
          <cell r="N214">
            <v>0</v>
          </cell>
          <cell r="O214">
            <v>-1283.92</v>
          </cell>
          <cell r="Q214">
            <v>-16250.050000000001</v>
          </cell>
        </row>
        <row r="215">
          <cell r="A215" t="str">
            <v>F50000E</v>
          </cell>
          <cell r="B215" t="str">
            <v>OPERATION SUPERVISION AND ENGINEERING</v>
          </cell>
          <cell r="D215">
            <v>-4334.7299999999996</v>
          </cell>
          <cell r="E215">
            <v>4552.84</v>
          </cell>
          <cell r="F215">
            <v>2576.3000000000002</v>
          </cell>
          <cell r="G215">
            <v>408252.56</v>
          </cell>
          <cell r="H215">
            <v>4803.16</v>
          </cell>
          <cell r="I215">
            <v>2836.28</v>
          </cell>
          <cell r="J215">
            <v>715.87</v>
          </cell>
          <cell r="K215">
            <v>693.89</v>
          </cell>
          <cell r="L215">
            <v>3611.71</v>
          </cell>
          <cell r="M215">
            <v>13209.86</v>
          </cell>
          <cell r="N215">
            <v>714.01</v>
          </cell>
          <cell r="O215">
            <v>26504.99</v>
          </cell>
          <cell r="Q215">
            <v>464136.74</v>
          </cell>
        </row>
        <row r="216">
          <cell r="A216" t="str">
            <v>F50010E</v>
          </cell>
          <cell r="B216" t="str">
            <v>OPERATION SUPERVISION AND ENGINEERING</v>
          </cell>
          <cell r="D216">
            <v>13.16</v>
          </cell>
          <cell r="I216">
            <v>0</v>
          </cell>
          <cell r="N216">
            <v>0</v>
          </cell>
          <cell r="O216">
            <v>0</v>
          </cell>
          <cell r="Q216">
            <v>13.16</v>
          </cell>
        </row>
        <row r="217">
          <cell r="A217" t="str">
            <v>F50020E</v>
          </cell>
          <cell r="B217" t="str">
            <v>OPERATION SUPERVISION AND ENGINEERING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F50040E</v>
          </cell>
          <cell r="B218" t="str">
            <v>OPERATION SUPERVISION AND ENGINEERING</v>
          </cell>
          <cell r="I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 t="str">
            <v>F50060E</v>
          </cell>
          <cell r="B219" t="str">
            <v>OPERATION SUPERVISION AND ENGINEERING</v>
          </cell>
          <cell r="D219">
            <v>8186.97</v>
          </cell>
          <cell r="E219">
            <v>956.59</v>
          </cell>
          <cell r="F219">
            <v>1241.29</v>
          </cell>
          <cell r="G219">
            <v>1020.3</v>
          </cell>
          <cell r="H219">
            <v>1274.74</v>
          </cell>
          <cell r="I219">
            <v>919.65</v>
          </cell>
          <cell r="J219">
            <v>-15742.53</v>
          </cell>
          <cell r="K219">
            <v>503.96</v>
          </cell>
          <cell r="L219">
            <v>1003.98</v>
          </cell>
          <cell r="M219">
            <v>1203.6099999999999</v>
          </cell>
          <cell r="N219">
            <v>392.72</v>
          </cell>
          <cell r="O219">
            <v>0</v>
          </cell>
          <cell r="Q219">
            <v>961.27999999999656</v>
          </cell>
        </row>
        <row r="220">
          <cell r="A220" t="str">
            <v>F50070E</v>
          </cell>
          <cell r="B220" t="str">
            <v>OPERATION SUPERVISION AND ENGINEERING</v>
          </cell>
          <cell r="D220">
            <v>2965.11</v>
          </cell>
          <cell r="E220">
            <v>2421.85</v>
          </cell>
          <cell r="F220">
            <v>2770.17</v>
          </cell>
          <cell r="G220">
            <v>2398.06</v>
          </cell>
          <cell r="H220">
            <v>3215.77</v>
          </cell>
          <cell r="I220">
            <v>1838.42</v>
          </cell>
          <cell r="J220">
            <v>2950.86</v>
          </cell>
          <cell r="K220">
            <v>1569.99</v>
          </cell>
          <cell r="L220">
            <v>2413.56</v>
          </cell>
          <cell r="M220">
            <v>3131.82</v>
          </cell>
          <cell r="N220">
            <v>969.47</v>
          </cell>
          <cell r="O220">
            <v>0</v>
          </cell>
          <cell r="Q220">
            <v>26645.080000000005</v>
          </cell>
        </row>
        <row r="221">
          <cell r="A221" t="str">
            <v>F50100E</v>
          </cell>
          <cell r="B221" t="str">
            <v>FUEL</v>
          </cell>
          <cell r="I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 t="str">
            <v>F50140E</v>
          </cell>
          <cell r="B222" t="str">
            <v>FUEL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F50140E</v>
          </cell>
          <cell r="B223" t="str">
            <v>FUEL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F50200E</v>
          </cell>
          <cell r="B224" t="str">
            <v>STEAM EXPENSES</v>
          </cell>
          <cell r="I224">
            <v>2129.19</v>
          </cell>
          <cell r="J224">
            <v>102.33</v>
          </cell>
          <cell r="L224">
            <v>-142.34</v>
          </cell>
          <cell r="N224">
            <v>0</v>
          </cell>
          <cell r="O224">
            <v>0</v>
          </cell>
          <cell r="Q224">
            <v>2089.1799999999998</v>
          </cell>
        </row>
        <row r="225">
          <cell r="A225" t="str">
            <v>F50210E</v>
          </cell>
          <cell r="B225" t="str">
            <v>STEAM EXPENSES</v>
          </cell>
          <cell r="I225">
            <v>0</v>
          </cell>
          <cell r="N225">
            <v>0</v>
          </cell>
          <cell r="O225">
            <v>0</v>
          </cell>
          <cell r="Q225">
            <v>0</v>
          </cell>
        </row>
        <row r="226">
          <cell r="A226" t="str">
            <v>F50500E</v>
          </cell>
          <cell r="B226" t="str">
            <v>ELECTRIC EXPENSES</v>
          </cell>
          <cell r="D226">
            <v>4741.9799999999996</v>
          </cell>
          <cell r="E226">
            <v>1520.24</v>
          </cell>
          <cell r="F226">
            <v>1562.93</v>
          </cell>
          <cell r="G226">
            <v>1513.24</v>
          </cell>
          <cell r="H226">
            <v>1923.34</v>
          </cell>
          <cell r="I226">
            <v>734.2</v>
          </cell>
          <cell r="J226">
            <v>1081.05</v>
          </cell>
          <cell r="K226">
            <v>1192.32</v>
          </cell>
          <cell r="L226">
            <v>1293.92</v>
          </cell>
          <cell r="M226">
            <v>1566.32</v>
          </cell>
          <cell r="N226">
            <v>422.14</v>
          </cell>
          <cell r="O226">
            <v>0</v>
          </cell>
          <cell r="Q226">
            <v>17551.68</v>
          </cell>
        </row>
        <row r="227">
          <cell r="A227" t="str">
            <v>F50510E</v>
          </cell>
          <cell r="B227" t="str">
            <v>ELECTRIC EXPENSES</v>
          </cell>
          <cell r="D227">
            <v>337.65</v>
          </cell>
          <cell r="E227">
            <v>288.3</v>
          </cell>
          <cell r="F227">
            <v>386.98</v>
          </cell>
          <cell r="G227">
            <v>399.28</v>
          </cell>
          <cell r="H227">
            <v>502.8</v>
          </cell>
          <cell r="I227">
            <v>362.62</v>
          </cell>
          <cell r="J227">
            <v>3210.77</v>
          </cell>
          <cell r="K227">
            <v>205.27</v>
          </cell>
          <cell r="L227">
            <v>398.78</v>
          </cell>
          <cell r="M227">
            <v>478.8</v>
          </cell>
          <cell r="N227">
            <v>147.19999999999999</v>
          </cell>
          <cell r="O227">
            <v>0</v>
          </cell>
          <cell r="Q227">
            <v>6718.45</v>
          </cell>
        </row>
        <row r="228">
          <cell r="A228" t="str">
            <v>F50530E</v>
          </cell>
          <cell r="B228" t="str">
            <v>ELECTRIC EXPENSES</v>
          </cell>
          <cell r="I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F50540E</v>
          </cell>
          <cell r="B229" t="str">
            <v>ELECTRIC EXPENSES</v>
          </cell>
          <cell r="D229">
            <v>2164.06</v>
          </cell>
          <cell r="E229">
            <v>1947.29</v>
          </cell>
          <cell r="F229">
            <v>2072.71</v>
          </cell>
          <cell r="G229">
            <v>1936.02</v>
          </cell>
          <cell r="H229">
            <v>2634.97</v>
          </cell>
          <cell r="I229">
            <v>1335.45</v>
          </cell>
          <cell r="J229">
            <v>2325</v>
          </cell>
          <cell r="K229">
            <v>1669.27</v>
          </cell>
          <cell r="L229">
            <v>1958.35</v>
          </cell>
          <cell r="M229">
            <v>2667.9</v>
          </cell>
          <cell r="N229">
            <v>784.33</v>
          </cell>
          <cell r="O229">
            <v>0</v>
          </cell>
          <cell r="Q229">
            <v>21495.350000000002</v>
          </cell>
        </row>
        <row r="230">
          <cell r="A230" t="str">
            <v>F50560E</v>
          </cell>
          <cell r="B230" t="str">
            <v>ELECTRIC EXPENSES</v>
          </cell>
          <cell r="I230">
            <v>0</v>
          </cell>
          <cell r="N230">
            <v>0</v>
          </cell>
          <cell r="O230">
            <v>0</v>
          </cell>
          <cell r="Q230">
            <v>0</v>
          </cell>
        </row>
        <row r="231">
          <cell r="A231" t="str">
            <v>F50570E</v>
          </cell>
          <cell r="B231" t="str">
            <v>ELECTRIC EXPENSES</v>
          </cell>
          <cell r="I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F50600E</v>
          </cell>
          <cell r="B232" t="str">
            <v>MISCELLANEOUS STEAM POWER EXPENSES</v>
          </cell>
          <cell r="D232">
            <v>-450.45</v>
          </cell>
          <cell r="E232">
            <v>2513.65</v>
          </cell>
          <cell r="F232">
            <v>153479.04999999999</v>
          </cell>
          <cell r="G232">
            <v>4362.62</v>
          </cell>
          <cell r="H232">
            <v>4243.4799999999996</v>
          </cell>
          <cell r="I232">
            <v>747.85</v>
          </cell>
          <cell r="J232">
            <v>4705.76</v>
          </cell>
          <cell r="K232">
            <v>147223.54</v>
          </cell>
          <cell r="L232">
            <v>4143.75</v>
          </cell>
          <cell r="M232">
            <v>57954.63</v>
          </cell>
          <cell r="N232">
            <v>567.84</v>
          </cell>
          <cell r="O232">
            <v>4220</v>
          </cell>
          <cell r="Q232">
            <v>383711.72000000003</v>
          </cell>
        </row>
        <row r="233">
          <cell r="A233" t="str">
            <v>F50700E</v>
          </cell>
          <cell r="B233" t="str">
            <v>RENTS</v>
          </cell>
          <cell r="D233">
            <v>13009</v>
          </cell>
          <cell r="E233">
            <v>13009</v>
          </cell>
          <cell r="F233">
            <v>13009</v>
          </cell>
          <cell r="G233">
            <v>13009</v>
          </cell>
          <cell r="H233">
            <v>13009</v>
          </cell>
          <cell r="I233">
            <v>13009</v>
          </cell>
          <cell r="J233">
            <v>13009</v>
          </cell>
          <cell r="K233">
            <v>13009</v>
          </cell>
          <cell r="L233">
            <v>13009</v>
          </cell>
          <cell r="M233">
            <v>12149</v>
          </cell>
          <cell r="N233">
            <v>12453</v>
          </cell>
          <cell r="O233">
            <v>11845</v>
          </cell>
          <cell r="Q233">
            <v>153528</v>
          </cell>
        </row>
        <row r="234">
          <cell r="A234" t="str">
            <v>F51000E</v>
          </cell>
          <cell r="B234" t="str">
            <v>MAINTENANCE SUPERVISION AND ENGINEERING</v>
          </cell>
          <cell r="D234">
            <v>37.799999999999997</v>
          </cell>
          <cell r="E234">
            <v>188.91</v>
          </cell>
          <cell r="F234">
            <v>3018.98</v>
          </cell>
          <cell r="G234">
            <v>16.12</v>
          </cell>
          <cell r="H234">
            <v>146.13999999999999</v>
          </cell>
          <cell r="I234">
            <v>15.98</v>
          </cell>
          <cell r="L234">
            <v>-106.86</v>
          </cell>
          <cell r="M234">
            <v>1.6</v>
          </cell>
          <cell r="N234">
            <v>0</v>
          </cell>
          <cell r="O234">
            <v>1.6</v>
          </cell>
          <cell r="Q234">
            <v>3320.2699999999995</v>
          </cell>
        </row>
        <row r="235">
          <cell r="A235" t="str">
            <v>F51010E</v>
          </cell>
          <cell r="B235" t="str">
            <v>MAINTENANCE SUPERVISION AND ENGINEERING</v>
          </cell>
          <cell r="D235">
            <v>1485.7</v>
          </cell>
          <cell r="G235">
            <v>15.9</v>
          </cell>
          <cell r="I235">
            <v>0</v>
          </cell>
          <cell r="K235">
            <v>1200.48</v>
          </cell>
          <cell r="N235">
            <v>0</v>
          </cell>
          <cell r="O235">
            <v>0</v>
          </cell>
          <cell r="Q235">
            <v>2702.08</v>
          </cell>
        </row>
        <row r="236">
          <cell r="A236" t="str">
            <v>F51020E</v>
          </cell>
          <cell r="B236" t="str">
            <v>MAINTENANCE SUPERVISION AND ENGINEERING</v>
          </cell>
          <cell r="D236">
            <v>177.76</v>
          </cell>
          <cell r="E236">
            <v>153.52000000000001</v>
          </cell>
          <cell r="F236">
            <v>161.6</v>
          </cell>
          <cell r="G236">
            <v>161.6</v>
          </cell>
          <cell r="H236">
            <v>202</v>
          </cell>
          <cell r="I236">
            <v>153.52000000000001</v>
          </cell>
          <cell r="J236">
            <v>193.92</v>
          </cell>
          <cell r="K236">
            <v>646.4</v>
          </cell>
          <cell r="L236">
            <v>-177.76</v>
          </cell>
          <cell r="M236">
            <v>18.48</v>
          </cell>
          <cell r="N236">
            <v>123.84</v>
          </cell>
          <cell r="O236">
            <v>137.6</v>
          </cell>
          <cell r="Q236">
            <v>1952.48</v>
          </cell>
        </row>
        <row r="237">
          <cell r="A237" t="str">
            <v>F51030E</v>
          </cell>
          <cell r="B237" t="str">
            <v>MAINTENANCE SUPERVISION AND ENGINEERING</v>
          </cell>
          <cell r="I237">
            <v>0</v>
          </cell>
          <cell r="N237">
            <v>0</v>
          </cell>
          <cell r="O237">
            <v>0</v>
          </cell>
          <cell r="Q237">
            <v>0</v>
          </cell>
        </row>
        <row r="238">
          <cell r="A238" t="str">
            <v>F51100E</v>
          </cell>
          <cell r="B238" t="str">
            <v>MAINTENANCE OF STRUCTURES</v>
          </cell>
          <cell r="D238">
            <v>17885.84</v>
          </cell>
          <cell r="E238">
            <v>7209.58</v>
          </cell>
          <cell r="F238">
            <v>8782.68</v>
          </cell>
          <cell r="G238">
            <v>1350.84</v>
          </cell>
          <cell r="H238">
            <v>1853.99</v>
          </cell>
          <cell r="I238">
            <v>1545.89</v>
          </cell>
          <cell r="J238">
            <v>1431.02</v>
          </cell>
          <cell r="K238">
            <v>11297.6</v>
          </cell>
          <cell r="L238">
            <v>-4187</v>
          </cell>
          <cell r="M238">
            <v>357.6</v>
          </cell>
          <cell r="N238">
            <v>1072.8</v>
          </cell>
          <cell r="O238">
            <v>1192</v>
          </cell>
          <cell r="Q238">
            <v>49792.839999999989</v>
          </cell>
        </row>
        <row r="239">
          <cell r="A239" t="str">
            <v>F51200E</v>
          </cell>
          <cell r="B239" t="str">
            <v>MAINTENANCE OF BOILER PLANT</v>
          </cell>
          <cell r="E239">
            <v>-16880.77</v>
          </cell>
          <cell r="I239">
            <v>0</v>
          </cell>
          <cell r="L239">
            <v>837.34</v>
          </cell>
          <cell r="N239">
            <v>0</v>
          </cell>
          <cell r="O239">
            <v>0</v>
          </cell>
          <cell r="Q239">
            <v>-16043.43</v>
          </cell>
        </row>
        <row r="240">
          <cell r="A240" t="str">
            <v>F51220E</v>
          </cell>
          <cell r="B240" t="str">
            <v>MAINTENANCE OF BOILER PLANT</v>
          </cell>
          <cell r="I240">
            <v>0</v>
          </cell>
          <cell r="L240">
            <v>4396.49</v>
          </cell>
          <cell r="N240">
            <v>0</v>
          </cell>
          <cell r="O240">
            <v>0</v>
          </cell>
          <cell r="Q240">
            <v>4396.49</v>
          </cell>
        </row>
        <row r="241">
          <cell r="A241" t="str">
            <v>F51300E</v>
          </cell>
          <cell r="B241" t="str">
            <v>MAINTENANCE OF ELECTRIC PLANT</v>
          </cell>
          <cell r="D241">
            <v>739.2</v>
          </cell>
          <cell r="E241">
            <v>604.79999999999995</v>
          </cell>
          <cell r="F241">
            <v>672</v>
          </cell>
          <cell r="G241">
            <v>1448</v>
          </cell>
          <cell r="H241">
            <v>20862.73</v>
          </cell>
          <cell r="I241">
            <v>1375.6</v>
          </cell>
          <cell r="J241">
            <v>1737.6</v>
          </cell>
          <cell r="K241">
            <v>2688</v>
          </cell>
          <cell r="L241">
            <v>18378.93</v>
          </cell>
          <cell r="M241">
            <v>201.6</v>
          </cell>
          <cell r="N241">
            <v>604.79999999999995</v>
          </cell>
          <cell r="O241">
            <v>672</v>
          </cell>
          <cell r="Q241">
            <v>49985.26</v>
          </cell>
        </row>
        <row r="242">
          <cell r="A242" t="str">
            <v>F51320E</v>
          </cell>
          <cell r="B242" t="str">
            <v>MAINTENANCE OF ELECTRIC PLANT</v>
          </cell>
          <cell r="I242">
            <v>0</v>
          </cell>
          <cell r="L242">
            <v>13684.53</v>
          </cell>
          <cell r="N242">
            <v>0</v>
          </cell>
          <cell r="O242">
            <v>0</v>
          </cell>
          <cell r="Q242">
            <v>13684.53</v>
          </cell>
        </row>
        <row r="243">
          <cell r="A243" t="str">
            <v>F51400E</v>
          </cell>
          <cell r="B243" t="str">
            <v>MAINTENANCE OF MISCELLANEOUS STEAM PLANT</v>
          </cell>
          <cell r="H243">
            <v>107.37</v>
          </cell>
          <cell r="I243">
            <v>0</v>
          </cell>
          <cell r="L243">
            <v>913.69</v>
          </cell>
          <cell r="N243">
            <v>0</v>
          </cell>
          <cell r="O243">
            <v>18.97</v>
          </cell>
          <cell r="Q243">
            <v>1040.03</v>
          </cell>
        </row>
        <row r="244">
          <cell r="A244" t="str">
            <v>F51420E</v>
          </cell>
          <cell r="B244" t="str">
            <v>MAINTENANCE OF MISCELLANEOUS STEAM PLAN</v>
          </cell>
          <cell r="I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F51700E</v>
          </cell>
          <cell r="B245" t="str">
            <v>OPERATION SUPERVISION AND ENGINEERING</v>
          </cell>
          <cell r="D245">
            <v>1720981.62</v>
          </cell>
          <cell r="E245">
            <v>788235.63</v>
          </cell>
          <cell r="F245">
            <v>1032854.69</v>
          </cell>
          <cell r="G245">
            <v>944481.96</v>
          </cell>
          <cell r="H245">
            <v>894314.54</v>
          </cell>
          <cell r="I245">
            <v>1360585.49</v>
          </cell>
          <cell r="J245">
            <v>1087357.8899999999</v>
          </cell>
          <cell r="K245">
            <v>-481198.06</v>
          </cell>
          <cell r="L245">
            <v>1026766.15</v>
          </cell>
          <cell r="M245">
            <v>1144985.49</v>
          </cell>
          <cell r="N245">
            <v>1211908.3700000001</v>
          </cell>
          <cell r="O245">
            <v>849832.4</v>
          </cell>
          <cell r="Q245">
            <v>11581106.17</v>
          </cell>
        </row>
        <row r="246">
          <cell r="A246" t="str">
            <v>F51800E</v>
          </cell>
          <cell r="B246" t="str">
            <v>FUEL</v>
          </cell>
          <cell r="D246">
            <v>861054.09</v>
          </cell>
          <cell r="E246">
            <v>1015039.95</v>
          </cell>
          <cell r="F246">
            <v>793840.1</v>
          </cell>
          <cell r="G246">
            <v>795060.56</v>
          </cell>
          <cell r="H246">
            <v>796571.38</v>
          </cell>
          <cell r="I246">
            <v>1386430.51</v>
          </cell>
          <cell r="J246">
            <v>1365727.95</v>
          </cell>
          <cell r="K246">
            <v>1412353.19</v>
          </cell>
          <cell r="L246">
            <v>1106615.9099999999</v>
          </cell>
          <cell r="M246">
            <v>1196675.8999999999</v>
          </cell>
          <cell r="N246">
            <v>1386021.71</v>
          </cell>
          <cell r="O246">
            <v>1435090.18</v>
          </cell>
          <cell r="Q246">
            <v>13550481.43</v>
          </cell>
        </row>
        <row r="247">
          <cell r="A247" t="str">
            <v>F51900E</v>
          </cell>
          <cell r="B247" t="str">
            <v>COOLANTS AND WATER</v>
          </cell>
          <cell r="D247">
            <v>14672.61</v>
          </cell>
          <cell r="E247">
            <v>18536.77</v>
          </cell>
          <cell r="F247">
            <v>14585.63</v>
          </cell>
          <cell r="G247">
            <v>7693.62</v>
          </cell>
          <cell r="H247">
            <v>9656.44</v>
          </cell>
          <cell r="I247">
            <v>8602.39</v>
          </cell>
          <cell r="J247">
            <v>8744.93</v>
          </cell>
          <cell r="K247">
            <v>13015.65</v>
          </cell>
          <cell r="L247">
            <v>20078.63</v>
          </cell>
          <cell r="M247">
            <v>11790.94</v>
          </cell>
          <cell r="N247">
            <v>8112.87</v>
          </cell>
          <cell r="O247">
            <v>21477.05</v>
          </cell>
          <cell r="Q247">
            <v>156967.53</v>
          </cell>
        </row>
        <row r="248">
          <cell r="A248" t="str">
            <v>F52000E</v>
          </cell>
          <cell r="B248" t="str">
            <v>STEAM EXPENSES</v>
          </cell>
          <cell r="D248">
            <v>1040629.23</v>
          </cell>
          <cell r="E248">
            <v>903349.09</v>
          </cell>
          <cell r="F248">
            <v>669956.62</v>
          </cell>
          <cell r="G248">
            <v>463703.68</v>
          </cell>
          <cell r="H248">
            <v>469309.29</v>
          </cell>
          <cell r="I248">
            <v>394721.27</v>
          </cell>
          <cell r="J248">
            <v>483800.43</v>
          </cell>
          <cell r="K248">
            <v>473206.24</v>
          </cell>
          <cell r="L248">
            <v>547789.84</v>
          </cell>
          <cell r="M248">
            <v>578756.80000000005</v>
          </cell>
          <cell r="N248">
            <v>267909.71000000002</v>
          </cell>
          <cell r="O248">
            <v>453119.58</v>
          </cell>
          <cell r="Q248">
            <v>6746251.7800000003</v>
          </cell>
        </row>
        <row r="249">
          <cell r="A249" t="str">
            <v>F52300E</v>
          </cell>
          <cell r="B249" t="str">
            <v>ELECTRIC EXPENSES</v>
          </cell>
          <cell r="D249">
            <v>218931.11</v>
          </cell>
          <cell r="E249">
            <v>92400.5</v>
          </cell>
          <cell r="F249">
            <v>275724.63</v>
          </cell>
          <cell r="G249">
            <v>160703.43</v>
          </cell>
          <cell r="H249">
            <v>157535.62</v>
          </cell>
          <cell r="I249">
            <v>164735.24</v>
          </cell>
          <cell r="J249">
            <v>160230.43</v>
          </cell>
          <cell r="K249">
            <v>194031.26</v>
          </cell>
          <cell r="L249">
            <v>167440.54</v>
          </cell>
          <cell r="M249">
            <v>157492.28</v>
          </cell>
          <cell r="N249">
            <v>83598.19</v>
          </cell>
          <cell r="O249">
            <v>94585.34</v>
          </cell>
          <cell r="Q249">
            <v>1927408.5699999998</v>
          </cell>
        </row>
        <row r="250">
          <cell r="A250" t="str">
            <v>F52400E</v>
          </cell>
          <cell r="B250" t="str">
            <v>MISCELLANEOUS NUCLEAR POWER EXPENSES</v>
          </cell>
          <cell r="D250">
            <v>1714392.13</v>
          </cell>
          <cell r="E250">
            <v>1534995.39</v>
          </cell>
          <cell r="F250">
            <v>1489625.12</v>
          </cell>
          <cell r="G250">
            <v>1234598.99</v>
          </cell>
          <cell r="H250">
            <v>1539175.71</v>
          </cell>
          <cell r="I250">
            <v>696698.92</v>
          </cell>
          <cell r="J250">
            <v>1626972.57</v>
          </cell>
          <cell r="K250">
            <v>713161.04</v>
          </cell>
          <cell r="L250">
            <v>1058608.94</v>
          </cell>
          <cell r="M250">
            <v>1429023.22</v>
          </cell>
          <cell r="N250">
            <v>806837.16</v>
          </cell>
          <cell r="O250">
            <v>1395544.36</v>
          </cell>
          <cell r="Q250">
            <v>15239633.550000001</v>
          </cell>
        </row>
        <row r="251">
          <cell r="A251" t="str">
            <v>F52500E</v>
          </cell>
          <cell r="B251" t="str">
            <v>RENTS</v>
          </cell>
          <cell r="E251">
            <v>29574.57</v>
          </cell>
          <cell r="F251">
            <v>40133.46</v>
          </cell>
          <cell r="G251">
            <v>-17819.73</v>
          </cell>
          <cell r="H251">
            <v>17880.18</v>
          </cell>
          <cell r="I251">
            <v>40133.61</v>
          </cell>
          <cell r="J251">
            <v>20.2</v>
          </cell>
          <cell r="K251">
            <v>-8486.5499999999993</v>
          </cell>
          <cell r="L251">
            <v>34878.07</v>
          </cell>
          <cell r="M251">
            <v>526.46</v>
          </cell>
          <cell r="N251">
            <v>141.13999999999999</v>
          </cell>
          <cell r="O251">
            <v>42845.94</v>
          </cell>
          <cell r="Q251">
            <v>179827.35</v>
          </cell>
        </row>
        <row r="252">
          <cell r="A252" t="str">
            <v>F52800E</v>
          </cell>
          <cell r="B252" t="str">
            <v>MAINTENANCE SUPERVISION AND ENGINEERING</v>
          </cell>
          <cell r="D252">
            <v>530538.51</v>
          </cell>
          <cell r="E252">
            <v>-726711.2</v>
          </cell>
          <cell r="F252">
            <v>1014493.07</v>
          </cell>
          <cell r="G252">
            <v>2413715.0699999998</v>
          </cell>
          <cell r="H252">
            <v>-104182.65</v>
          </cell>
          <cell r="I252">
            <v>-1813953.91</v>
          </cell>
          <cell r="J252">
            <v>302002.3</v>
          </cell>
          <cell r="K252">
            <v>279639.25</v>
          </cell>
          <cell r="L252">
            <v>2801719.89</v>
          </cell>
          <cell r="M252">
            <v>328553.65000000002</v>
          </cell>
          <cell r="N252">
            <v>-2302186.5299999998</v>
          </cell>
          <cell r="O252">
            <v>1442046.1</v>
          </cell>
          <cell r="Q252">
            <v>4165673.5500000007</v>
          </cell>
        </row>
        <row r="253">
          <cell r="A253" t="str">
            <v>F52900E</v>
          </cell>
          <cell r="B253" t="str">
            <v>MAINTENANCE OF STRUCTURES</v>
          </cell>
          <cell r="D253">
            <v>154614.17000000001</v>
          </cell>
          <cell r="E253">
            <v>357173.48</v>
          </cell>
          <cell r="F253">
            <v>494682.63</v>
          </cell>
          <cell r="G253">
            <v>415903.28</v>
          </cell>
          <cell r="H253">
            <v>202041.99</v>
          </cell>
          <cell r="I253">
            <v>148396.45000000001</v>
          </cell>
          <cell r="J253">
            <v>263051.03999999998</v>
          </cell>
          <cell r="K253">
            <v>170793.72</v>
          </cell>
          <cell r="L253">
            <v>20838.12</v>
          </cell>
          <cell r="M253">
            <v>198850.22</v>
          </cell>
          <cell r="N253">
            <v>59210.33</v>
          </cell>
          <cell r="O253">
            <v>365554.66</v>
          </cell>
          <cell r="Q253">
            <v>2851110.0900000008</v>
          </cell>
        </row>
        <row r="254">
          <cell r="A254" t="str">
            <v>F53000E</v>
          </cell>
          <cell r="B254" t="str">
            <v>MAINTENANCE OF REACTOR PLANT EQUIPMENT</v>
          </cell>
          <cell r="D254">
            <v>2192608.31</v>
          </cell>
          <cell r="E254">
            <v>875820.28</v>
          </cell>
          <cell r="F254">
            <v>1154810.56</v>
          </cell>
          <cell r="G254">
            <v>462806.83</v>
          </cell>
          <cell r="H254">
            <v>198653.21</v>
          </cell>
          <cell r="I254">
            <v>313724.11</v>
          </cell>
          <cell r="J254">
            <v>244960.32</v>
          </cell>
          <cell r="K254">
            <v>342912.34</v>
          </cell>
          <cell r="L254">
            <v>295509.96999999997</v>
          </cell>
          <cell r="M254">
            <v>386945.03</v>
          </cell>
          <cell r="N254">
            <v>40804.61</v>
          </cell>
          <cell r="O254">
            <v>344864.82</v>
          </cell>
          <cell r="Q254">
            <v>6854420.3900000015</v>
          </cell>
        </row>
        <row r="255">
          <cell r="A255" t="str">
            <v>F53100E</v>
          </cell>
          <cell r="B255" t="str">
            <v>MAINTENANCE OF ELECTRIC PLANT</v>
          </cell>
          <cell r="D255">
            <v>307641.18</v>
          </cell>
          <cell r="E255">
            <v>556029.5</v>
          </cell>
          <cell r="F255">
            <v>1021503.17</v>
          </cell>
          <cell r="G255">
            <v>1143714.3400000001</v>
          </cell>
          <cell r="H255">
            <v>483826.91</v>
          </cell>
          <cell r="I255">
            <v>200387.43</v>
          </cell>
          <cell r="J255">
            <v>244634.07</v>
          </cell>
          <cell r="K255">
            <v>241803.55</v>
          </cell>
          <cell r="L255">
            <v>247223.59</v>
          </cell>
          <cell r="M255">
            <v>204167.38</v>
          </cell>
          <cell r="N255">
            <v>83984.89</v>
          </cell>
          <cell r="O255">
            <v>269498.51</v>
          </cell>
          <cell r="Q255">
            <v>5004414.5199999996</v>
          </cell>
        </row>
        <row r="256">
          <cell r="A256" t="str">
            <v>F53200E</v>
          </cell>
          <cell r="B256" t="str">
            <v>MAINTENANCE OF MISCELLANEOUS NUCLEAR PLANT</v>
          </cell>
          <cell r="D256">
            <v>1800593.86</v>
          </cell>
          <cell r="E256">
            <v>2089182.17</v>
          </cell>
          <cell r="F256">
            <v>668295.01</v>
          </cell>
          <cell r="G256">
            <v>491585.45</v>
          </cell>
          <cell r="H256">
            <v>839776.97</v>
          </cell>
          <cell r="I256">
            <v>164900.14000000001</v>
          </cell>
          <cell r="J256">
            <v>592050.81000000006</v>
          </cell>
          <cell r="K256">
            <v>597001.82999999996</v>
          </cell>
          <cell r="L256">
            <v>515817.39</v>
          </cell>
          <cell r="M256">
            <v>378047.17</v>
          </cell>
          <cell r="N256">
            <v>317077.53000000003</v>
          </cell>
          <cell r="O256">
            <v>664755.23</v>
          </cell>
          <cell r="Q256">
            <v>9119083.5600000005</v>
          </cell>
        </row>
        <row r="257">
          <cell r="A257" t="str">
            <v>F54600E</v>
          </cell>
          <cell r="B257" t="str">
            <v>OPERATION SUPERVISION AND ENGINEERING</v>
          </cell>
          <cell r="I257">
            <v>492.5</v>
          </cell>
          <cell r="N257">
            <v>0</v>
          </cell>
          <cell r="O257">
            <v>0</v>
          </cell>
          <cell r="Q257">
            <v>492.5</v>
          </cell>
        </row>
        <row r="258">
          <cell r="A258" t="str">
            <v>F54610E</v>
          </cell>
          <cell r="B258" t="str">
            <v>OPERATION SUPERVISION AND ENGINEERING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F54700E</v>
          </cell>
          <cell r="B259" t="str">
            <v>FUEL</v>
          </cell>
          <cell r="I259">
            <v>0</v>
          </cell>
          <cell r="N259">
            <v>0</v>
          </cell>
          <cell r="O259">
            <v>0</v>
          </cell>
          <cell r="Q259">
            <v>0</v>
          </cell>
        </row>
        <row r="260">
          <cell r="A260" t="str">
            <v>F54800E</v>
          </cell>
          <cell r="B260" t="str">
            <v>GENERATION EXPENSES</v>
          </cell>
          <cell r="I260">
            <v>0</v>
          </cell>
          <cell r="L260">
            <v>6902.48</v>
          </cell>
          <cell r="N260">
            <v>0</v>
          </cell>
          <cell r="O260">
            <v>0</v>
          </cell>
          <cell r="Q260">
            <v>6902.48</v>
          </cell>
        </row>
        <row r="261">
          <cell r="A261" t="str">
            <v>F54900E</v>
          </cell>
          <cell r="B261" t="str">
            <v>MISCELLANEOUS OTHER POWER GENERATION EXPENSES</v>
          </cell>
          <cell r="E261">
            <v>7925.12</v>
          </cell>
          <cell r="F261">
            <v>46977.26</v>
          </cell>
          <cell r="G261">
            <v>-17853.3</v>
          </cell>
          <cell r="H261">
            <v>15637.05</v>
          </cell>
          <cell r="I261">
            <v>-8573.75</v>
          </cell>
          <cell r="J261">
            <v>4798.68</v>
          </cell>
          <cell r="K261">
            <v>115788.14</v>
          </cell>
          <cell r="L261">
            <v>7256.6</v>
          </cell>
          <cell r="M261">
            <v>109152.84</v>
          </cell>
          <cell r="N261">
            <v>0</v>
          </cell>
          <cell r="O261">
            <v>31763.03</v>
          </cell>
          <cell r="Q261">
            <v>312871.67000000004</v>
          </cell>
        </row>
        <row r="262">
          <cell r="A262" t="str">
            <v>F55000E</v>
          </cell>
          <cell r="B262" t="str">
            <v>RENTS</v>
          </cell>
          <cell r="I262">
            <v>0</v>
          </cell>
          <cell r="N262">
            <v>0</v>
          </cell>
          <cell r="O262">
            <v>0</v>
          </cell>
          <cell r="Q262">
            <v>0</v>
          </cell>
        </row>
        <row r="263">
          <cell r="A263" t="str">
            <v>F55100E</v>
          </cell>
          <cell r="B263" t="str">
            <v>MAINTENANCE SUPERVISION AND ENGINEERING</v>
          </cell>
          <cell r="I263">
            <v>0</v>
          </cell>
          <cell r="K263">
            <v>48.24</v>
          </cell>
          <cell r="N263">
            <v>0</v>
          </cell>
          <cell r="O263">
            <v>0</v>
          </cell>
          <cell r="Q263">
            <v>48.24</v>
          </cell>
        </row>
        <row r="264">
          <cell r="A264" t="str">
            <v>F55200E</v>
          </cell>
          <cell r="B264" t="str">
            <v>MAINTENANCE OF STRUCTURES</v>
          </cell>
          <cell r="I264">
            <v>0</v>
          </cell>
          <cell r="L264">
            <v>994.1</v>
          </cell>
          <cell r="N264">
            <v>0</v>
          </cell>
          <cell r="O264">
            <v>0</v>
          </cell>
          <cell r="Q264">
            <v>994.1</v>
          </cell>
        </row>
        <row r="265">
          <cell r="A265" t="str">
            <v>F55300E</v>
          </cell>
          <cell r="B265" t="str">
            <v>MAINTENANCE OF GENERATING AND ELECTRIC PLANT</v>
          </cell>
          <cell r="H265">
            <v>87.12</v>
          </cell>
          <cell r="I265">
            <v>27.7</v>
          </cell>
          <cell r="J265">
            <v>32.950000000000003</v>
          </cell>
          <cell r="L265">
            <v>1873.26</v>
          </cell>
          <cell r="N265">
            <v>0</v>
          </cell>
          <cell r="O265">
            <v>0</v>
          </cell>
          <cell r="Q265">
            <v>2021.03</v>
          </cell>
        </row>
        <row r="266">
          <cell r="A266" t="str">
            <v>F55400E</v>
          </cell>
          <cell r="B266" t="str">
            <v>MAINT OF MISCELLANEOUS OTHER POWER GENE</v>
          </cell>
          <cell r="I266">
            <v>0</v>
          </cell>
          <cell r="N266">
            <v>0</v>
          </cell>
          <cell r="O266">
            <v>0</v>
          </cell>
          <cell r="Q266">
            <v>0</v>
          </cell>
        </row>
        <row r="267">
          <cell r="A267" t="str">
            <v>F55500E</v>
          </cell>
          <cell r="B267" t="str">
            <v>PURCHASED POWER</v>
          </cell>
          <cell r="D267">
            <v>183324911.30000001</v>
          </cell>
          <cell r="E267">
            <v>213546918.83000001</v>
          </cell>
          <cell r="F267">
            <v>6207242.8499999996</v>
          </cell>
          <cell r="G267">
            <v>78883000.319999993</v>
          </cell>
          <cell r="H267">
            <v>50913065.869999997</v>
          </cell>
          <cell r="I267">
            <v>45393483.509999998</v>
          </cell>
          <cell r="J267">
            <v>55936272.039999999</v>
          </cell>
          <cell r="K267">
            <v>56208180.780000001</v>
          </cell>
          <cell r="L267">
            <v>48699163.689999998</v>
          </cell>
          <cell r="M267">
            <v>33886964.880000003</v>
          </cell>
          <cell r="N267">
            <v>33040051.350000001</v>
          </cell>
          <cell r="O267">
            <v>-293926063.20999998</v>
          </cell>
          <cell r="Q267">
            <v>512113192.2100001</v>
          </cell>
        </row>
        <row r="268">
          <cell r="A268" t="str">
            <v>F55501E</v>
          </cell>
          <cell r="B268" t="str">
            <v>PX POWER</v>
          </cell>
          <cell r="D268">
            <v>85536933.140000001</v>
          </cell>
          <cell r="E268">
            <v>4550388.07</v>
          </cell>
          <cell r="F268">
            <v>54734980.640000001</v>
          </cell>
          <cell r="G268">
            <v>-20956056.82</v>
          </cell>
          <cell r="H268">
            <v>6771987.54</v>
          </cell>
          <cell r="I268">
            <v>28079235.739999998</v>
          </cell>
          <cell r="J268">
            <v>15474703.26</v>
          </cell>
          <cell r="K268">
            <v>-42727600.109999999</v>
          </cell>
          <cell r="L268">
            <v>2395634.77</v>
          </cell>
          <cell r="M268">
            <v>-261317.81</v>
          </cell>
          <cell r="N268">
            <v>4987601.5599999996</v>
          </cell>
          <cell r="O268">
            <v>1597405.23</v>
          </cell>
          <cell r="Q268">
            <v>140183895.21000001</v>
          </cell>
        </row>
        <row r="269">
          <cell r="A269" t="str">
            <v>F55600E</v>
          </cell>
          <cell r="B269" t="str">
            <v>SYSTEM CONTROL AND LOAD DISPATCHING</v>
          </cell>
          <cell r="D269">
            <v>78980.83</v>
          </cell>
          <cell r="E269">
            <v>68835.759999999995</v>
          </cell>
          <cell r="F269">
            <v>75009.17</v>
          </cell>
          <cell r="G269">
            <v>70766.960000000006</v>
          </cell>
          <cell r="H269">
            <v>95506.46</v>
          </cell>
          <cell r="I269">
            <v>52937.79</v>
          </cell>
          <cell r="J269">
            <v>38020.04</v>
          </cell>
          <cell r="K269">
            <v>53232.4</v>
          </cell>
          <cell r="L269">
            <v>59571.6</v>
          </cell>
          <cell r="M269">
            <v>103261.16</v>
          </cell>
          <cell r="N269">
            <v>61430.05</v>
          </cell>
          <cell r="O269">
            <v>74692.92</v>
          </cell>
          <cell r="Q269">
            <v>832245.14000000013</v>
          </cell>
        </row>
        <row r="270">
          <cell r="A270" t="str">
            <v>F55700E</v>
          </cell>
          <cell r="B270" t="str">
            <v>OTHER EXPENSES</v>
          </cell>
          <cell r="D270">
            <v>3200862.69</v>
          </cell>
          <cell r="E270">
            <v>6833.82</v>
          </cell>
          <cell r="F270">
            <v>150984.17000000001</v>
          </cell>
          <cell r="G270">
            <v>12086.67</v>
          </cell>
          <cell r="H270">
            <v>23713.47</v>
          </cell>
          <cell r="I270">
            <v>34580.11</v>
          </cell>
          <cell r="J270">
            <v>1632.91</v>
          </cell>
          <cell r="K270">
            <v>20732.37</v>
          </cell>
          <cell r="L270">
            <v>11581.57</v>
          </cell>
          <cell r="M270">
            <v>19620.43</v>
          </cell>
          <cell r="N270">
            <v>17892.060000000001</v>
          </cell>
          <cell r="O270">
            <v>108915.95</v>
          </cell>
          <cell r="Q270">
            <v>3609436.22</v>
          </cell>
        </row>
        <row r="271">
          <cell r="A271" t="str">
            <v>F55720E</v>
          </cell>
          <cell r="B271" t="str">
            <v>OTHER EXPENSES</v>
          </cell>
          <cell r="D271">
            <v>42638.98</v>
          </cell>
          <cell r="E271">
            <v>37758.74</v>
          </cell>
          <cell r="F271">
            <v>37526.71</v>
          </cell>
          <cell r="G271">
            <v>31161.279999999999</v>
          </cell>
          <cell r="H271">
            <v>39474.35</v>
          </cell>
          <cell r="I271">
            <v>31561.49</v>
          </cell>
          <cell r="J271">
            <v>37144.58</v>
          </cell>
          <cell r="K271">
            <v>37984.33</v>
          </cell>
          <cell r="L271">
            <v>35714.910000000003</v>
          </cell>
          <cell r="M271">
            <v>46215.71</v>
          </cell>
          <cell r="N271">
            <v>38637.120000000003</v>
          </cell>
          <cell r="O271">
            <v>47717.17</v>
          </cell>
          <cell r="Q271">
            <v>463535.37</v>
          </cell>
        </row>
        <row r="272">
          <cell r="A272" t="str">
            <v>F55780E</v>
          </cell>
          <cell r="B272" t="str">
            <v>OTHER EXPENSES</v>
          </cell>
          <cell r="D272">
            <v>21387.87</v>
          </cell>
          <cell r="E272">
            <v>14597.55</v>
          </cell>
          <cell r="F272">
            <v>19451.79</v>
          </cell>
          <cell r="G272">
            <v>14520.6</v>
          </cell>
          <cell r="H272">
            <v>17225.580000000002</v>
          </cell>
          <cell r="I272">
            <v>11963.18</v>
          </cell>
          <cell r="J272">
            <v>15701.98</v>
          </cell>
          <cell r="K272">
            <v>13481.98</v>
          </cell>
          <cell r="L272">
            <v>13981.59</v>
          </cell>
          <cell r="M272">
            <v>18401.59</v>
          </cell>
          <cell r="N272">
            <v>14130.6</v>
          </cell>
          <cell r="O272">
            <v>14899.46</v>
          </cell>
          <cell r="Q272">
            <v>189743.77</v>
          </cell>
        </row>
        <row r="273">
          <cell r="A273" t="str">
            <v>F55790E</v>
          </cell>
          <cell r="B273" t="str">
            <v>OTHER EXPENSES-PX ADMIN</v>
          </cell>
          <cell r="D273">
            <v>20414.82</v>
          </cell>
          <cell r="F273">
            <v>12136.55</v>
          </cell>
          <cell r="G273">
            <v>7951.79</v>
          </cell>
          <cell r="H273">
            <v>44912.18</v>
          </cell>
          <cell r="I273">
            <v>23548.43</v>
          </cell>
          <cell r="J273">
            <v>14191.13</v>
          </cell>
          <cell r="K273">
            <v>8791.8700000000008</v>
          </cell>
          <cell r="L273">
            <v>10752.98</v>
          </cell>
          <cell r="M273">
            <v>5031.84</v>
          </cell>
          <cell r="N273">
            <v>8048.22</v>
          </cell>
          <cell r="O273">
            <v>9261.68</v>
          </cell>
          <cell r="Q273">
            <v>165041.49</v>
          </cell>
        </row>
        <row r="274">
          <cell r="A274" t="str">
            <v>F56000E</v>
          </cell>
          <cell r="B274" t="str">
            <v>OPERATION SUPERVISION AND ENGINEERING</v>
          </cell>
          <cell r="D274">
            <v>404.45</v>
          </cell>
          <cell r="E274">
            <v>2825.26</v>
          </cell>
          <cell r="F274">
            <v>75.849999999999994</v>
          </cell>
          <cell r="G274">
            <v>47232.5</v>
          </cell>
          <cell r="H274">
            <v>14143.41</v>
          </cell>
          <cell r="I274">
            <v>183.24</v>
          </cell>
          <cell r="J274">
            <v>115.95</v>
          </cell>
          <cell r="K274">
            <v>67.510000000000005</v>
          </cell>
          <cell r="L274">
            <v>2197.27</v>
          </cell>
          <cell r="M274">
            <v>108.7</v>
          </cell>
          <cell r="N274">
            <v>4875.83</v>
          </cell>
          <cell r="O274">
            <v>261.06</v>
          </cell>
          <cell r="Q274">
            <v>72491.03</v>
          </cell>
        </row>
        <row r="275">
          <cell r="A275" t="str">
            <v>F56010E</v>
          </cell>
          <cell r="B275" t="str">
            <v>OPERATION SUPERVISION AND ENGINEERING</v>
          </cell>
          <cell r="D275">
            <v>176548.17</v>
          </cell>
          <cell r="E275">
            <v>150278.47</v>
          </cell>
          <cell r="F275">
            <v>154331.04999999999</v>
          </cell>
          <cell r="G275">
            <v>157887.01</v>
          </cell>
          <cell r="H275">
            <v>181535.52</v>
          </cell>
          <cell r="I275">
            <v>162733.69</v>
          </cell>
          <cell r="J275">
            <v>198510.64</v>
          </cell>
          <cell r="K275">
            <v>177063.46</v>
          </cell>
          <cell r="L275">
            <v>153736.18</v>
          </cell>
          <cell r="M275">
            <v>189187.56</v>
          </cell>
          <cell r="N275">
            <v>154793.03</v>
          </cell>
          <cell r="O275">
            <v>156410.32</v>
          </cell>
          <cell r="Q275">
            <v>2013015.0999999999</v>
          </cell>
        </row>
        <row r="276">
          <cell r="A276" t="str">
            <v>F56020E</v>
          </cell>
          <cell r="B276" t="str">
            <v>OPERATION SUPERVISION AND ENGINEERING</v>
          </cell>
          <cell r="D276">
            <v>33911.440000000002</v>
          </cell>
          <cell r="E276">
            <v>29164.86</v>
          </cell>
          <cell r="F276">
            <v>31480.42</v>
          </cell>
          <cell r="G276">
            <v>33434.65</v>
          </cell>
          <cell r="H276">
            <v>42160.85</v>
          </cell>
          <cell r="I276">
            <v>32998.370000000003</v>
          </cell>
          <cell r="J276">
            <v>35074.31</v>
          </cell>
          <cell r="K276">
            <v>42239.65</v>
          </cell>
          <cell r="L276">
            <v>44067.1</v>
          </cell>
          <cell r="M276">
            <v>46120.55</v>
          </cell>
          <cell r="N276">
            <v>38076.58</v>
          </cell>
          <cell r="O276">
            <v>36699.699999999997</v>
          </cell>
          <cell r="Q276">
            <v>445428.47999999998</v>
          </cell>
        </row>
        <row r="277">
          <cell r="A277" t="str">
            <v>F56100E</v>
          </cell>
          <cell r="B277" t="str">
            <v>LOAD DISPATCHING</v>
          </cell>
          <cell r="D277">
            <v>221078.07</v>
          </cell>
          <cell r="E277">
            <v>181011.08</v>
          </cell>
          <cell r="F277">
            <v>187511.63</v>
          </cell>
          <cell r="G277">
            <v>198912.98</v>
          </cell>
          <cell r="H277">
            <v>268840.89</v>
          </cell>
          <cell r="I277">
            <v>186571.53</v>
          </cell>
          <cell r="J277">
            <v>230970.23</v>
          </cell>
          <cell r="K277">
            <v>206465.68</v>
          </cell>
          <cell r="L277">
            <v>196046.39</v>
          </cell>
          <cell r="M277">
            <v>229597.53</v>
          </cell>
          <cell r="N277">
            <v>194777.63</v>
          </cell>
          <cell r="O277">
            <v>202383.27</v>
          </cell>
          <cell r="Q277">
            <v>2504166.9099999997</v>
          </cell>
        </row>
        <row r="278">
          <cell r="A278" t="str">
            <v>F56200E</v>
          </cell>
          <cell r="B278" t="str">
            <v>STATION EXPENSES</v>
          </cell>
          <cell r="D278">
            <v>10626.96</v>
          </cell>
          <cell r="E278">
            <v>1942.2</v>
          </cell>
          <cell r="F278">
            <v>17819.650000000001</v>
          </cell>
          <cell r="G278">
            <v>2361.5700000000002</v>
          </cell>
          <cell r="H278">
            <v>1067.3900000000001</v>
          </cell>
          <cell r="I278">
            <v>1385.16</v>
          </cell>
          <cell r="J278">
            <v>1067.3900000000001</v>
          </cell>
          <cell r="K278">
            <v>1530.54</v>
          </cell>
          <cell r="L278">
            <v>904.1</v>
          </cell>
          <cell r="M278">
            <v>14395.97</v>
          </cell>
          <cell r="N278">
            <v>10755.16</v>
          </cell>
          <cell r="O278">
            <v>22156.31</v>
          </cell>
          <cell r="Q278">
            <v>86012.400000000009</v>
          </cell>
        </row>
        <row r="279">
          <cell r="A279" t="str">
            <v>F56210E</v>
          </cell>
          <cell r="B279" t="str">
            <v>STATION EXPENSES</v>
          </cell>
          <cell r="D279">
            <v>8297.0300000000007</v>
          </cell>
          <cell r="E279">
            <v>11646.39</v>
          </cell>
          <cell r="F279">
            <v>12168.27</v>
          </cell>
          <cell r="G279">
            <v>8799.61</v>
          </cell>
          <cell r="H279">
            <v>15220.8</v>
          </cell>
          <cell r="I279">
            <v>10251.18</v>
          </cell>
          <cell r="J279">
            <v>14886.07</v>
          </cell>
          <cell r="K279">
            <v>15303.6</v>
          </cell>
          <cell r="L279">
            <v>30644.99</v>
          </cell>
          <cell r="M279">
            <v>14397.87</v>
          </cell>
          <cell r="N279">
            <v>21103.07</v>
          </cell>
          <cell r="O279">
            <v>13226.76</v>
          </cell>
          <cell r="Q279">
            <v>175945.64000000004</v>
          </cell>
        </row>
        <row r="280">
          <cell r="A280" t="str">
            <v>F56220E</v>
          </cell>
          <cell r="B280" t="str">
            <v>STATION EXPENSES</v>
          </cell>
          <cell r="I280">
            <v>0</v>
          </cell>
          <cell r="M280">
            <v>32.93</v>
          </cell>
          <cell r="N280">
            <v>110.27</v>
          </cell>
          <cell r="O280">
            <v>0</v>
          </cell>
          <cell r="Q280">
            <v>143.19999999999999</v>
          </cell>
        </row>
        <row r="281">
          <cell r="A281" t="str">
            <v>F56300E</v>
          </cell>
          <cell r="B281" t="str">
            <v>OVERHEAD LINE EXPENSES</v>
          </cell>
          <cell r="D281">
            <v>25942.16</v>
          </cell>
          <cell r="E281">
            <v>12211.75</v>
          </cell>
          <cell r="F281">
            <v>7021.94</v>
          </cell>
          <cell r="G281">
            <v>20812.57</v>
          </cell>
          <cell r="H281">
            <v>24967.16</v>
          </cell>
          <cell r="I281">
            <v>1287.51</v>
          </cell>
          <cell r="J281">
            <v>46743.29</v>
          </cell>
          <cell r="K281">
            <v>31901.72</v>
          </cell>
          <cell r="L281">
            <v>861.83</v>
          </cell>
          <cell r="M281">
            <v>2473.5300000000002</v>
          </cell>
          <cell r="N281">
            <v>44030</v>
          </cell>
          <cell r="O281">
            <v>41126.089999999997</v>
          </cell>
          <cell r="Q281">
            <v>259379.55</v>
          </cell>
        </row>
        <row r="282">
          <cell r="A282" t="str">
            <v>F56310E</v>
          </cell>
          <cell r="B282" t="str">
            <v>OVERHEAD LINE EXPENSES</v>
          </cell>
          <cell r="D282">
            <v>32986.720000000001</v>
          </cell>
          <cell r="E282">
            <v>49861.3</v>
          </cell>
          <cell r="F282">
            <v>8247.8700000000008</v>
          </cell>
          <cell r="G282">
            <v>13777.75</v>
          </cell>
          <cell r="H282">
            <v>24110.55</v>
          </cell>
          <cell r="I282">
            <v>36634.769999999997</v>
          </cell>
          <cell r="J282">
            <v>24062.66</v>
          </cell>
          <cell r="K282">
            <v>23417.07</v>
          </cell>
          <cell r="L282">
            <v>14803.81</v>
          </cell>
          <cell r="M282">
            <v>14321.92</v>
          </cell>
          <cell r="N282">
            <v>13233.82</v>
          </cell>
          <cell r="O282">
            <v>44227.95</v>
          </cell>
          <cell r="Q282">
            <v>299686.19</v>
          </cell>
        </row>
        <row r="283">
          <cell r="A283" t="str">
            <v>F56320E</v>
          </cell>
          <cell r="B283" t="str">
            <v>OVERHEAD LINE EXPENSES</v>
          </cell>
          <cell r="F283">
            <v>2000</v>
          </cell>
          <cell r="I283">
            <v>0</v>
          </cell>
          <cell r="M283">
            <v>173.05</v>
          </cell>
          <cell r="N283">
            <v>0</v>
          </cell>
          <cell r="O283">
            <v>0</v>
          </cell>
          <cell r="Q283">
            <v>2173.0500000000002</v>
          </cell>
        </row>
        <row r="284">
          <cell r="A284" t="str">
            <v>F56400E</v>
          </cell>
          <cell r="B284" t="str">
            <v>UNDERGROUND LINE EXPENSES</v>
          </cell>
          <cell r="I284">
            <v>0</v>
          </cell>
          <cell r="N284">
            <v>0</v>
          </cell>
          <cell r="O284">
            <v>70.59</v>
          </cell>
          <cell r="Q284">
            <v>70.59</v>
          </cell>
        </row>
        <row r="285">
          <cell r="A285" t="str">
            <v>F56500E</v>
          </cell>
          <cell r="B285" t="str">
            <v>TRANSMISSION OF ELECTRICITY BY OTHERS</v>
          </cell>
          <cell r="D285">
            <v>548695.38</v>
          </cell>
          <cell r="E285">
            <v>872162.67</v>
          </cell>
          <cell r="F285">
            <v>633723.16</v>
          </cell>
          <cell r="G285">
            <v>654906.59</v>
          </cell>
          <cell r="H285">
            <v>362255.73</v>
          </cell>
          <cell r="I285">
            <v>672182.74</v>
          </cell>
          <cell r="J285">
            <v>580183.82999999996</v>
          </cell>
          <cell r="K285">
            <v>599365.32999999996</v>
          </cell>
          <cell r="L285">
            <v>613064.82999999996</v>
          </cell>
          <cell r="M285">
            <v>645730.27</v>
          </cell>
          <cell r="N285">
            <v>621492.96</v>
          </cell>
          <cell r="O285">
            <v>645302.14</v>
          </cell>
          <cell r="Q285">
            <v>7449065.629999999</v>
          </cell>
        </row>
        <row r="286">
          <cell r="A286" t="str">
            <v>F56600E</v>
          </cell>
          <cell r="B286" t="str">
            <v>MISCELLANEOUS TRANSMISSION EXPENSES</v>
          </cell>
          <cell r="D286">
            <v>17269248.629999999</v>
          </cell>
          <cell r="E286">
            <v>19982609.98</v>
          </cell>
          <cell r="F286">
            <v>-1028639.82</v>
          </cell>
          <cell r="G286">
            <v>4742591.0599999996</v>
          </cell>
          <cell r="H286">
            <v>8880086.7200000007</v>
          </cell>
          <cell r="I286">
            <v>7226241.96</v>
          </cell>
          <cell r="J286">
            <v>4826362.1399999997</v>
          </cell>
          <cell r="K286">
            <v>4322801.8099999996</v>
          </cell>
          <cell r="L286">
            <v>3037577.89</v>
          </cell>
          <cell r="M286">
            <v>4548868.96</v>
          </cell>
          <cell r="N286">
            <v>4636277.9800000004</v>
          </cell>
          <cell r="O286">
            <v>4642711.8099999996</v>
          </cell>
          <cell r="Q286">
            <v>83086739.120000005</v>
          </cell>
        </row>
        <row r="287">
          <cell r="A287" t="str">
            <v>F56620E</v>
          </cell>
          <cell r="B287" t="str">
            <v>MISCELLANEOUS TRANSMISSION EXPENSES</v>
          </cell>
          <cell r="I287">
            <v>0</v>
          </cell>
          <cell r="N287">
            <v>0</v>
          </cell>
          <cell r="O287">
            <v>0</v>
          </cell>
          <cell r="Q287">
            <v>0</v>
          </cell>
        </row>
        <row r="288">
          <cell r="A288" t="str">
            <v>F56700E</v>
          </cell>
          <cell r="B288" t="str">
            <v>RENTS</v>
          </cell>
          <cell r="D288">
            <v>452932.6</v>
          </cell>
          <cell r="F288">
            <v>216427</v>
          </cell>
          <cell r="G288">
            <v>-850.03</v>
          </cell>
          <cell r="H288">
            <v>106</v>
          </cell>
          <cell r="I288">
            <v>3332</v>
          </cell>
          <cell r="J288">
            <v>402695.9</v>
          </cell>
          <cell r="K288">
            <v>12032</v>
          </cell>
          <cell r="M288">
            <v>37010</v>
          </cell>
          <cell r="N288">
            <v>14274.9</v>
          </cell>
          <cell r="O288">
            <v>27692</v>
          </cell>
          <cell r="Q288">
            <v>1165652.3699999999</v>
          </cell>
        </row>
        <row r="289">
          <cell r="A289" t="str">
            <v>F56800E</v>
          </cell>
          <cell r="B289" t="str">
            <v>MAINTENANCE SUPERVISION AND ENGINEERING</v>
          </cell>
          <cell r="D289">
            <v>6459.64</v>
          </cell>
          <cell r="E289">
            <v>8557.5300000000007</v>
          </cell>
          <cell r="F289">
            <v>5468.63</v>
          </cell>
          <cell r="G289">
            <v>3532.12</v>
          </cell>
          <cell r="H289">
            <v>2645.84</v>
          </cell>
          <cell r="I289">
            <v>9449.2000000000007</v>
          </cell>
          <cell r="J289">
            <v>2252.85</v>
          </cell>
          <cell r="K289">
            <v>2202.71</v>
          </cell>
          <cell r="L289">
            <v>4754.16</v>
          </cell>
          <cell r="M289">
            <v>5965.99</v>
          </cell>
          <cell r="N289">
            <v>3203.06</v>
          </cell>
          <cell r="O289">
            <v>10077.799999999999</v>
          </cell>
          <cell r="Q289">
            <v>64569.53</v>
          </cell>
        </row>
        <row r="290">
          <cell r="A290" t="str">
            <v>F56810E</v>
          </cell>
          <cell r="B290" t="str">
            <v>MAINTENANCE SUPERVISION AND ENGINEERING</v>
          </cell>
          <cell r="D290">
            <v>20682.02</v>
          </cell>
          <cell r="E290">
            <v>23634.17</v>
          </cell>
          <cell r="F290">
            <v>24849.84</v>
          </cell>
          <cell r="G290">
            <v>26530.94</v>
          </cell>
          <cell r="H290">
            <v>37752.78</v>
          </cell>
          <cell r="I290">
            <v>21321.87</v>
          </cell>
          <cell r="J290">
            <v>30392.639999999999</v>
          </cell>
          <cell r="K290">
            <v>137408.60999999999</v>
          </cell>
          <cell r="L290">
            <v>-55453.95</v>
          </cell>
          <cell r="M290">
            <v>39127.61</v>
          </cell>
          <cell r="N290">
            <v>24802.82</v>
          </cell>
          <cell r="O290">
            <v>39597.769999999997</v>
          </cell>
          <cell r="Q290">
            <v>370647.12</v>
          </cell>
        </row>
        <row r="291">
          <cell r="A291" t="str">
            <v>F56820E</v>
          </cell>
          <cell r="B291" t="str">
            <v>MAINTENANCE SUPERVISION AND ENGINEERING</v>
          </cell>
          <cell r="I291">
            <v>111.29</v>
          </cell>
          <cell r="N291">
            <v>0</v>
          </cell>
          <cell r="O291">
            <v>0</v>
          </cell>
          <cell r="Q291">
            <v>111.29</v>
          </cell>
        </row>
        <row r="292">
          <cell r="A292" t="str">
            <v>F56900E</v>
          </cell>
          <cell r="B292" t="str">
            <v>MAINTENANCE OF STRUCTURES</v>
          </cell>
          <cell r="D292">
            <v>4</v>
          </cell>
          <cell r="F292">
            <v>-5.82</v>
          </cell>
          <cell r="H292">
            <v>185.08</v>
          </cell>
          <cell r="I292">
            <v>135.01</v>
          </cell>
          <cell r="J292">
            <v>76.489999999999995</v>
          </cell>
          <cell r="N292">
            <v>140.5</v>
          </cell>
          <cell r="O292">
            <v>45.83</v>
          </cell>
          <cell r="Q292">
            <v>581.09</v>
          </cell>
        </row>
        <row r="293">
          <cell r="A293" t="str">
            <v>F57000E</v>
          </cell>
          <cell r="B293" t="str">
            <v>MAINTENANCE OF STATION EQUIPMENT</v>
          </cell>
          <cell r="D293">
            <v>28799.79</v>
          </cell>
          <cell r="E293">
            <v>42213.64</v>
          </cell>
          <cell r="F293">
            <v>19955.400000000001</v>
          </cell>
          <cell r="G293">
            <v>23568.22</v>
          </cell>
          <cell r="H293">
            <v>19779.3</v>
          </cell>
          <cell r="I293">
            <v>23166.17</v>
          </cell>
          <cell r="J293">
            <v>21571.45</v>
          </cell>
          <cell r="K293">
            <v>23939.81</v>
          </cell>
          <cell r="L293">
            <v>34795.449999999997</v>
          </cell>
          <cell r="M293">
            <v>44196.15</v>
          </cell>
          <cell r="N293">
            <v>80368.960000000006</v>
          </cell>
          <cell r="O293">
            <v>21511.19</v>
          </cell>
          <cell r="Q293">
            <v>383865.53</v>
          </cell>
        </row>
        <row r="294">
          <cell r="A294" t="str">
            <v>F57010E</v>
          </cell>
          <cell r="B294" t="str">
            <v>MAINTENANCE OF STATION EQUIPMENT</v>
          </cell>
          <cell r="D294">
            <v>118956.98</v>
          </cell>
          <cell r="E294">
            <v>103878.16</v>
          </cell>
          <cell r="F294">
            <v>87755.47</v>
          </cell>
          <cell r="G294">
            <v>60280.51</v>
          </cell>
          <cell r="H294">
            <v>43920.7</v>
          </cell>
          <cell r="I294">
            <v>95929.65</v>
          </cell>
          <cell r="J294">
            <v>108298.88</v>
          </cell>
          <cell r="K294">
            <v>134651.09</v>
          </cell>
          <cell r="L294">
            <v>161173.76000000001</v>
          </cell>
          <cell r="M294">
            <v>114093.25</v>
          </cell>
          <cell r="N294">
            <v>147763.68</v>
          </cell>
          <cell r="O294">
            <v>86560.38</v>
          </cell>
          <cell r="Q294">
            <v>1263262.5099999998</v>
          </cell>
        </row>
        <row r="295">
          <cell r="A295" t="str">
            <v>F57020E</v>
          </cell>
          <cell r="B295" t="str">
            <v>MAINTENANCE OF STATION EQUIPMENT</v>
          </cell>
          <cell r="D295">
            <v>13966.18</v>
          </cell>
          <cell r="E295">
            <v>8830.5499999999993</v>
          </cell>
          <cell r="F295">
            <v>9119.2199999999993</v>
          </cell>
          <cell r="G295">
            <v>8990.58</v>
          </cell>
          <cell r="H295">
            <v>10560</v>
          </cell>
          <cell r="I295">
            <v>13951.94</v>
          </cell>
          <cell r="J295">
            <v>11080.25</v>
          </cell>
          <cell r="K295">
            <v>22900.28</v>
          </cell>
          <cell r="L295">
            <v>15597.1</v>
          </cell>
          <cell r="M295">
            <v>17061.509999999998</v>
          </cell>
          <cell r="N295">
            <v>8836.94</v>
          </cell>
          <cell r="O295">
            <v>0</v>
          </cell>
          <cell r="Q295">
            <v>140894.55000000002</v>
          </cell>
        </row>
        <row r="296">
          <cell r="A296" t="str">
            <v>F57050E</v>
          </cell>
          <cell r="B296" t="str">
            <v>MAINTENANCE OF STATION EQUIPMENT</v>
          </cell>
          <cell r="F296">
            <v>5860.62</v>
          </cell>
          <cell r="G296">
            <v>3656.81</v>
          </cell>
          <cell r="H296">
            <v>3362.97</v>
          </cell>
          <cell r="I296">
            <v>306</v>
          </cell>
          <cell r="K296">
            <v>2071.04</v>
          </cell>
          <cell r="L296">
            <v>2162.88</v>
          </cell>
          <cell r="M296">
            <v>2553.06</v>
          </cell>
          <cell r="N296">
            <v>4509.03</v>
          </cell>
          <cell r="O296">
            <v>1323</v>
          </cell>
          <cell r="Q296">
            <v>25805.41</v>
          </cell>
        </row>
        <row r="297">
          <cell r="A297" t="str">
            <v>F57060E</v>
          </cell>
          <cell r="B297" t="str">
            <v>MAINTENANCE OF STATION EQUIPMENT</v>
          </cell>
          <cell r="D297">
            <v>20834.68</v>
          </cell>
          <cell r="F297">
            <v>3486.04</v>
          </cell>
          <cell r="G297">
            <v>986.39</v>
          </cell>
          <cell r="H297">
            <v>8842.4699999999993</v>
          </cell>
          <cell r="I297">
            <v>1704.63</v>
          </cell>
          <cell r="J297">
            <v>1562.79</v>
          </cell>
          <cell r="L297">
            <v>1821.74</v>
          </cell>
          <cell r="M297">
            <v>19562.55</v>
          </cell>
          <cell r="N297">
            <v>24982.1</v>
          </cell>
          <cell r="O297">
            <v>902.35</v>
          </cell>
          <cell r="Q297">
            <v>84685.739999999991</v>
          </cell>
        </row>
        <row r="298">
          <cell r="A298" t="str">
            <v>F57070E</v>
          </cell>
          <cell r="B298" t="str">
            <v>MAINTENANCE OF STATION EQUIPMENT</v>
          </cell>
          <cell r="D298">
            <v>20892.73</v>
          </cell>
          <cell r="E298">
            <v>7313.06</v>
          </cell>
          <cell r="F298">
            <v>15510.8</v>
          </cell>
          <cell r="G298">
            <v>3280.23</v>
          </cell>
          <cell r="H298">
            <v>20318.349999999999</v>
          </cell>
          <cell r="I298">
            <v>7044.92</v>
          </cell>
          <cell r="J298">
            <v>23066.02</v>
          </cell>
          <cell r="K298">
            <v>10196.35</v>
          </cell>
          <cell r="L298">
            <v>11307.45</v>
          </cell>
          <cell r="M298">
            <v>10240.36</v>
          </cell>
          <cell r="N298">
            <v>3839.15</v>
          </cell>
          <cell r="O298">
            <v>5161.88</v>
          </cell>
          <cell r="Q298">
            <v>138171.30000000002</v>
          </cell>
        </row>
        <row r="299">
          <cell r="A299" t="str">
            <v>F57100E</v>
          </cell>
          <cell r="B299" t="str">
            <v>MAINTENANCE OF OVERHEAD LINES</v>
          </cell>
          <cell r="D299">
            <v>58999.72</v>
          </cell>
          <cell r="E299">
            <v>48562.13</v>
          </cell>
          <cell r="F299">
            <v>78663.86</v>
          </cell>
          <cell r="G299">
            <v>48089.53</v>
          </cell>
          <cell r="H299">
            <v>89734.96</v>
          </cell>
          <cell r="I299">
            <v>149333.59</v>
          </cell>
          <cell r="J299">
            <v>165221.94</v>
          </cell>
          <cell r="K299">
            <v>166097.57999999999</v>
          </cell>
          <cell r="L299">
            <v>73238.42</v>
          </cell>
          <cell r="M299">
            <v>162613.9</v>
          </cell>
          <cell r="N299">
            <v>102311.9</v>
          </cell>
          <cell r="O299">
            <v>286587.56</v>
          </cell>
          <cell r="Q299">
            <v>1429455.09</v>
          </cell>
        </row>
        <row r="300">
          <cell r="A300" t="str">
            <v>F57110E</v>
          </cell>
          <cell r="B300" t="str">
            <v>MAINTENANCE OF OVERHEAD LINES</v>
          </cell>
          <cell r="D300">
            <v>25116.09</v>
          </cell>
          <cell r="E300">
            <v>20597.72</v>
          </cell>
          <cell r="F300">
            <v>33028.29</v>
          </cell>
          <cell r="G300">
            <v>19387.02</v>
          </cell>
          <cell r="H300">
            <v>27390.99</v>
          </cell>
          <cell r="I300">
            <v>25402.71</v>
          </cell>
          <cell r="J300">
            <v>25170.93</v>
          </cell>
          <cell r="K300">
            <v>21868.52</v>
          </cell>
          <cell r="L300">
            <v>22111.26</v>
          </cell>
          <cell r="M300">
            <v>19700.98</v>
          </cell>
          <cell r="N300">
            <v>43486.51</v>
          </cell>
          <cell r="O300">
            <v>33130.199999999997</v>
          </cell>
          <cell r="Q300">
            <v>316391.22000000003</v>
          </cell>
        </row>
        <row r="301">
          <cell r="A301" t="str">
            <v>F57120E</v>
          </cell>
          <cell r="B301" t="str">
            <v>MAINTENANCE OF OVERHEAD LINES</v>
          </cell>
          <cell r="D301">
            <v>6526.27</v>
          </cell>
          <cell r="E301">
            <v>33575.440000000002</v>
          </cell>
          <cell r="F301">
            <v>40088.74</v>
          </cell>
          <cell r="G301">
            <v>25811.86</v>
          </cell>
          <cell r="H301">
            <v>20662.34</v>
          </cell>
          <cell r="I301">
            <v>36486.65</v>
          </cell>
          <cell r="J301">
            <v>11805.04</v>
          </cell>
          <cell r="K301">
            <v>71811.14</v>
          </cell>
          <cell r="L301">
            <v>13992.01</v>
          </cell>
          <cell r="M301">
            <v>70784.39</v>
          </cell>
          <cell r="N301">
            <v>81911.210000000006</v>
          </cell>
          <cell r="O301">
            <v>80175.48</v>
          </cell>
          <cell r="Q301">
            <v>493630.57000000007</v>
          </cell>
        </row>
        <row r="302">
          <cell r="A302" t="str">
            <v>F57130E</v>
          </cell>
          <cell r="B302" t="str">
            <v>MAINTENANCE OF OVERHEAD LINES</v>
          </cell>
          <cell r="D302">
            <v>75186.61</v>
          </cell>
          <cell r="E302">
            <v>74692.38</v>
          </cell>
          <cell r="F302">
            <v>71887.63</v>
          </cell>
          <cell r="G302">
            <v>71489.679999999993</v>
          </cell>
          <cell r="H302">
            <v>107591.61</v>
          </cell>
          <cell r="I302">
            <v>80572.12</v>
          </cell>
          <cell r="J302">
            <v>86148.7</v>
          </cell>
          <cell r="K302">
            <v>94037.91</v>
          </cell>
          <cell r="L302">
            <v>71231.67</v>
          </cell>
          <cell r="M302">
            <v>102205.65</v>
          </cell>
          <cell r="N302">
            <v>63770.54</v>
          </cell>
          <cell r="O302">
            <v>78218.009999999995</v>
          </cell>
          <cell r="Q302">
            <v>977032.51000000013</v>
          </cell>
        </row>
        <row r="303">
          <cell r="A303" t="str">
            <v>F57170E</v>
          </cell>
          <cell r="B303" t="str">
            <v>MAINTENANCE OF OVERHEAD LINES</v>
          </cell>
          <cell r="D303">
            <v>1003.45</v>
          </cell>
          <cell r="H303">
            <v>532.37</v>
          </cell>
          <cell r="I303">
            <v>0</v>
          </cell>
          <cell r="K303">
            <v>119.9</v>
          </cell>
          <cell r="N303">
            <v>0</v>
          </cell>
          <cell r="O303">
            <v>0</v>
          </cell>
          <cell r="Q303">
            <v>1655.7200000000003</v>
          </cell>
        </row>
        <row r="304">
          <cell r="A304" t="str">
            <v>F57180E</v>
          </cell>
          <cell r="B304" t="str">
            <v>MAINTENANCE OF OVERHEAD LINES</v>
          </cell>
          <cell r="D304">
            <v>746.68</v>
          </cell>
          <cell r="G304">
            <v>670.32</v>
          </cell>
          <cell r="I304">
            <v>0</v>
          </cell>
          <cell r="N304">
            <v>685.47</v>
          </cell>
          <cell r="O304">
            <v>0</v>
          </cell>
          <cell r="Q304">
            <v>2102.4700000000003</v>
          </cell>
        </row>
        <row r="305">
          <cell r="A305" t="str">
            <v>F57190E</v>
          </cell>
          <cell r="B305" t="str">
            <v>MAINTENANCE OF OVERHEAD LINES</v>
          </cell>
          <cell r="G305">
            <v>5452.82</v>
          </cell>
          <cell r="I305">
            <v>1551.55</v>
          </cell>
          <cell r="J305">
            <v>3643.1</v>
          </cell>
          <cell r="K305">
            <v>6766.16</v>
          </cell>
          <cell r="L305">
            <v>2321.5500000000002</v>
          </cell>
          <cell r="M305">
            <v>2587.81</v>
          </cell>
          <cell r="N305">
            <v>730.8</v>
          </cell>
          <cell r="O305">
            <v>4901.84</v>
          </cell>
          <cell r="Q305">
            <v>27955.629999999997</v>
          </cell>
        </row>
        <row r="306">
          <cell r="A306" t="str">
            <v>F57200E</v>
          </cell>
          <cell r="B306" t="str">
            <v>MAINTENANCE OF UNDERGROUND LINES</v>
          </cell>
          <cell r="D306">
            <v>785.5</v>
          </cell>
          <cell r="E306">
            <v>383.76</v>
          </cell>
          <cell r="F306">
            <v>294.69</v>
          </cell>
          <cell r="G306">
            <v>2213.33</v>
          </cell>
          <cell r="H306">
            <v>728.34</v>
          </cell>
          <cell r="I306">
            <v>410.49</v>
          </cell>
          <cell r="J306">
            <v>702.29</v>
          </cell>
          <cell r="K306">
            <v>296.14999999999998</v>
          </cell>
          <cell r="L306">
            <v>740.01</v>
          </cell>
          <cell r="M306">
            <v>448.3</v>
          </cell>
          <cell r="N306">
            <v>1392.25</v>
          </cell>
          <cell r="O306">
            <v>1374.52</v>
          </cell>
          <cell r="Q306">
            <v>9769.630000000001</v>
          </cell>
        </row>
        <row r="307">
          <cell r="A307" t="str">
            <v>F57300E</v>
          </cell>
          <cell r="B307" t="str">
            <v>MAINTENANCE OF MISCELLANEOUS TRANSMISSION PLANT</v>
          </cell>
          <cell r="D307">
            <v>1524.25</v>
          </cell>
          <cell r="E307">
            <v>1074.8499999999999</v>
          </cell>
          <cell r="F307">
            <v>6467.33</v>
          </cell>
          <cell r="G307">
            <v>34.78</v>
          </cell>
          <cell r="H307">
            <v>3175.62</v>
          </cell>
          <cell r="I307">
            <v>802.85</v>
          </cell>
          <cell r="J307">
            <v>8047.53</v>
          </cell>
          <cell r="K307">
            <v>890.58</v>
          </cell>
          <cell r="L307">
            <v>0.75</v>
          </cell>
          <cell r="M307">
            <v>50.07</v>
          </cell>
          <cell r="N307">
            <v>2386.9499999999998</v>
          </cell>
          <cell r="O307">
            <v>1303.6300000000001</v>
          </cell>
          <cell r="Q307">
            <v>25759.190000000006</v>
          </cell>
        </row>
        <row r="308">
          <cell r="A308" t="str">
            <v>F58000E</v>
          </cell>
          <cell r="B308" t="str">
            <v>OPERATION SUPERVISION AND ENGINEERING</v>
          </cell>
          <cell r="D308">
            <v>486733.13</v>
          </cell>
          <cell r="E308">
            <v>421095.43</v>
          </cell>
          <cell r="F308">
            <v>385672.1</v>
          </cell>
          <cell r="G308">
            <v>353692.85</v>
          </cell>
          <cell r="H308">
            <v>489702.37</v>
          </cell>
          <cell r="I308">
            <v>319711.74</v>
          </cell>
          <cell r="J308">
            <v>489158.13</v>
          </cell>
          <cell r="K308">
            <v>558286.51</v>
          </cell>
          <cell r="L308">
            <v>345199.5</v>
          </cell>
          <cell r="M308">
            <v>552983.94999999995</v>
          </cell>
          <cell r="N308">
            <v>386959.55</v>
          </cell>
          <cell r="O308">
            <v>459415.3</v>
          </cell>
          <cell r="Q308">
            <v>5248610.5599999996</v>
          </cell>
        </row>
        <row r="309">
          <cell r="A309" t="str">
            <v>F58010E</v>
          </cell>
          <cell r="B309" t="str">
            <v>OPERATION SUPERVISION AND ENGINEERING</v>
          </cell>
          <cell r="D309">
            <v>173477.99</v>
          </cell>
          <cell r="E309">
            <v>122108.02</v>
          </cell>
          <cell r="F309">
            <v>108594.83</v>
          </cell>
          <cell r="G309">
            <v>99142.02</v>
          </cell>
          <cell r="H309">
            <v>132589.68</v>
          </cell>
          <cell r="I309">
            <v>107257.15</v>
          </cell>
          <cell r="J309">
            <v>147213.54999999999</v>
          </cell>
          <cell r="K309">
            <v>190729.8</v>
          </cell>
          <cell r="L309">
            <v>104873.28</v>
          </cell>
          <cell r="M309">
            <v>152292.72</v>
          </cell>
          <cell r="N309">
            <v>136004.73000000001</v>
          </cell>
          <cell r="O309">
            <v>135153.06</v>
          </cell>
          <cell r="Q309">
            <v>1609436.83</v>
          </cell>
        </row>
        <row r="310">
          <cell r="A310" t="str">
            <v>F58020E</v>
          </cell>
          <cell r="B310" t="str">
            <v>OPERATION SUPERVISION AND ENGINEERING</v>
          </cell>
          <cell r="D310">
            <v>88591.96</v>
          </cell>
          <cell r="E310">
            <v>69249.91</v>
          </cell>
          <cell r="F310">
            <v>74986.899999999994</v>
          </cell>
          <cell r="G310">
            <v>69670.61</v>
          </cell>
          <cell r="H310">
            <v>82876.97</v>
          </cell>
          <cell r="I310">
            <v>80276.41</v>
          </cell>
          <cell r="J310">
            <v>95920.41</v>
          </cell>
          <cell r="K310">
            <v>96512.91</v>
          </cell>
          <cell r="L310">
            <v>79821.3</v>
          </cell>
          <cell r="M310">
            <v>99238.79</v>
          </cell>
          <cell r="N310">
            <v>84774.14</v>
          </cell>
          <cell r="O310">
            <v>106888.43</v>
          </cell>
          <cell r="Q310">
            <v>1028808.7400000002</v>
          </cell>
        </row>
        <row r="311">
          <cell r="A311" t="str">
            <v>F58040E</v>
          </cell>
          <cell r="B311" t="str">
            <v>OPERATION SUPERVISION AND ENGINEERING</v>
          </cell>
          <cell r="D311">
            <v>2165.12</v>
          </cell>
          <cell r="E311">
            <v>2019.73</v>
          </cell>
          <cell r="F311">
            <v>1962.49</v>
          </cell>
          <cell r="G311">
            <v>3055.39</v>
          </cell>
          <cell r="H311">
            <v>1619.79</v>
          </cell>
          <cell r="I311">
            <v>1747.38</v>
          </cell>
          <cell r="J311">
            <v>2288.52</v>
          </cell>
          <cell r="K311">
            <v>2304.31</v>
          </cell>
          <cell r="L311">
            <v>2488.6799999999998</v>
          </cell>
          <cell r="M311">
            <v>3044.28</v>
          </cell>
          <cell r="N311">
            <v>1891.62</v>
          </cell>
          <cell r="O311">
            <v>2079.4</v>
          </cell>
          <cell r="Q311">
            <v>26666.710000000003</v>
          </cell>
        </row>
        <row r="312">
          <cell r="A312" t="str">
            <v>F58100E</v>
          </cell>
          <cell r="B312" t="str">
            <v>LOAD DISPATCHING</v>
          </cell>
          <cell r="D312">
            <v>89773.63</v>
          </cell>
          <cell r="E312">
            <v>73586.570000000007</v>
          </cell>
          <cell r="F312">
            <v>80894.850000000006</v>
          </cell>
          <cell r="G312">
            <v>78919.360000000001</v>
          </cell>
          <cell r="H312">
            <v>109761.66</v>
          </cell>
          <cell r="I312">
            <v>85404.05</v>
          </cell>
          <cell r="J312">
            <v>101759.5</v>
          </cell>
          <cell r="K312">
            <v>75224.63</v>
          </cell>
          <cell r="L312">
            <v>73871.09</v>
          </cell>
          <cell r="M312">
            <v>99375.82</v>
          </cell>
          <cell r="N312">
            <v>76204.710000000006</v>
          </cell>
          <cell r="O312">
            <v>89031.73</v>
          </cell>
          <cell r="Q312">
            <v>1033807.6000000001</v>
          </cell>
        </row>
        <row r="313">
          <cell r="A313" t="str">
            <v>F58200E</v>
          </cell>
          <cell r="B313" t="str">
            <v>STATION EXPENSES</v>
          </cell>
          <cell r="D313">
            <v>78503.13</v>
          </cell>
          <cell r="E313">
            <v>93350.02</v>
          </cell>
          <cell r="F313">
            <v>68347.240000000005</v>
          </cell>
          <cell r="G313">
            <v>42077.94</v>
          </cell>
          <cell r="H313">
            <v>61152.62</v>
          </cell>
          <cell r="I313">
            <v>69049.41</v>
          </cell>
          <cell r="J313">
            <v>58375.79</v>
          </cell>
          <cell r="K313">
            <v>58254.94</v>
          </cell>
          <cell r="L313">
            <v>81114.83</v>
          </cell>
          <cell r="M313">
            <v>97302.86</v>
          </cell>
          <cell r="N313">
            <v>31886.06</v>
          </cell>
          <cell r="O313">
            <v>38410.46</v>
          </cell>
          <cell r="Q313">
            <v>777825.29999999993</v>
          </cell>
        </row>
        <row r="314">
          <cell r="A314" t="str">
            <v>F58210E</v>
          </cell>
          <cell r="B314" t="str">
            <v>STATION EXPENSES</v>
          </cell>
          <cell r="D314">
            <v>94039.32</v>
          </cell>
          <cell r="E314">
            <v>84058.39</v>
          </cell>
          <cell r="F314">
            <v>77799.34</v>
          </cell>
          <cell r="G314">
            <v>69767.75</v>
          </cell>
          <cell r="H314">
            <v>99091.05</v>
          </cell>
          <cell r="I314">
            <v>70354.62</v>
          </cell>
          <cell r="J314">
            <v>92985.94</v>
          </cell>
          <cell r="K314">
            <v>82405.98</v>
          </cell>
          <cell r="L314">
            <v>85169.23</v>
          </cell>
          <cell r="M314">
            <v>109724.61</v>
          </cell>
          <cell r="N314">
            <v>111702.59</v>
          </cell>
          <cell r="O314">
            <v>110306.73</v>
          </cell>
          <cell r="Q314">
            <v>1087405.55</v>
          </cell>
        </row>
        <row r="315">
          <cell r="A315" t="str">
            <v>F58220E</v>
          </cell>
          <cell r="B315" t="str">
            <v>STATION EXPENSES</v>
          </cell>
          <cell r="D315">
            <v>387.73</v>
          </cell>
          <cell r="F315">
            <v>417.15</v>
          </cell>
          <cell r="G315">
            <v>92.26</v>
          </cell>
          <cell r="I315">
            <v>211.19</v>
          </cell>
          <cell r="J315">
            <v>23.55</v>
          </cell>
          <cell r="K315">
            <v>211.36</v>
          </cell>
          <cell r="L315">
            <v>815.77</v>
          </cell>
          <cell r="M315">
            <v>610.33000000000004</v>
          </cell>
          <cell r="N315">
            <v>836.2</v>
          </cell>
          <cell r="O315">
            <v>341.94</v>
          </cell>
          <cell r="Q315">
            <v>3947.48</v>
          </cell>
        </row>
        <row r="316">
          <cell r="A316" t="str">
            <v>F58230E</v>
          </cell>
          <cell r="B316" t="str">
            <v>STATION EXPENSES</v>
          </cell>
          <cell r="I316">
            <v>0</v>
          </cell>
          <cell r="N316">
            <v>0</v>
          </cell>
          <cell r="O316">
            <v>0</v>
          </cell>
          <cell r="Q316">
            <v>0</v>
          </cell>
        </row>
        <row r="317">
          <cell r="A317" t="str">
            <v>F58240E</v>
          </cell>
          <cell r="B317" t="str">
            <v>STATION EXPENSES</v>
          </cell>
          <cell r="D317">
            <v>84.81</v>
          </cell>
          <cell r="E317">
            <v>447.63</v>
          </cell>
          <cell r="I317">
            <v>0</v>
          </cell>
          <cell r="K317">
            <v>140.16</v>
          </cell>
          <cell r="N317">
            <v>0</v>
          </cell>
          <cell r="O317">
            <v>0</v>
          </cell>
          <cell r="Q317">
            <v>672.6</v>
          </cell>
        </row>
        <row r="318">
          <cell r="A318" t="str">
            <v>F58250E</v>
          </cell>
          <cell r="B318" t="str">
            <v>STATION EXPENSES</v>
          </cell>
          <cell r="D318">
            <v>1323.84</v>
          </cell>
          <cell r="E318">
            <v>1468.6</v>
          </cell>
          <cell r="F318">
            <v>922.86</v>
          </cell>
          <cell r="G318">
            <v>763.92</v>
          </cell>
          <cell r="H318">
            <v>1007.56</v>
          </cell>
          <cell r="I318">
            <v>695.75</v>
          </cell>
          <cell r="J318">
            <v>843.44</v>
          </cell>
          <cell r="K318">
            <v>781.83</v>
          </cell>
          <cell r="L318">
            <v>774.8</v>
          </cell>
          <cell r="M318">
            <v>987.57</v>
          </cell>
          <cell r="N318">
            <v>946.68</v>
          </cell>
          <cell r="O318">
            <v>706.81</v>
          </cell>
          <cell r="Q318">
            <v>11223.659999999998</v>
          </cell>
        </row>
        <row r="319">
          <cell r="A319" t="str">
            <v>F58270E</v>
          </cell>
          <cell r="B319" t="str">
            <v>STATION EXPENSES</v>
          </cell>
          <cell r="D319">
            <v>135049.04</v>
          </cell>
          <cell r="E319">
            <v>105406.12</v>
          </cell>
          <cell r="F319">
            <v>125063.05</v>
          </cell>
          <cell r="G319">
            <v>89302.62</v>
          </cell>
          <cell r="H319">
            <v>227770.27</v>
          </cell>
          <cell r="I319">
            <v>111820.19</v>
          </cell>
          <cell r="J319">
            <v>150499.49</v>
          </cell>
          <cell r="K319">
            <v>136256.75</v>
          </cell>
          <cell r="L319">
            <v>199961.17</v>
          </cell>
          <cell r="M319">
            <v>152086.39999999999</v>
          </cell>
          <cell r="N319">
            <v>223747.07</v>
          </cell>
          <cell r="O319">
            <v>306788.93</v>
          </cell>
          <cell r="Q319">
            <v>1963751.0999999999</v>
          </cell>
        </row>
        <row r="320">
          <cell r="A320" t="str">
            <v>F58300E</v>
          </cell>
          <cell r="B320" t="str">
            <v>OVERHEAD LINE EXPENSES</v>
          </cell>
          <cell r="D320">
            <v>106652.66</v>
          </cell>
          <cell r="E320">
            <v>84769.5</v>
          </cell>
          <cell r="F320">
            <v>120711.75</v>
          </cell>
          <cell r="G320">
            <v>86148.29</v>
          </cell>
          <cell r="H320">
            <v>134341.62</v>
          </cell>
          <cell r="I320">
            <v>116580.93</v>
          </cell>
          <cell r="J320">
            <v>82367.38</v>
          </cell>
          <cell r="K320">
            <v>80341.509999999995</v>
          </cell>
          <cell r="L320">
            <v>81801.259999999995</v>
          </cell>
          <cell r="M320">
            <v>130130.78</v>
          </cell>
          <cell r="N320">
            <v>88290.76</v>
          </cell>
          <cell r="O320">
            <v>122710.65</v>
          </cell>
          <cell r="Q320">
            <v>1234847.0899999999</v>
          </cell>
        </row>
        <row r="321">
          <cell r="A321" t="str">
            <v>F58301E</v>
          </cell>
          <cell r="B321" t="str">
            <v>OVERHEAD LINE EXPENSES</v>
          </cell>
          <cell r="D321">
            <v>-7.18</v>
          </cell>
          <cell r="E321">
            <v>-1.6</v>
          </cell>
          <cell r="F321">
            <v>-4.63</v>
          </cell>
          <cell r="G321">
            <v>-0.2</v>
          </cell>
          <cell r="H321">
            <v>-5.4</v>
          </cell>
          <cell r="I321">
            <v>-2.61</v>
          </cell>
          <cell r="J321">
            <v>1.08</v>
          </cell>
          <cell r="K321">
            <v>-7.16</v>
          </cell>
          <cell r="L321">
            <v>-4.53</v>
          </cell>
          <cell r="M321">
            <v>0.01</v>
          </cell>
          <cell r="N321">
            <v>-4.74</v>
          </cell>
          <cell r="O321">
            <v>-3.36</v>
          </cell>
          <cell r="Q321">
            <v>-40.32</v>
          </cell>
        </row>
        <row r="322">
          <cell r="A322" t="str">
            <v>F58310E</v>
          </cell>
          <cell r="B322" t="str">
            <v>OVERHEAD LINE EXPENSES</v>
          </cell>
          <cell r="D322">
            <v>70059.39</v>
          </cell>
          <cell r="E322">
            <v>54071.839999999997</v>
          </cell>
          <cell r="F322">
            <v>53032.87</v>
          </cell>
          <cell r="G322">
            <v>107418.03</v>
          </cell>
          <cell r="H322">
            <v>102722.29</v>
          </cell>
          <cell r="I322">
            <v>76689.960000000006</v>
          </cell>
          <cell r="J322">
            <v>65652.25</v>
          </cell>
          <cell r="K322">
            <v>54902.3</v>
          </cell>
          <cell r="L322">
            <v>100760.36</v>
          </cell>
          <cell r="M322">
            <v>76644.17</v>
          </cell>
          <cell r="N322">
            <v>93313.919999999998</v>
          </cell>
          <cell r="O322">
            <v>65384.480000000003</v>
          </cell>
          <cell r="Q322">
            <v>920651.8600000001</v>
          </cell>
        </row>
        <row r="323">
          <cell r="A323" t="str">
            <v>F58330E</v>
          </cell>
          <cell r="B323" t="str">
            <v>OVERHEAD LINE EXPENSES</v>
          </cell>
          <cell r="D323">
            <v>-29459.71</v>
          </cell>
          <cell r="E323">
            <v>-49399.65</v>
          </cell>
          <cell r="F323">
            <v>-40005.730000000003</v>
          </cell>
          <cell r="G323">
            <v>-52798.09</v>
          </cell>
          <cell r="H323">
            <v>-28497.4</v>
          </cell>
          <cell r="I323">
            <v>-61077.32</v>
          </cell>
          <cell r="J323">
            <v>-54381.95</v>
          </cell>
          <cell r="K323">
            <v>-36962.449999999997</v>
          </cell>
          <cell r="L323">
            <v>-42732.38</v>
          </cell>
          <cell r="M323">
            <v>-37168.54</v>
          </cell>
          <cell r="N323">
            <v>-73318.42</v>
          </cell>
          <cell r="O323">
            <v>-45152.52</v>
          </cell>
          <cell r="Q323">
            <v>-550954.15999999992</v>
          </cell>
        </row>
        <row r="324">
          <cell r="A324" t="str">
            <v>F58340E</v>
          </cell>
          <cell r="B324" t="str">
            <v>OVERHEAD LINE EXPENSES</v>
          </cell>
          <cell r="I324">
            <v>0</v>
          </cell>
          <cell r="N324">
            <v>0</v>
          </cell>
          <cell r="O324">
            <v>0</v>
          </cell>
          <cell r="Q324">
            <v>0</v>
          </cell>
        </row>
        <row r="325">
          <cell r="A325" t="str">
            <v>F58350E</v>
          </cell>
          <cell r="B325" t="str">
            <v>OVERHEAD LINE EXPENSES</v>
          </cell>
          <cell r="D325">
            <v>1497.43</v>
          </cell>
          <cell r="F325">
            <v>376.65</v>
          </cell>
          <cell r="I325">
            <v>0</v>
          </cell>
          <cell r="J325">
            <v>76.22</v>
          </cell>
          <cell r="N325">
            <v>0</v>
          </cell>
          <cell r="O325">
            <v>0</v>
          </cell>
          <cell r="Q325">
            <v>1950.3</v>
          </cell>
        </row>
        <row r="326">
          <cell r="A326" t="str">
            <v>F58360E</v>
          </cell>
          <cell r="B326" t="str">
            <v>OVERHEAD LINE EXPENSES</v>
          </cell>
          <cell r="D326">
            <v>1383.36</v>
          </cell>
          <cell r="E326">
            <v>1549.32</v>
          </cell>
          <cell r="F326">
            <v>953.21</v>
          </cell>
          <cell r="G326">
            <v>868.8</v>
          </cell>
          <cell r="H326">
            <v>1047.3399999999999</v>
          </cell>
          <cell r="I326">
            <v>759.85</v>
          </cell>
          <cell r="J326">
            <v>1109.1600000000001</v>
          </cell>
          <cell r="K326">
            <v>849.23</v>
          </cell>
          <cell r="L326">
            <v>1044.1600000000001</v>
          </cell>
          <cell r="M326">
            <v>1071.57</v>
          </cell>
          <cell r="N326">
            <v>766.67</v>
          </cell>
          <cell r="O326">
            <v>771.51</v>
          </cell>
          <cell r="Q326">
            <v>12174.18</v>
          </cell>
        </row>
        <row r="327">
          <cell r="A327" t="str">
            <v>F58400E</v>
          </cell>
          <cell r="B327" t="str">
            <v>UNDERGROUND LINE EXPENSES</v>
          </cell>
          <cell r="D327">
            <v>226216.84</v>
          </cell>
          <cell r="E327">
            <v>129202.94</v>
          </cell>
          <cell r="F327">
            <v>153965.85</v>
          </cell>
          <cell r="G327">
            <v>148632.46</v>
          </cell>
          <cell r="H327">
            <v>231491.75</v>
          </cell>
          <cell r="I327">
            <v>185251.94</v>
          </cell>
          <cell r="J327">
            <v>227802.34</v>
          </cell>
          <cell r="K327">
            <v>198145.49</v>
          </cell>
          <cell r="L327">
            <v>220205.99</v>
          </cell>
          <cell r="M327">
            <v>248810.51</v>
          </cell>
          <cell r="N327">
            <v>245130.06</v>
          </cell>
          <cell r="O327">
            <v>224312.69</v>
          </cell>
          <cell r="Q327">
            <v>2439168.86</v>
          </cell>
        </row>
        <row r="328">
          <cell r="A328" t="str">
            <v>F58401E</v>
          </cell>
          <cell r="B328" t="str">
            <v>UNDERGROUND LINE EXPENSES</v>
          </cell>
          <cell r="D328">
            <v>751.43</v>
          </cell>
          <cell r="E328">
            <v>-583.49</v>
          </cell>
          <cell r="F328">
            <v>302.37</v>
          </cell>
          <cell r="G328">
            <v>325.27</v>
          </cell>
          <cell r="H328">
            <v>496.31</v>
          </cell>
          <cell r="I328">
            <v>-323.79000000000002</v>
          </cell>
          <cell r="J328">
            <v>113.71</v>
          </cell>
          <cell r="K328">
            <v>149.06</v>
          </cell>
          <cell r="L328">
            <v>331.34</v>
          </cell>
          <cell r="M328">
            <v>-321.63</v>
          </cell>
          <cell r="N328">
            <v>-1172.19</v>
          </cell>
          <cell r="O328">
            <v>38.229999999999997</v>
          </cell>
          <cell r="Q328">
            <v>106.61999999999986</v>
          </cell>
        </row>
        <row r="329">
          <cell r="A329" t="str">
            <v>F58410E</v>
          </cell>
          <cell r="B329" t="str">
            <v>UNDERGROUND LINE EXPENSES</v>
          </cell>
          <cell r="D329">
            <v>41286.04</v>
          </cell>
          <cell r="E329">
            <v>28315.33</v>
          </cell>
          <cell r="F329">
            <v>20761.11</v>
          </cell>
          <cell r="G329">
            <v>54761.46</v>
          </cell>
          <cell r="H329">
            <v>55064.62</v>
          </cell>
          <cell r="I329">
            <v>42459.58</v>
          </cell>
          <cell r="J329">
            <v>28636.33</v>
          </cell>
          <cell r="K329">
            <v>26199.08</v>
          </cell>
          <cell r="L329">
            <v>65858.31</v>
          </cell>
          <cell r="M329">
            <v>44863.08</v>
          </cell>
          <cell r="N329">
            <v>41972.9</v>
          </cell>
          <cell r="O329">
            <v>38329.5</v>
          </cell>
          <cell r="Q329">
            <v>488507.34000000008</v>
          </cell>
        </row>
        <row r="330">
          <cell r="A330" t="str">
            <v>F58420E</v>
          </cell>
          <cell r="B330" t="str">
            <v>UNDERGROUND LINE EXPENSES</v>
          </cell>
          <cell r="D330">
            <v>-136978.65</v>
          </cell>
          <cell r="E330">
            <v>-110729.17</v>
          </cell>
          <cell r="F330">
            <v>-68072.539999999994</v>
          </cell>
          <cell r="G330">
            <v>-62060.1</v>
          </cell>
          <cell r="H330">
            <v>-78802.7</v>
          </cell>
          <cell r="I330">
            <v>-146153.62</v>
          </cell>
          <cell r="J330">
            <v>-113374.06</v>
          </cell>
          <cell r="K330">
            <v>-127698.48</v>
          </cell>
          <cell r="L330">
            <v>-121110.97</v>
          </cell>
          <cell r="M330">
            <v>-130714.87</v>
          </cell>
          <cell r="N330">
            <v>-153996.67000000001</v>
          </cell>
          <cell r="O330">
            <v>-128239.77</v>
          </cell>
          <cell r="Q330">
            <v>-1377931.6</v>
          </cell>
        </row>
        <row r="331">
          <cell r="A331" t="str">
            <v>F58430E</v>
          </cell>
          <cell r="B331" t="str">
            <v>UNDERGROUND LINE EXPENSES</v>
          </cell>
          <cell r="I331">
            <v>0</v>
          </cell>
          <cell r="N331">
            <v>0</v>
          </cell>
          <cell r="O331">
            <v>0</v>
          </cell>
          <cell r="Q331">
            <v>0</v>
          </cell>
        </row>
        <row r="332">
          <cell r="A332" t="str">
            <v>F58440E</v>
          </cell>
          <cell r="B332" t="str">
            <v>UNDERGROUND LINE EXPENSES</v>
          </cell>
          <cell r="I332">
            <v>3240.79</v>
          </cell>
          <cell r="L332">
            <v>83.6</v>
          </cell>
          <cell r="N332">
            <v>0</v>
          </cell>
          <cell r="O332">
            <v>6062.69</v>
          </cell>
          <cell r="Q332">
            <v>9387.08</v>
          </cell>
        </row>
        <row r="333">
          <cell r="A333" t="str">
            <v>F58450E</v>
          </cell>
          <cell r="B333" t="str">
            <v>UNDERGROUND LINE EXPENSES</v>
          </cell>
          <cell r="D333">
            <v>2081.16</v>
          </cell>
          <cell r="E333">
            <v>1951.55</v>
          </cell>
          <cell r="F333">
            <v>1720.63</v>
          </cell>
          <cell r="G333">
            <v>1530.73</v>
          </cell>
          <cell r="H333">
            <v>1487.84</v>
          </cell>
          <cell r="I333">
            <v>1352.09</v>
          </cell>
          <cell r="J333">
            <v>1680.47</v>
          </cell>
          <cell r="K333">
            <v>1669.05</v>
          </cell>
          <cell r="L333">
            <v>1457.24</v>
          </cell>
          <cell r="M333">
            <v>1646.1</v>
          </cell>
          <cell r="N333">
            <v>1246.19</v>
          </cell>
          <cell r="O333">
            <v>1285.8</v>
          </cell>
          <cell r="Q333">
            <v>19108.849999999995</v>
          </cell>
        </row>
        <row r="334">
          <cell r="A334" t="str">
            <v>F58460E</v>
          </cell>
          <cell r="B334" t="str">
            <v>UNDERGROUND LINE EXPENSES</v>
          </cell>
          <cell r="D334">
            <v>73914.78</v>
          </cell>
          <cell r="E334">
            <v>90087.62</v>
          </cell>
          <cell r="F334">
            <v>125000.61</v>
          </cell>
          <cell r="G334">
            <v>88362.29</v>
          </cell>
          <cell r="H334">
            <v>121879.52</v>
          </cell>
          <cell r="I334">
            <v>93530.22</v>
          </cell>
          <cell r="J334">
            <v>131692.5</v>
          </cell>
          <cell r="K334">
            <v>101324.18</v>
          </cell>
          <cell r="L334">
            <v>78658.66</v>
          </cell>
          <cell r="M334">
            <v>149433.60000000001</v>
          </cell>
          <cell r="N334">
            <v>99543.64</v>
          </cell>
          <cell r="O334">
            <v>103841.73</v>
          </cell>
          <cell r="Q334">
            <v>1257269.3499999999</v>
          </cell>
        </row>
        <row r="335">
          <cell r="A335" t="str">
            <v>F58500E</v>
          </cell>
          <cell r="B335" t="str">
            <v>STREET LIGHTING AND SIGNAL SYSTEM EXPENSES</v>
          </cell>
          <cell r="D335">
            <v>609.87</v>
          </cell>
          <cell r="E335">
            <v>1664.42</v>
          </cell>
          <cell r="F335">
            <v>1637.26</v>
          </cell>
          <cell r="G335">
            <v>1014.94</v>
          </cell>
          <cell r="H335">
            <v>1428.11</v>
          </cell>
          <cell r="I335">
            <v>1447.92</v>
          </cell>
          <cell r="J335">
            <v>1461.86</v>
          </cell>
          <cell r="K335">
            <v>710.85</v>
          </cell>
          <cell r="L335">
            <v>266.97000000000003</v>
          </cell>
          <cell r="M335">
            <v>11784.37</v>
          </cell>
          <cell r="N335">
            <v>6518.93</v>
          </cell>
          <cell r="O335">
            <v>4497.8599999999997</v>
          </cell>
          <cell r="Q335">
            <v>33043.360000000001</v>
          </cell>
        </row>
        <row r="336">
          <cell r="A336" t="str">
            <v>F58510E</v>
          </cell>
          <cell r="B336" t="str">
            <v>STREET LIGHTING AND SIGNAL SYSTEM EXPENSES</v>
          </cell>
          <cell r="D336">
            <v>40768.370000000003</v>
          </cell>
          <cell r="E336">
            <v>29308.240000000002</v>
          </cell>
          <cell r="F336">
            <v>40389.120000000003</v>
          </cell>
          <cell r="G336">
            <v>35835.620000000003</v>
          </cell>
          <cell r="H336">
            <v>26904.09</v>
          </cell>
          <cell r="I336">
            <v>22358.45</v>
          </cell>
          <cell r="J336">
            <v>50415.91</v>
          </cell>
          <cell r="K336">
            <v>35640.83</v>
          </cell>
          <cell r="L336">
            <v>22638.46</v>
          </cell>
          <cell r="M336">
            <v>44744.63</v>
          </cell>
          <cell r="N336">
            <v>19289.349999999999</v>
          </cell>
          <cell r="O336">
            <v>53444.09</v>
          </cell>
          <cell r="Q336">
            <v>421737.16000000003</v>
          </cell>
        </row>
        <row r="337">
          <cell r="A337" t="str">
            <v>F58540E</v>
          </cell>
          <cell r="B337" t="str">
            <v>STREET LIGHTING AND SIGNAL SYSTEM EXPENSES</v>
          </cell>
          <cell r="D337">
            <v>6761.15</v>
          </cell>
          <cell r="E337">
            <v>4704.74</v>
          </cell>
          <cell r="F337">
            <v>9013</v>
          </cell>
          <cell r="G337">
            <v>5001.09</v>
          </cell>
          <cell r="H337">
            <v>6514.83</v>
          </cell>
          <cell r="I337">
            <v>4571.4799999999996</v>
          </cell>
          <cell r="J337">
            <v>7650.73</v>
          </cell>
          <cell r="K337">
            <v>3438.83</v>
          </cell>
          <cell r="L337">
            <v>6102.6</v>
          </cell>
          <cell r="M337">
            <v>5977.75</v>
          </cell>
          <cell r="N337">
            <v>5718.67</v>
          </cell>
          <cell r="O337">
            <v>4465.49</v>
          </cell>
          <cell r="Q337">
            <v>69920.359999999986</v>
          </cell>
        </row>
        <row r="338">
          <cell r="A338" t="str">
            <v>F58560E</v>
          </cell>
          <cell r="B338" t="str">
            <v>STREET LIGHTING AND SIGNAL SYSTEM EXPENSES</v>
          </cell>
          <cell r="D338">
            <v>3815.74</v>
          </cell>
          <cell r="E338">
            <v>-1.68</v>
          </cell>
          <cell r="F338">
            <v>1136.24</v>
          </cell>
          <cell r="G338">
            <v>825.98</v>
          </cell>
          <cell r="H338">
            <v>-1679.66</v>
          </cell>
          <cell r="I338">
            <v>-3390.35</v>
          </cell>
          <cell r="J338">
            <v>-977.97</v>
          </cell>
          <cell r="K338">
            <v>-10983.5</v>
          </cell>
          <cell r="L338">
            <v>-1395.05</v>
          </cell>
          <cell r="M338">
            <v>2068.6799999999998</v>
          </cell>
          <cell r="N338">
            <v>7725.36</v>
          </cell>
          <cell r="O338">
            <v>4342.66</v>
          </cell>
          <cell r="Q338">
            <v>1486.4500000000016</v>
          </cell>
        </row>
        <row r="339">
          <cell r="A339" t="str">
            <v>F58600E</v>
          </cell>
          <cell r="B339" t="str">
            <v>METER EXPENSES</v>
          </cell>
          <cell r="D339">
            <v>101355.3</v>
          </cell>
          <cell r="E339">
            <v>100647.35</v>
          </cell>
          <cell r="F339">
            <v>104106.58</v>
          </cell>
          <cell r="G339">
            <v>129581.86</v>
          </cell>
          <cell r="H339">
            <v>170718.51</v>
          </cell>
          <cell r="I339">
            <v>85453.51</v>
          </cell>
          <cell r="J339">
            <v>105679.09</v>
          </cell>
          <cell r="K339">
            <v>87342.77</v>
          </cell>
          <cell r="L339">
            <v>158139.32</v>
          </cell>
          <cell r="M339">
            <v>232826.11</v>
          </cell>
          <cell r="N339">
            <v>90874.37</v>
          </cell>
          <cell r="O339">
            <v>141175.34</v>
          </cell>
          <cell r="Q339">
            <v>1507900.11</v>
          </cell>
        </row>
        <row r="340">
          <cell r="A340" t="str">
            <v>F58610E</v>
          </cell>
          <cell r="B340" t="str">
            <v>METER EXPENSES</v>
          </cell>
          <cell r="D340">
            <v>23046.31</v>
          </cell>
          <cell r="E340">
            <v>18052.580000000002</v>
          </cell>
          <cell r="F340">
            <v>34329.89</v>
          </cell>
          <cell r="G340">
            <v>28225.22</v>
          </cell>
          <cell r="H340">
            <v>43005.18</v>
          </cell>
          <cell r="I340">
            <v>33698.32</v>
          </cell>
          <cell r="J340">
            <v>28788.68</v>
          </cell>
          <cell r="K340">
            <v>40280.65</v>
          </cell>
          <cell r="L340">
            <v>22136.57</v>
          </cell>
          <cell r="M340">
            <v>30836.57</v>
          </cell>
          <cell r="N340">
            <v>36680.379999999997</v>
          </cell>
          <cell r="O340">
            <v>35401.75</v>
          </cell>
          <cell r="Q340">
            <v>374482.1</v>
          </cell>
        </row>
        <row r="341">
          <cell r="A341" t="str">
            <v>F58620E</v>
          </cell>
          <cell r="B341" t="str">
            <v>METER EXPENSES</v>
          </cell>
          <cell r="D341">
            <v>16462.23</v>
          </cell>
          <cell r="E341">
            <v>17310.25</v>
          </cell>
          <cell r="F341">
            <v>23010.98</v>
          </cell>
          <cell r="G341">
            <v>18770.810000000001</v>
          </cell>
          <cell r="H341">
            <v>25822.32</v>
          </cell>
          <cell r="I341">
            <v>16039.3</v>
          </cell>
          <cell r="J341">
            <v>15002.45</v>
          </cell>
          <cell r="K341">
            <v>11653.42</v>
          </cell>
          <cell r="L341">
            <v>11248.13</v>
          </cell>
          <cell r="M341">
            <v>17028.91</v>
          </cell>
          <cell r="N341">
            <v>15259.31</v>
          </cell>
          <cell r="O341">
            <v>28627.33</v>
          </cell>
          <cell r="Q341">
            <v>216235.44</v>
          </cell>
        </row>
        <row r="342">
          <cell r="A342" t="str">
            <v>F58630E</v>
          </cell>
          <cell r="B342" t="str">
            <v>METER EXPENSES</v>
          </cell>
          <cell r="H342">
            <v>122.3</v>
          </cell>
          <cell r="I342">
            <v>0</v>
          </cell>
          <cell r="N342">
            <v>0</v>
          </cell>
          <cell r="O342">
            <v>0</v>
          </cell>
          <cell r="Q342">
            <v>122.3</v>
          </cell>
        </row>
        <row r="343">
          <cell r="A343" t="str">
            <v>F58640E</v>
          </cell>
          <cell r="B343" t="str">
            <v>METER EXPENSES</v>
          </cell>
          <cell r="D343">
            <v>140010.68</v>
          </cell>
          <cell r="E343">
            <v>125191.19</v>
          </cell>
          <cell r="F343">
            <v>135626.60999999999</v>
          </cell>
          <cell r="G343">
            <v>135401.35999999999</v>
          </cell>
          <cell r="H343">
            <v>191597.31</v>
          </cell>
          <cell r="I343">
            <v>154446</v>
          </cell>
          <cell r="J343">
            <v>190528.44</v>
          </cell>
          <cell r="K343">
            <v>178642.75</v>
          </cell>
          <cell r="L343">
            <v>146988.34</v>
          </cell>
          <cell r="M343">
            <v>170382.53</v>
          </cell>
          <cell r="N343">
            <v>126895.92</v>
          </cell>
          <cell r="O343">
            <v>156178.26999999999</v>
          </cell>
          <cell r="Q343">
            <v>1851889.4</v>
          </cell>
        </row>
        <row r="344">
          <cell r="A344" t="str">
            <v>F58650E</v>
          </cell>
          <cell r="B344" t="str">
            <v>METER EXPENSES</v>
          </cell>
          <cell r="G344">
            <v>363.75</v>
          </cell>
          <cell r="H344">
            <v>75.09</v>
          </cell>
          <cell r="I344">
            <v>151.08000000000001</v>
          </cell>
          <cell r="J344">
            <v>106.58</v>
          </cell>
          <cell r="K344">
            <v>191.36</v>
          </cell>
          <cell r="L344">
            <v>76.89</v>
          </cell>
          <cell r="M344">
            <v>228.9</v>
          </cell>
          <cell r="N344">
            <v>78.31</v>
          </cell>
          <cell r="O344">
            <v>122.22</v>
          </cell>
          <cell r="Q344">
            <v>1394.18</v>
          </cell>
        </row>
        <row r="345">
          <cell r="A345" t="str">
            <v>F58700E</v>
          </cell>
          <cell r="B345" t="str">
            <v>CUSTOMER INSTALLATIONS EXPENSES</v>
          </cell>
          <cell r="D345">
            <v>68369.97</v>
          </cell>
          <cell r="E345">
            <v>85912.47</v>
          </cell>
          <cell r="F345">
            <v>81145.34</v>
          </cell>
          <cell r="G345">
            <v>67508.08</v>
          </cell>
          <cell r="H345">
            <v>79211.17</v>
          </cell>
          <cell r="I345">
            <v>52040.77</v>
          </cell>
          <cell r="J345">
            <v>72263.53</v>
          </cell>
          <cell r="K345">
            <v>60228.55</v>
          </cell>
          <cell r="L345">
            <v>71271.839999999997</v>
          </cell>
          <cell r="M345">
            <v>102588.59</v>
          </cell>
          <cell r="N345">
            <v>64599.82</v>
          </cell>
          <cell r="O345">
            <v>76393</v>
          </cell>
          <cell r="Q345">
            <v>881533.12999999989</v>
          </cell>
        </row>
        <row r="346">
          <cell r="A346" t="str">
            <v>F58710E</v>
          </cell>
          <cell r="B346" t="str">
            <v>CUSTOMER INSTALLATIONS EXPENSES</v>
          </cell>
          <cell r="D346">
            <v>1068.6300000000001</v>
          </cell>
          <cell r="E346">
            <v>1282.96</v>
          </cell>
          <cell r="F346">
            <v>2028.64</v>
          </cell>
          <cell r="G346">
            <v>1041.6600000000001</v>
          </cell>
          <cell r="H346">
            <v>2966.99</v>
          </cell>
          <cell r="I346">
            <v>732.85</v>
          </cell>
          <cell r="J346">
            <v>2202.6999999999998</v>
          </cell>
          <cell r="K346">
            <v>1554.61</v>
          </cell>
          <cell r="L346">
            <v>1093.56</v>
          </cell>
          <cell r="M346">
            <v>1729.68</v>
          </cell>
          <cell r="N346">
            <v>1723.42</v>
          </cell>
          <cell r="O346">
            <v>725.06</v>
          </cell>
          <cell r="Q346">
            <v>18150.760000000002</v>
          </cell>
        </row>
        <row r="347">
          <cell r="A347" t="str">
            <v>F58720E</v>
          </cell>
          <cell r="B347" t="str">
            <v>CUSTOMER INSTALLATIONS EXPENSES</v>
          </cell>
          <cell r="D347">
            <v>166298.47</v>
          </cell>
          <cell r="E347">
            <v>127230.41</v>
          </cell>
          <cell r="F347">
            <v>138929.79</v>
          </cell>
          <cell r="G347">
            <v>121138.81</v>
          </cell>
          <cell r="H347">
            <v>147962.92000000001</v>
          </cell>
          <cell r="I347">
            <v>125875.56</v>
          </cell>
          <cell r="J347">
            <v>146758.78</v>
          </cell>
          <cell r="K347">
            <v>137747.03</v>
          </cell>
          <cell r="L347">
            <v>141689.87</v>
          </cell>
          <cell r="M347">
            <v>145062.34</v>
          </cell>
          <cell r="N347">
            <v>139425.82</v>
          </cell>
          <cell r="O347">
            <v>157997.20000000001</v>
          </cell>
          <cell r="Q347">
            <v>1696117.0000000002</v>
          </cell>
        </row>
        <row r="348">
          <cell r="A348" t="str">
            <v>F58740E</v>
          </cell>
          <cell r="B348" t="str">
            <v>CUSTOMER INSTALLATIONS EXPENSES</v>
          </cell>
          <cell r="D348">
            <v>25736.03</v>
          </cell>
          <cell r="E348">
            <v>15044.42</v>
          </cell>
          <cell r="F348">
            <v>15010.96</v>
          </cell>
          <cell r="G348">
            <v>6957.56</v>
          </cell>
          <cell r="H348">
            <v>8018.2</v>
          </cell>
          <cell r="I348">
            <v>6946.64</v>
          </cell>
          <cell r="J348">
            <v>9501.2900000000009</v>
          </cell>
          <cell r="K348">
            <v>7423.93</v>
          </cell>
          <cell r="L348">
            <v>6024.83</v>
          </cell>
          <cell r="M348">
            <v>13557.69</v>
          </cell>
          <cell r="N348">
            <v>16504.21</v>
          </cell>
          <cell r="O348">
            <v>19228.900000000001</v>
          </cell>
          <cell r="Q348">
            <v>149954.66</v>
          </cell>
        </row>
        <row r="349">
          <cell r="A349" t="str">
            <v>F58800E</v>
          </cell>
          <cell r="B349" t="str">
            <v>MISCELLANEOUS EXPENSES</v>
          </cell>
          <cell r="D349">
            <v>116429.53</v>
          </cell>
          <cell r="E349">
            <v>210624.01</v>
          </cell>
          <cell r="F349">
            <v>181267.92</v>
          </cell>
          <cell r="G349">
            <v>151577.26999999999</v>
          </cell>
          <cell r="H349">
            <v>258063.64</v>
          </cell>
          <cell r="I349">
            <v>319957.58</v>
          </cell>
          <cell r="J349">
            <v>376106.06</v>
          </cell>
          <cell r="K349">
            <v>363697.93</v>
          </cell>
          <cell r="L349">
            <v>276902.3</v>
          </cell>
          <cell r="M349">
            <v>787943.37</v>
          </cell>
          <cell r="N349">
            <v>-32522.67</v>
          </cell>
          <cell r="O349">
            <v>153107.59</v>
          </cell>
          <cell r="Q349">
            <v>3163154.5300000003</v>
          </cell>
        </row>
        <row r="350">
          <cell r="A350" t="str">
            <v>F58801E</v>
          </cell>
          <cell r="B350" t="str">
            <v>MISCELLANEOUS EXPENSES-ADJ</v>
          </cell>
          <cell r="I350">
            <v>0</v>
          </cell>
          <cell r="N350">
            <v>0</v>
          </cell>
          <cell r="O350">
            <v>0</v>
          </cell>
          <cell r="Q350">
            <v>0</v>
          </cell>
        </row>
        <row r="351">
          <cell r="A351" t="str">
            <v>F58810E</v>
          </cell>
          <cell r="B351" t="str">
            <v>MISCELLANEOUS EXPENSES</v>
          </cell>
          <cell r="D351">
            <v>77547.78</v>
          </cell>
          <cell r="E351">
            <v>65291.93</v>
          </cell>
          <cell r="F351">
            <v>73147.78</v>
          </cell>
          <cell r="G351">
            <v>67145.61</v>
          </cell>
          <cell r="H351">
            <v>89221.79</v>
          </cell>
          <cell r="I351">
            <v>67050.820000000007</v>
          </cell>
          <cell r="J351">
            <v>84592.22</v>
          </cell>
          <cell r="K351">
            <v>67712.88</v>
          </cell>
          <cell r="L351">
            <v>78845.94</v>
          </cell>
          <cell r="M351">
            <v>92482.08</v>
          </cell>
          <cell r="N351">
            <v>68144.479999999996</v>
          </cell>
          <cell r="O351">
            <v>86682.34</v>
          </cell>
          <cell r="Q351">
            <v>917865.64999999991</v>
          </cell>
        </row>
        <row r="352">
          <cell r="A352" t="str">
            <v>F58840E</v>
          </cell>
          <cell r="B352" t="str">
            <v>MISCELLANEOUS EXPENSES</v>
          </cell>
          <cell r="D352">
            <v>55681.03</v>
          </cell>
          <cell r="E352">
            <v>58675.14</v>
          </cell>
          <cell r="F352">
            <v>37880.44</v>
          </cell>
          <cell r="G352">
            <v>33994.410000000003</v>
          </cell>
          <cell r="H352">
            <v>40240.22</v>
          </cell>
          <cell r="I352">
            <v>53796.49</v>
          </cell>
          <cell r="J352">
            <v>39901.449999999997</v>
          </cell>
          <cell r="K352">
            <v>20176.57</v>
          </cell>
          <cell r="L352">
            <v>39656.47</v>
          </cell>
          <cell r="M352">
            <v>50034.26</v>
          </cell>
          <cell r="N352">
            <v>70206.429999999993</v>
          </cell>
          <cell r="O352">
            <v>63393.88</v>
          </cell>
          <cell r="Q352">
            <v>563636.78999999992</v>
          </cell>
        </row>
        <row r="353">
          <cell r="A353" t="str">
            <v>F58900E</v>
          </cell>
          <cell r="B353" t="str">
            <v>RENTS</v>
          </cell>
          <cell r="D353">
            <v>-10313.82</v>
          </cell>
          <cell r="E353">
            <v>780.68</v>
          </cell>
          <cell r="F353">
            <v>780.68</v>
          </cell>
          <cell r="G353">
            <v>3339.18</v>
          </cell>
          <cell r="H353">
            <v>889.68</v>
          </cell>
          <cell r="I353">
            <v>671.68</v>
          </cell>
          <cell r="J353">
            <v>100</v>
          </cell>
          <cell r="L353">
            <v>2108.31</v>
          </cell>
          <cell r="M353">
            <v>292</v>
          </cell>
          <cell r="N353">
            <v>14351.79</v>
          </cell>
          <cell r="O353">
            <v>27510.54</v>
          </cell>
          <cell r="Q353">
            <v>40510.720000000001</v>
          </cell>
        </row>
        <row r="354">
          <cell r="A354" t="str">
            <v>F59000E</v>
          </cell>
          <cell r="B354" t="str">
            <v>MAINTENANCE SUPERVISION AND ENGINEERING</v>
          </cell>
          <cell r="D354">
            <v>23198.9</v>
          </cell>
          <cell r="E354">
            <v>23039.1</v>
          </cell>
          <cell r="F354">
            <v>24355.09</v>
          </cell>
          <cell r="G354">
            <v>21325.22</v>
          </cell>
          <cell r="H354">
            <v>29367.65</v>
          </cell>
          <cell r="I354">
            <v>22453.77</v>
          </cell>
          <cell r="J354">
            <v>27411.32</v>
          </cell>
          <cell r="K354">
            <v>24361.32</v>
          </cell>
          <cell r="L354">
            <v>23407.279999999999</v>
          </cell>
          <cell r="M354">
            <v>22195.66</v>
          </cell>
          <cell r="N354">
            <v>23047.8</v>
          </cell>
          <cell r="O354">
            <v>42244.57</v>
          </cell>
          <cell r="Q354">
            <v>306407.67999999999</v>
          </cell>
        </row>
        <row r="355">
          <cell r="A355" t="str">
            <v>F59010E</v>
          </cell>
          <cell r="B355" t="str">
            <v>MAINTENANCE SUPERVISION AND ENGINEERING</v>
          </cell>
          <cell r="D355">
            <v>35347.49</v>
          </cell>
          <cell r="E355">
            <v>35366.28</v>
          </cell>
          <cell r="F355">
            <v>70360.66</v>
          </cell>
          <cell r="G355">
            <v>88335.72</v>
          </cell>
          <cell r="H355">
            <v>82594.789999999994</v>
          </cell>
          <cell r="I355">
            <v>43650.66</v>
          </cell>
          <cell r="J355">
            <v>57226.5</v>
          </cell>
          <cell r="K355">
            <v>8245.85</v>
          </cell>
          <cell r="L355">
            <v>4341.53</v>
          </cell>
          <cell r="M355">
            <v>4680.57</v>
          </cell>
          <cell r="N355">
            <v>4953.5200000000004</v>
          </cell>
          <cell r="O355">
            <v>3394.86</v>
          </cell>
          <cell r="Q355">
            <v>438498.43</v>
          </cell>
        </row>
        <row r="356">
          <cell r="A356" t="str">
            <v>F59020E</v>
          </cell>
          <cell r="B356" t="str">
            <v>MAINTENANCE SUPERVISION AND ENGINEERING</v>
          </cell>
          <cell r="D356">
            <v>40.799999999999997</v>
          </cell>
          <cell r="I356">
            <v>0</v>
          </cell>
          <cell r="N356">
            <v>0</v>
          </cell>
          <cell r="O356">
            <v>0</v>
          </cell>
          <cell r="Q356">
            <v>40.799999999999997</v>
          </cell>
        </row>
        <row r="357">
          <cell r="A357" t="str">
            <v>F59100E</v>
          </cell>
          <cell r="B357" t="str">
            <v>MAINTENANCE OF STRUCTURES</v>
          </cell>
          <cell r="D357">
            <v>3966.27</v>
          </cell>
          <cell r="E357">
            <v>3256.7</v>
          </cell>
          <cell r="F357">
            <v>2818.62</v>
          </cell>
          <cell r="G357">
            <v>12310.05</v>
          </cell>
          <cell r="H357">
            <v>3413.35</v>
          </cell>
          <cell r="I357">
            <v>2493</v>
          </cell>
          <cell r="J357">
            <v>5572.92</v>
          </cell>
          <cell r="K357">
            <v>66368.100000000006</v>
          </cell>
          <cell r="L357">
            <v>22022.59</v>
          </cell>
          <cell r="M357">
            <v>-8789.48</v>
          </cell>
          <cell r="N357">
            <v>4949.1000000000004</v>
          </cell>
          <cell r="O357">
            <v>9825.51</v>
          </cell>
          <cell r="Q357">
            <v>128206.73000000001</v>
          </cell>
        </row>
        <row r="358">
          <cell r="A358" t="str">
            <v>F59200E</v>
          </cell>
          <cell r="B358" t="str">
            <v>MAINTENANCE OF STATION EQUIPMENT</v>
          </cell>
          <cell r="D358">
            <v>85479.78</v>
          </cell>
          <cell r="E358">
            <v>108191.03999999999</v>
          </cell>
          <cell r="F358">
            <v>190885.51</v>
          </cell>
          <cell r="G358">
            <v>78215.78</v>
          </cell>
          <cell r="H358">
            <v>201157.19</v>
          </cell>
          <cell r="I358">
            <v>-119901.63</v>
          </cell>
          <cell r="J358">
            <v>98326.18</v>
          </cell>
          <cell r="K358">
            <v>151668.41</v>
          </cell>
          <cell r="L358">
            <v>174457.82</v>
          </cell>
          <cell r="M358">
            <v>157585.26</v>
          </cell>
          <cell r="N358">
            <v>97243.77</v>
          </cell>
          <cell r="O358">
            <v>15889.17</v>
          </cell>
          <cell r="Q358">
            <v>1239198.28</v>
          </cell>
        </row>
        <row r="359">
          <cell r="A359" t="str">
            <v>F59210E</v>
          </cell>
          <cell r="B359" t="str">
            <v>MAINTENANCE OF STATION EQUIPMENT</v>
          </cell>
          <cell r="D359">
            <v>142846.42000000001</v>
          </cell>
          <cell r="E359">
            <v>129966.62</v>
          </cell>
          <cell r="F359">
            <v>113733.68</v>
          </cell>
          <cell r="G359">
            <v>108128.44</v>
          </cell>
          <cell r="H359">
            <v>194094.76</v>
          </cell>
          <cell r="I359">
            <v>137227.49</v>
          </cell>
          <cell r="J359">
            <v>132821.85999999999</v>
          </cell>
          <cell r="K359">
            <v>114195.47</v>
          </cell>
          <cell r="L359">
            <v>146297.34</v>
          </cell>
          <cell r="M359">
            <v>158615.92000000001</v>
          </cell>
          <cell r="N359">
            <v>129531.55</v>
          </cell>
          <cell r="O359">
            <v>95488.47</v>
          </cell>
          <cell r="Q359">
            <v>1602948.02</v>
          </cell>
        </row>
        <row r="360">
          <cell r="A360" t="str">
            <v>F59220E</v>
          </cell>
          <cell r="B360" t="str">
            <v>MAINTENANCE OF STATION EQUIPMENT</v>
          </cell>
          <cell r="D360">
            <v>7317.23</v>
          </cell>
          <cell r="E360">
            <v>3340.26</v>
          </cell>
          <cell r="F360">
            <v>2712.97</v>
          </cell>
          <cell r="G360">
            <v>3704.62</v>
          </cell>
          <cell r="H360">
            <v>5281.48</v>
          </cell>
          <cell r="I360">
            <v>2910.28</v>
          </cell>
          <cell r="J360">
            <v>4081.79</v>
          </cell>
          <cell r="K360">
            <v>8094.73</v>
          </cell>
          <cell r="L360">
            <v>8710.0499999999993</v>
          </cell>
          <cell r="M360">
            <v>7190.82</v>
          </cell>
          <cell r="N360">
            <v>4064.39</v>
          </cell>
          <cell r="O360">
            <v>2921.76</v>
          </cell>
          <cell r="Q360">
            <v>60330.380000000005</v>
          </cell>
        </row>
        <row r="361">
          <cell r="A361" t="str">
            <v>F59290E</v>
          </cell>
          <cell r="B361" t="str">
            <v>MAINTENANCE OF STATION EQUIPMENT</v>
          </cell>
          <cell r="I361">
            <v>0</v>
          </cell>
          <cell r="N361">
            <v>0</v>
          </cell>
          <cell r="O361">
            <v>0</v>
          </cell>
          <cell r="Q361">
            <v>0</v>
          </cell>
        </row>
        <row r="362">
          <cell r="A362" t="str">
            <v>F59300E</v>
          </cell>
          <cell r="B362" t="str">
            <v>MAINTENANCE OF OVERHEAD LINES</v>
          </cell>
          <cell r="D362">
            <v>322938.5</v>
          </cell>
          <cell r="E362">
            <v>195416.69</v>
          </cell>
          <cell r="F362">
            <v>706353.88</v>
          </cell>
          <cell r="G362">
            <v>115040.26</v>
          </cell>
          <cell r="H362">
            <v>219706.86</v>
          </cell>
          <cell r="I362">
            <v>709147.16</v>
          </cell>
          <cell r="J362">
            <v>-21697.439999999999</v>
          </cell>
          <cell r="K362">
            <v>-75363.289999999994</v>
          </cell>
          <cell r="L362">
            <v>266881.81</v>
          </cell>
          <cell r="M362">
            <v>-448295.3</v>
          </cell>
          <cell r="N362">
            <v>565711.79</v>
          </cell>
          <cell r="O362">
            <v>483886.14</v>
          </cell>
          <cell r="Q362">
            <v>3039727.06</v>
          </cell>
        </row>
        <row r="363">
          <cell r="A363" t="str">
            <v>F59310E</v>
          </cell>
          <cell r="B363" t="str">
            <v>MAINTENANCE OF OVERHEAD LINES</v>
          </cell>
          <cell r="D363">
            <v>73209.38</v>
          </cell>
          <cell r="E363">
            <v>62103.46</v>
          </cell>
          <cell r="F363">
            <v>55638.19</v>
          </cell>
          <cell r="G363">
            <v>45787.43</v>
          </cell>
          <cell r="H363">
            <v>55049.77</v>
          </cell>
          <cell r="I363">
            <v>53996.44</v>
          </cell>
          <cell r="J363">
            <v>55432.84</v>
          </cell>
          <cell r="K363">
            <v>101410.48</v>
          </cell>
          <cell r="L363">
            <v>52450.87</v>
          </cell>
          <cell r="M363">
            <v>84725.88</v>
          </cell>
          <cell r="N363">
            <v>111711.42</v>
          </cell>
          <cell r="O363">
            <v>97951.31</v>
          </cell>
          <cell r="Q363">
            <v>849467.47</v>
          </cell>
        </row>
        <row r="364">
          <cell r="A364" t="str">
            <v>F59320E</v>
          </cell>
          <cell r="B364" t="str">
            <v>MAINTENANCE OF OVERHEAD LINES</v>
          </cell>
          <cell r="D364">
            <v>-535764.47999999998</v>
          </cell>
          <cell r="E364">
            <v>1656465.43</v>
          </cell>
          <cell r="F364">
            <v>1300181.72</v>
          </cell>
          <cell r="G364">
            <v>1402465.76</v>
          </cell>
          <cell r="H364">
            <v>1453414.58</v>
          </cell>
          <cell r="I364">
            <v>851889.87</v>
          </cell>
          <cell r="J364">
            <v>1142851.55</v>
          </cell>
          <cell r="K364">
            <v>1357771.42</v>
          </cell>
          <cell r="L364">
            <v>386081.26</v>
          </cell>
          <cell r="M364">
            <v>1833776.88</v>
          </cell>
          <cell r="N364">
            <v>1819336.28</v>
          </cell>
          <cell r="O364">
            <v>3012270.51</v>
          </cell>
          <cell r="Q364">
            <v>15680740.779999997</v>
          </cell>
        </row>
        <row r="365">
          <cell r="A365" t="str">
            <v>F59340E</v>
          </cell>
          <cell r="B365" t="str">
            <v>MAINTENANCE OF OVERHEAD LINES</v>
          </cell>
          <cell r="H365">
            <v>171.77</v>
          </cell>
          <cell r="I365">
            <v>119.66</v>
          </cell>
          <cell r="J365">
            <v>119.6</v>
          </cell>
          <cell r="L365">
            <v>145.80000000000001</v>
          </cell>
          <cell r="N365">
            <v>0</v>
          </cell>
          <cell r="O365">
            <v>97.29</v>
          </cell>
          <cell r="Q365">
            <v>654.11999999999989</v>
          </cell>
        </row>
        <row r="366">
          <cell r="A366" t="str">
            <v>F59350E</v>
          </cell>
          <cell r="B366" t="str">
            <v>MAINTENANCE OF OVERHEAD LINES</v>
          </cell>
          <cell r="D366">
            <v>4888.82</v>
          </cell>
          <cell r="E366">
            <v>3690.35</v>
          </cell>
          <cell r="F366">
            <v>-209.7</v>
          </cell>
          <cell r="G366">
            <v>2730.61</v>
          </cell>
          <cell r="H366">
            <v>5161</v>
          </cell>
          <cell r="I366">
            <v>5397.27</v>
          </cell>
          <cell r="J366">
            <v>1082.52</v>
          </cell>
          <cell r="K366">
            <v>6027.44</v>
          </cell>
          <cell r="L366">
            <v>3891.55</v>
          </cell>
          <cell r="M366">
            <v>5546.6</v>
          </cell>
          <cell r="N366">
            <v>1804.83</v>
          </cell>
          <cell r="O366">
            <v>4538.9799999999996</v>
          </cell>
          <cell r="Q366">
            <v>44550.270000000004</v>
          </cell>
        </row>
        <row r="367">
          <cell r="A367" t="str">
            <v>F59370E</v>
          </cell>
          <cell r="B367" t="str">
            <v>MAINTENANCE OF OVERHEAD LINES</v>
          </cell>
          <cell r="D367">
            <v>-309.91000000000003</v>
          </cell>
          <cell r="E367">
            <v>-6.01</v>
          </cell>
          <cell r="G367">
            <v>-106.61</v>
          </cell>
          <cell r="H367">
            <v>-386.77</v>
          </cell>
          <cell r="I367">
            <v>-2.87</v>
          </cell>
          <cell r="J367">
            <v>-2656.45</v>
          </cell>
          <cell r="K367">
            <v>-1393.54</v>
          </cell>
          <cell r="M367">
            <v>-670.37</v>
          </cell>
          <cell r="N367">
            <v>0</v>
          </cell>
          <cell r="O367">
            <v>-50</v>
          </cell>
          <cell r="Q367">
            <v>-5582.53</v>
          </cell>
        </row>
        <row r="368">
          <cell r="A368" t="str">
            <v>F59390E</v>
          </cell>
          <cell r="B368" t="str">
            <v>MAINTENANCE OF OVERHEAD LINES</v>
          </cell>
          <cell r="D368">
            <v>172742.51</v>
          </cell>
          <cell r="E368">
            <v>104515.5</v>
          </cell>
          <cell r="F368">
            <v>56441.18</v>
          </cell>
          <cell r="G368">
            <v>129638.98</v>
          </cell>
          <cell r="H368">
            <v>177599.65</v>
          </cell>
          <cell r="I368">
            <v>171045.46</v>
          </cell>
          <cell r="J368">
            <v>147384.76</v>
          </cell>
          <cell r="K368">
            <v>141062.78</v>
          </cell>
          <cell r="L368">
            <v>140739.35999999999</v>
          </cell>
          <cell r="M368">
            <v>168083.31</v>
          </cell>
          <cell r="N368">
            <v>175212.76</v>
          </cell>
          <cell r="O368">
            <v>179043.97</v>
          </cell>
          <cell r="Q368">
            <v>1763510.2199999997</v>
          </cell>
        </row>
        <row r="369">
          <cell r="A369" t="str">
            <v>F59400E</v>
          </cell>
          <cell r="B369" t="str">
            <v>MAINTENANCE OF UNDERGROUND LINES</v>
          </cell>
          <cell r="D369">
            <v>192860.69</v>
          </cell>
          <cell r="E369">
            <v>12351.66</v>
          </cell>
          <cell r="F369">
            <v>373054.1</v>
          </cell>
          <cell r="G369">
            <v>-916301.66</v>
          </cell>
          <cell r="H369">
            <v>1174551.78</v>
          </cell>
          <cell r="I369">
            <v>315605.2</v>
          </cell>
          <cell r="J369">
            <v>334690.34000000003</v>
          </cell>
          <cell r="K369">
            <v>102160.86</v>
          </cell>
          <cell r="L369">
            <v>248227.25</v>
          </cell>
          <cell r="M369">
            <v>424701.1</v>
          </cell>
          <cell r="N369">
            <v>311043.15999999997</v>
          </cell>
          <cell r="O369">
            <v>221938.3</v>
          </cell>
          <cell r="Q369">
            <v>2794882.7800000003</v>
          </cell>
        </row>
        <row r="370">
          <cell r="A370" t="str">
            <v>F59410E</v>
          </cell>
          <cell r="B370" t="str">
            <v>MAINTENANCE OF UNDERGROUND LINES</v>
          </cell>
          <cell r="D370">
            <v>107750.66</v>
          </cell>
          <cell r="E370">
            <v>-7183.55</v>
          </cell>
          <cell r="F370">
            <v>63641.98</v>
          </cell>
          <cell r="G370">
            <v>51507.42</v>
          </cell>
          <cell r="H370">
            <v>49235.92</v>
          </cell>
          <cell r="I370">
            <v>51885.73</v>
          </cell>
          <cell r="J370">
            <v>62449.72</v>
          </cell>
          <cell r="K370">
            <v>69240.070000000007</v>
          </cell>
          <cell r="L370">
            <v>48769.36</v>
          </cell>
          <cell r="M370">
            <v>80578.350000000006</v>
          </cell>
          <cell r="N370">
            <v>47887.67</v>
          </cell>
          <cell r="O370">
            <v>51809.43</v>
          </cell>
          <cell r="Q370">
            <v>677572.76000000013</v>
          </cell>
        </row>
        <row r="371">
          <cell r="A371" t="str">
            <v>F59420E</v>
          </cell>
          <cell r="B371" t="str">
            <v>MAINTENANCE OF UNDERGROUND LINES</v>
          </cell>
          <cell r="F371">
            <v>139.46</v>
          </cell>
          <cell r="I371">
            <v>0</v>
          </cell>
          <cell r="K371">
            <v>100.8</v>
          </cell>
          <cell r="M371">
            <v>930.89</v>
          </cell>
          <cell r="N371">
            <v>127.5</v>
          </cell>
          <cell r="O371">
            <v>0</v>
          </cell>
          <cell r="Q371">
            <v>1298.6500000000001</v>
          </cell>
        </row>
        <row r="372">
          <cell r="A372" t="str">
            <v>F59430E</v>
          </cell>
          <cell r="B372" t="str">
            <v>MAINTENANCE OF UNDERGROUND LINES</v>
          </cell>
          <cell r="I372">
            <v>0</v>
          </cell>
          <cell r="N372">
            <v>0</v>
          </cell>
          <cell r="O372">
            <v>0</v>
          </cell>
          <cell r="Q372">
            <v>0</v>
          </cell>
        </row>
        <row r="373">
          <cell r="A373" t="str">
            <v>F59450E</v>
          </cell>
          <cell r="B373" t="str">
            <v>MAINTENANCE OF UNDERGROUND LINES</v>
          </cell>
          <cell r="D373">
            <v>3009.26</v>
          </cell>
          <cell r="E373">
            <v>1502.71</v>
          </cell>
          <cell r="F373">
            <v>3209.29</v>
          </cell>
          <cell r="G373">
            <v>3417.62</v>
          </cell>
          <cell r="H373">
            <v>887.99</v>
          </cell>
          <cell r="I373">
            <v>-1813.85</v>
          </cell>
          <cell r="J373">
            <v>372.36</v>
          </cell>
          <cell r="K373">
            <v>653.34</v>
          </cell>
          <cell r="L373">
            <v>637.20000000000005</v>
          </cell>
          <cell r="M373">
            <v>2036.77</v>
          </cell>
          <cell r="N373">
            <v>490.51</v>
          </cell>
          <cell r="O373">
            <v>1608.28</v>
          </cell>
          <cell r="Q373">
            <v>16011.480000000003</v>
          </cell>
        </row>
        <row r="374">
          <cell r="A374" t="str">
            <v>F59460E</v>
          </cell>
          <cell r="B374" t="str">
            <v>MAINTENANCE OF UNDERGROUND LINES</v>
          </cell>
          <cell r="D374">
            <v>166376.95999999999</v>
          </cell>
          <cell r="E374">
            <v>92660.76</v>
          </cell>
          <cell r="F374">
            <v>52789.15</v>
          </cell>
          <cell r="G374">
            <v>132087.51999999999</v>
          </cell>
          <cell r="H374">
            <v>223406.68</v>
          </cell>
          <cell r="I374">
            <v>179735.1</v>
          </cell>
          <cell r="J374">
            <v>223336.16</v>
          </cell>
          <cell r="K374">
            <v>169831.98</v>
          </cell>
          <cell r="L374">
            <v>197096.03</v>
          </cell>
          <cell r="M374">
            <v>253131.82</v>
          </cell>
          <cell r="N374">
            <v>166991.29999999999</v>
          </cell>
          <cell r="O374">
            <v>183821.32</v>
          </cell>
          <cell r="Q374">
            <v>2041264.7800000003</v>
          </cell>
        </row>
        <row r="375">
          <cell r="A375" t="str">
            <v>F59500E</v>
          </cell>
          <cell r="B375" t="str">
            <v>MAINTENANCE OF LINE TRANSFORMERS</v>
          </cell>
          <cell r="D375">
            <v>2216.6999999999998</v>
          </cell>
          <cell r="E375">
            <v>5415.31</v>
          </cell>
          <cell r="F375">
            <v>12123.3</v>
          </cell>
          <cell r="G375">
            <v>28424.76</v>
          </cell>
          <cell r="H375">
            <v>31611.43</v>
          </cell>
          <cell r="I375">
            <v>27016.61</v>
          </cell>
          <cell r="J375">
            <v>12201.69</v>
          </cell>
          <cell r="K375">
            <v>5294.03</v>
          </cell>
          <cell r="L375">
            <v>10412.56</v>
          </cell>
          <cell r="M375">
            <v>5987.38</v>
          </cell>
          <cell r="N375">
            <v>2767.12</v>
          </cell>
          <cell r="O375">
            <v>5171.29</v>
          </cell>
          <cell r="Q375">
            <v>148642.18000000002</v>
          </cell>
        </row>
        <row r="376">
          <cell r="A376" t="str">
            <v>F59510E</v>
          </cell>
          <cell r="B376" t="str">
            <v>MAINTENANCE OF LINE TRANSFORMERS</v>
          </cell>
          <cell r="D376">
            <v>10175.51</v>
          </cell>
          <cell r="E376">
            <v>7649.07</v>
          </cell>
          <cell r="F376">
            <v>13370.83</v>
          </cell>
          <cell r="G376">
            <v>6348.89</v>
          </cell>
          <cell r="H376">
            <v>7265.67</v>
          </cell>
          <cell r="I376">
            <v>13292.12</v>
          </cell>
          <cell r="J376">
            <v>9298.7000000000007</v>
          </cell>
          <cell r="K376">
            <v>9134.14</v>
          </cell>
          <cell r="L376">
            <v>9383.34</v>
          </cell>
          <cell r="M376">
            <v>7889.66</v>
          </cell>
          <cell r="N376">
            <v>13705.88</v>
          </cell>
          <cell r="O376">
            <v>4394.53</v>
          </cell>
          <cell r="Q376">
            <v>111908.34000000001</v>
          </cell>
        </row>
        <row r="377">
          <cell r="A377" t="str">
            <v>F59520E</v>
          </cell>
          <cell r="B377" t="str">
            <v>MAINTENANCE OF LINE TRANSFORMERS</v>
          </cell>
          <cell r="D377">
            <v>3358.23</v>
          </cell>
          <cell r="E377">
            <v>4597.28</v>
          </cell>
          <cell r="F377">
            <v>1393.46</v>
          </cell>
          <cell r="G377">
            <v>4550.4799999999996</v>
          </cell>
          <cell r="H377">
            <v>8440.1</v>
          </cell>
          <cell r="I377">
            <v>712.98</v>
          </cell>
          <cell r="J377">
            <v>2970.75</v>
          </cell>
          <cell r="K377">
            <v>2516.63</v>
          </cell>
          <cell r="L377">
            <v>3091.51</v>
          </cell>
          <cell r="M377">
            <v>5664.98</v>
          </cell>
          <cell r="N377">
            <v>4518.2</v>
          </cell>
          <cell r="O377">
            <v>598.13</v>
          </cell>
          <cell r="Q377">
            <v>42412.73</v>
          </cell>
        </row>
        <row r="378">
          <cell r="A378" t="str">
            <v>F59550E</v>
          </cell>
          <cell r="B378" t="str">
            <v>MAINTENANCE OF LINE TRANSFORMERS</v>
          </cell>
          <cell r="D378">
            <v>4760.79</v>
          </cell>
          <cell r="E378">
            <v>3826.82</v>
          </cell>
          <cell r="F378">
            <v>9841.77</v>
          </cell>
          <cell r="G378">
            <v>7737.78</v>
          </cell>
          <cell r="H378">
            <v>8004.9</v>
          </cell>
          <cell r="I378">
            <v>5509.58</v>
          </cell>
          <cell r="J378">
            <v>6435.92</v>
          </cell>
          <cell r="K378">
            <v>4108.8900000000003</v>
          </cell>
          <cell r="L378">
            <v>4031.91</v>
          </cell>
          <cell r="M378">
            <v>3979.79</v>
          </cell>
          <cell r="N378">
            <v>6136.07</v>
          </cell>
          <cell r="O378">
            <v>8826.56</v>
          </cell>
          <cell r="Q378">
            <v>73200.78</v>
          </cell>
        </row>
        <row r="379">
          <cell r="A379" t="str">
            <v>F59570E</v>
          </cell>
          <cell r="B379" t="str">
            <v>MAINTENANCE OF LINE TRANSFORMERS</v>
          </cell>
          <cell r="I379">
            <v>0</v>
          </cell>
          <cell r="N379">
            <v>0</v>
          </cell>
          <cell r="O379">
            <v>0</v>
          </cell>
          <cell r="Q379">
            <v>0</v>
          </cell>
        </row>
        <row r="380">
          <cell r="A380" t="str">
            <v>F59600E</v>
          </cell>
          <cell r="B380" t="str">
            <v>MAINTENANCE OF STREET LIGHTING AND SIGNAL SYSTEMS</v>
          </cell>
          <cell r="D380">
            <v>5732.17</v>
          </cell>
          <cell r="E380">
            <v>3598.73</v>
          </cell>
          <cell r="F380">
            <v>7311.1</v>
          </cell>
          <cell r="G380">
            <v>1884.78</v>
          </cell>
          <cell r="H380">
            <v>5126.3500000000004</v>
          </cell>
          <cell r="I380">
            <v>6041.03</v>
          </cell>
          <cell r="J380">
            <v>4413.01</v>
          </cell>
          <cell r="K380">
            <v>7384.63</v>
          </cell>
          <cell r="L380">
            <v>5724.66</v>
          </cell>
          <cell r="M380">
            <v>5683.29</v>
          </cell>
          <cell r="N380">
            <v>-333.73</v>
          </cell>
          <cell r="O380">
            <v>4368.3900000000003</v>
          </cell>
          <cell r="Q380">
            <v>56934.409999999989</v>
          </cell>
        </row>
        <row r="381">
          <cell r="A381" t="str">
            <v>F59700E</v>
          </cell>
          <cell r="B381" t="str">
            <v>MAINTENANCE OF METERS</v>
          </cell>
          <cell r="D381">
            <v>55179.4</v>
          </cell>
          <cell r="E381">
            <v>45046.44</v>
          </cell>
          <cell r="F381">
            <v>36434.28</v>
          </cell>
          <cell r="G381">
            <v>34582.26</v>
          </cell>
          <cell r="H381">
            <v>51484.41</v>
          </cell>
          <cell r="I381">
            <v>45692.38</v>
          </cell>
          <cell r="J381">
            <v>41641.9</v>
          </cell>
          <cell r="K381">
            <v>42322.14</v>
          </cell>
          <cell r="L381">
            <v>40562.82</v>
          </cell>
          <cell r="M381">
            <v>42340.56</v>
          </cell>
          <cell r="N381">
            <v>44163.37</v>
          </cell>
          <cell r="O381">
            <v>44750.98</v>
          </cell>
          <cell r="Q381">
            <v>524200.94</v>
          </cell>
        </row>
        <row r="382">
          <cell r="A382" t="str">
            <v>F59800E</v>
          </cell>
          <cell r="B382" t="str">
            <v>MAINTENANCE OF MISCELLANEOUS DISTRIBUTION PLANT</v>
          </cell>
          <cell r="D382">
            <v>55873.64</v>
          </cell>
          <cell r="E382">
            <v>36393.94</v>
          </cell>
          <cell r="F382">
            <v>44603.18</v>
          </cell>
          <cell r="G382">
            <v>46579.02</v>
          </cell>
          <cell r="H382">
            <v>49173.279999999999</v>
          </cell>
          <cell r="I382">
            <v>33066.879999999997</v>
          </cell>
          <cell r="J382">
            <v>52294.98</v>
          </cell>
          <cell r="K382">
            <v>35204.660000000003</v>
          </cell>
          <cell r="L382">
            <v>45754.98</v>
          </cell>
          <cell r="M382">
            <v>56084.67</v>
          </cell>
          <cell r="N382">
            <v>41793.82</v>
          </cell>
          <cell r="O382">
            <v>41376.81</v>
          </cell>
          <cell r="Q382">
            <v>538199.85999999987</v>
          </cell>
        </row>
        <row r="383">
          <cell r="A383" t="str">
            <v>F80300G</v>
          </cell>
          <cell r="B383" t="str">
            <v>NATURAL GAS TRANSMISSION LINE PURCHASES</v>
          </cell>
          <cell r="D383">
            <v>117274061.02</v>
          </cell>
          <cell r="E383">
            <v>61664005.719999999</v>
          </cell>
          <cell r="F383">
            <v>68803877.5</v>
          </cell>
          <cell r="G383">
            <v>50621789.719999999</v>
          </cell>
          <cell r="H383">
            <v>41940597.539999999</v>
          </cell>
          <cell r="I383">
            <v>51647962.630000003</v>
          </cell>
          <cell r="J383">
            <v>4627005.42</v>
          </cell>
          <cell r="K383">
            <v>3897386.99</v>
          </cell>
          <cell r="L383">
            <v>6381090.2000000002</v>
          </cell>
          <cell r="M383">
            <v>8628290.1500000004</v>
          </cell>
          <cell r="N383">
            <v>21708386.57</v>
          </cell>
          <cell r="O383">
            <v>24415673.93</v>
          </cell>
          <cell r="Q383">
            <v>461610127.39000005</v>
          </cell>
        </row>
        <row r="384">
          <cell r="A384" t="str">
            <v>F80410G</v>
          </cell>
          <cell r="B384" t="str">
            <v>LNG PURCHASES</v>
          </cell>
          <cell r="D384">
            <v>15407.52</v>
          </cell>
          <cell r="E384">
            <v>14137.23</v>
          </cell>
          <cell r="F384">
            <v>8389.23</v>
          </cell>
          <cell r="G384">
            <v>321.95999999999998</v>
          </cell>
          <cell r="H384">
            <v>2900.97</v>
          </cell>
          <cell r="I384">
            <v>2726.84</v>
          </cell>
          <cell r="J384">
            <v>2972.94</v>
          </cell>
          <cell r="K384">
            <v>-98.61</v>
          </cell>
          <cell r="L384">
            <v>2856.72</v>
          </cell>
          <cell r="M384">
            <v>4617.01</v>
          </cell>
          <cell r="N384">
            <v>4328.97</v>
          </cell>
          <cell r="O384">
            <v>17106.939999999999</v>
          </cell>
          <cell r="Q384">
            <v>75667.72</v>
          </cell>
        </row>
        <row r="385">
          <cell r="A385" t="str">
            <v>F80720G</v>
          </cell>
          <cell r="B385" t="str">
            <v>OPERATION OF PURCH GAS MEASURING STATIONS</v>
          </cell>
          <cell r="I385">
            <v>0</v>
          </cell>
          <cell r="L385">
            <v>241.2</v>
          </cell>
          <cell r="N385">
            <v>0</v>
          </cell>
          <cell r="O385">
            <v>20</v>
          </cell>
          <cell r="Q385">
            <v>261.2</v>
          </cell>
        </row>
        <row r="386">
          <cell r="A386" t="str">
            <v>F80740G</v>
          </cell>
          <cell r="B386" t="str">
            <v>PURCHASED GAS CALCULATIONS EXPENSE</v>
          </cell>
          <cell r="D386">
            <v>2194.7399999999998</v>
          </cell>
          <cell r="E386">
            <v>1986.07</v>
          </cell>
          <cell r="F386">
            <v>2377.79</v>
          </cell>
          <cell r="G386">
            <v>2118.02</v>
          </cell>
          <cell r="H386">
            <v>2647.18</v>
          </cell>
          <cell r="I386">
            <v>2012.28</v>
          </cell>
          <cell r="J386">
            <v>2166.08</v>
          </cell>
          <cell r="K386">
            <v>744.4</v>
          </cell>
          <cell r="L386">
            <v>2179.98</v>
          </cell>
          <cell r="M386">
            <v>2179.9899999999998</v>
          </cell>
          <cell r="N386">
            <v>2144.11</v>
          </cell>
          <cell r="O386">
            <v>2263.92</v>
          </cell>
          <cell r="Q386">
            <v>25014.559999999998</v>
          </cell>
        </row>
        <row r="387">
          <cell r="A387" t="str">
            <v>F80750G</v>
          </cell>
          <cell r="B387" t="str">
            <v>OTHER PURCHASED GAS EXPENSES</v>
          </cell>
          <cell r="D387">
            <v>94856.6</v>
          </cell>
          <cell r="E387">
            <v>74015.960000000006</v>
          </cell>
          <cell r="F387">
            <v>103823.02</v>
          </cell>
          <cell r="G387">
            <v>74468.34</v>
          </cell>
          <cell r="H387">
            <v>105353.07</v>
          </cell>
          <cell r="I387">
            <v>90448.14</v>
          </cell>
          <cell r="J387">
            <v>96580.35</v>
          </cell>
          <cell r="K387">
            <v>66425.460000000006</v>
          </cell>
          <cell r="L387">
            <v>80905.33</v>
          </cell>
          <cell r="M387">
            <v>114396.52</v>
          </cell>
          <cell r="N387">
            <v>83483.09</v>
          </cell>
          <cell r="O387">
            <v>87982.14</v>
          </cell>
          <cell r="Q387">
            <v>1072738.0199999998</v>
          </cell>
        </row>
        <row r="388">
          <cell r="A388" t="str">
            <v>F80810G</v>
          </cell>
          <cell r="B388" t="str">
            <v>GAS WITHDRAWN FROM STORAGE-DEBIT</v>
          </cell>
          <cell r="D388">
            <v>15431.7</v>
          </cell>
          <cell r="E388">
            <v>16603.77</v>
          </cell>
          <cell r="F388">
            <v>3204.57</v>
          </cell>
          <cell r="G388">
            <v>5336.02</v>
          </cell>
          <cell r="H388">
            <v>2517.21</v>
          </cell>
          <cell r="I388">
            <v>1857.61</v>
          </cell>
          <cell r="J388">
            <v>1756.93</v>
          </cell>
          <cell r="K388">
            <v>1560.79</v>
          </cell>
          <cell r="L388">
            <v>1758.77</v>
          </cell>
          <cell r="M388">
            <v>3311.23</v>
          </cell>
          <cell r="N388">
            <v>7227.99</v>
          </cell>
          <cell r="O388">
            <v>14712.54</v>
          </cell>
          <cell r="Q388">
            <v>75279.13</v>
          </cell>
        </row>
        <row r="389">
          <cell r="A389" t="str">
            <v>F80820G</v>
          </cell>
          <cell r="B389" t="str">
            <v>GAS DELIVERED TO STORAGE-CREDIT</v>
          </cell>
          <cell r="D389">
            <v>-15407.24</v>
          </cell>
          <cell r="E389">
            <v>-13839.23</v>
          </cell>
          <cell r="F389">
            <v>-8023.4</v>
          </cell>
          <cell r="H389">
            <v>-2900.97</v>
          </cell>
          <cell r="I389">
            <v>-2726.84</v>
          </cell>
          <cell r="J389">
            <v>-2972.94</v>
          </cell>
          <cell r="L389">
            <v>-2856.72</v>
          </cell>
          <cell r="M389">
            <v>-4617.24</v>
          </cell>
          <cell r="N389">
            <v>-4329.4799999999996</v>
          </cell>
          <cell r="O389">
            <v>-18318.95</v>
          </cell>
          <cell r="Q389">
            <v>-75993.010000000009</v>
          </cell>
        </row>
        <row r="390">
          <cell r="A390" t="str">
            <v>F81000G</v>
          </cell>
          <cell r="B390" t="str">
            <v>GAS USED FOR COMPRESSOR STATION FUEL-CREDIT</v>
          </cell>
          <cell r="D390">
            <v>-1343684</v>
          </cell>
          <cell r="E390">
            <v>-858770</v>
          </cell>
          <cell r="F390">
            <v>-704643</v>
          </cell>
          <cell r="G390">
            <v>-512333</v>
          </cell>
          <cell r="H390">
            <v>-506093</v>
          </cell>
          <cell r="I390">
            <v>-179809</v>
          </cell>
          <cell r="J390">
            <v>-93932</v>
          </cell>
          <cell r="K390">
            <v>-12647</v>
          </cell>
          <cell r="L390">
            <v>-136544</v>
          </cell>
          <cell r="M390">
            <v>-7743</v>
          </cell>
          <cell r="N390">
            <v>-54983</v>
          </cell>
          <cell r="O390">
            <v>-131616</v>
          </cell>
          <cell r="Q390">
            <v>-4542797</v>
          </cell>
        </row>
        <row r="391">
          <cell r="A391" t="str">
            <v>F81200G</v>
          </cell>
          <cell r="B391" t="str">
            <v>GAS USED FOR OTHER UTILITY OPERATIONS-CREDIT</v>
          </cell>
          <cell r="D391">
            <v>-45231.74</v>
          </cell>
          <cell r="F391">
            <v>-99703.46</v>
          </cell>
          <cell r="H391">
            <v>-81031.64</v>
          </cell>
          <cell r="I391">
            <v>0</v>
          </cell>
          <cell r="J391">
            <v>-77837.240000000005</v>
          </cell>
          <cell r="K391">
            <v>-13000.55</v>
          </cell>
          <cell r="M391">
            <v>-19997.650000000001</v>
          </cell>
          <cell r="N391">
            <v>0</v>
          </cell>
          <cell r="O391">
            <v>-5635.34</v>
          </cell>
          <cell r="Q391">
            <v>-342437.62000000005</v>
          </cell>
        </row>
        <row r="392">
          <cell r="A392" t="str">
            <v>F81700G</v>
          </cell>
          <cell r="B392" t="str">
            <v>LINES EXPENSE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F82000G</v>
          </cell>
          <cell r="B393" t="str">
            <v>MEASURING AND REGULATING STATION EXPENS</v>
          </cell>
          <cell r="I393">
            <v>0</v>
          </cell>
          <cell r="N393">
            <v>0</v>
          </cell>
          <cell r="O393">
            <v>0</v>
          </cell>
          <cell r="Q393">
            <v>0</v>
          </cell>
        </row>
        <row r="394">
          <cell r="A394" t="str">
            <v>F82100C</v>
          </cell>
          <cell r="B394" t="str">
            <v>PURIFICATION EXPENSES</v>
          </cell>
          <cell r="G394">
            <v>1700</v>
          </cell>
          <cell r="I394">
            <v>0</v>
          </cell>
          <cell r="N394">
            <v>0</v>
          </cell>
          <cell r="O394">
            <v>-1700</v>
          </cell>
          <cell r="Q394">
            <v>0</v>
          </cell>
        </row>
        <row r="395">
          <cell r="A395" t="str">
            <v>F82200G</v>
          </cell>
          <cell r="B395" t="str">
            <v>EXPLORATION AND DEVELOPMENT</v>
          </cell>
          <cell r="I395">
            <v>0</v>
          </cell>
          <cell r="N395">
            <v>0</v>
          </cell>
          <cell r="O395">
            <v>0</v>
          </cell>
          <cell r="Q395">
            <v>0</v>
          </cell>
        </row>
        <row r="396">
          <cell r="A396" t="str">
            <v>F82300G</v>
          </cell>
          <cell r="B396" t="str">
            <v>GAS LOSSES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F82400C</v>
          </cell>
          <cell r="B397" t="str">
            <v>OTHER EXPENSES</v>
          </cell>
          <cell r="G397">
            <v>306.11</v>
          </cell>
          <cell r="I397">
            <v>0</v>
          </cell>
          <cell r="N397">
            <v>0</v>
          </cell>
          <cell r="O397">
            <v>-305.52</v>
          </cell>
          <cell r="Q397">
            <v>0.59000000000003183</v>
          </cell>
        </row>
        <row r="398">
          <cell r="A398" t="str">
            <v>F82500C</v>
          </cell>
          <cell r="B398" t="str">
            <v>STORAGE WELL ROYALTIES</v>
          </cell>
          <cell r="F398">
            <v>40.770000000000003</v>
          </cell>
          <cell r="I398">
            <v>0</v>
          </cell>
          <cell r="N398">
            <v>0</v>
          </cell>
          <cell r="O398">
            <v>-42.1</v>
          </cell>
          <cell r="Q398">
            <v>-1.3299999999999983</v>
          </cell>
        </row>
        <row r="399">
          <cell r="A399" t="str">
            <v>F83000C</v>
          </cell>
          <cell r="B399" t="str">
            <v>MAINTENANCE SUPERVISION AND ENGINEERING</v>
          </cell>
          <cell r="N399">
            <v>1333.31</v>
          </cell>
          <cell r="O399">
            <v>-1333.37</v>
          </cell>
          <cell r="Q399">
            <v>-5.999999999994543E-2</v>
          </cell>
        </row>
        <row r="400">
          <cell r="A400" t="str">
            <v>F83000G</v>
          </cell>
          <cell r="B400" t="str">
            <v>MAINTENANCE SUPERVISION AND ENGINEERING</v>
          </cell>
          <cell r="I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F83100C</v>
          </cell>
          <cell r="B401" t="str">
            <v>MAINTENANCE OF STRUCTURES AND IMPROVEMENTS</v>
          </cell>
          <cell r="I401">
            <v>1462.35</v>
          </cell>
          <cell r="J401">
            <v>2485.92</v>
          </cell>
          <cell r="K401">
            <v>483.19</v>
          </cell>
          <cell r="N401">
            <v>2630.29</v>
          </cell>
          <cell r="O401">
            <v>-6998.22</v>
          </cell>
          <cell r="Q401">
            <v>63.529999999999745</v>
          </cell>
        </row>
        <row r="402">
          <cell r="A402" t="str">
            <v>F83100G</v>
          </cell>
          <cell r="B402" t="str">
            <v>MAINTENANCE OF STRUCTURES AND IMPROVEME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F83200G</v>
          </cell>
          <cell r="B403" t="str">
            <v>MAINTENANCE OF RESERVOIRS AND WELLS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F83500C</v>
          </cell>
          <cell r="B404" t="str">
            <v>MAINTENANCE OF MEASURING AND REGULATING STATION EQ</v>
          </cell>
          <cell r="D404">
            <v>7506.9</v>
          </cell>
          <cell r="G404">
            <v>25761.91</v>
          </cell>
          <cell r="I404">
            <v>15754.57</v>
          </cell>
          <cell r="N404">
            <v>0</v>
          </cell>
          <cell r="O404">
            <v>-49150.51</v>
          </cell>
          <cell r="Q404">
            <v>-127.13000000000466</v>
          </cell>
        </row>
        <row r="405">
          <cell r="A405" t="str">
            <v>F83500G</v>
          </cell>
          <cell r="B405" t="str">
            <v>MAINTENANCE OF MEASURING AND REGULATING STATION EQ</v>
          </cell>
          <cell r="D405">
            <v>12.5</v>
          </cell>
          <cell r="H405">
            <v>5.04</v>
          </cell>
          <cell r="I405">
            <v>8.1</v>
          </cell>
          <cell r="N405">
            <v>0</v>
          </cell>
          <cell r="O405">
            <v>0</v>
          </cell>
          <cell r="Q405">
            <v>25.64</v>
          </cell>
        </row>
        <row r="406">
          <cell r="A406" t="str">
            <v>F83700G</v>
          </cell>
          <cell r="B406" t="str">
            <v>MAINTENANCE OF OTHER EQUIPMENT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F84000C</v>
          </cell>
          <cell r="B407" t="str">
            <v>OPERATION SUPERVISION AND ENGINEERING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F84000G</v>
          </cell>
          <cell r="B408" t="str">
            <v>OPERATION SUPERVISION AND ENGINEERING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F84100G</v>
          </cell>
          <cell r="B409" t="str">
            <v>OPERATION LABOR AND EXPNESES</v>
          </cell>
          <cell r="D409">
            <v>4045.33</v>
          </cell>
          <cell r="E409">
            <v>2873.57</v>
          </cell>
          <cell r="F409">
            <v>2695.54</v>
          </cell>
          <cell r="G409">
            <v>4156.74</v>
          </cell>
          <cell r="H409">
            <v>1867.59</v>
          </cell>
          <cell r="I409">
            <v>857.06</v>
          </cell>
          <cell r="J409">
            <v>660.41</v>
          </cell>
          <cell r="K409">
            <v>279.93</v>
          </cell>
          <cell r="L409">
            <v>2502.6</v>
          </cell>
          <cell r="M409">
            <v>1766.48</v>
          </cell>
          <cell r="N409">
            <v>859.35</v>
          </cell>
          <cell r="O409">
            <v>2217.11</v>
          </cell>
          <cell r="Q409">
            <v>24781.709999999995</v>
          </cell>
        </row>
        <row r="410">
          <cell r="A410" t="str">
            <v>F84170G</v>
          </cell>
          <cell r="B410" t="str">
            <v>OPERATION LABOR AND EXPNESES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F84310G</v>
          </cell>
          <cell r="B411" t="str">
            <v>MAINTENANCE SUPERVISION AND ENGINEERING</v>
          </cell>
          <cell r="D411">
            <v>208.51</v>
          </cell>
          <cell r="E411">
            <v>196.8</v>
          </cell>
          <cell r="F411">
            <v>209.9</v>
          </cell>
          <cell r="G411">
            <v>201.35</v>
          </cell>
          <cell r="H411">
            <v>234.8</v>
          </cell>
          <cell r="I411">
            <v>219.22</v>
          </cell>
          <cell r="N411">
            <v>0</v>
          </cell>
          <cell r="O411">
            <v>0</v>
          </cell>
          <cell r="Q411">
            <v>1270.5800000000002</v>
          </cell>
        </row>
        <row r="412">
          <cell r="A412" t="str">
            <v>F84320G</v>
          </cell>
          <cell r="B412" t="str">
            <v>MAINTENANCE OF STRUCTURES AND IMPROVEME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F84330G</v>
          </cell>
          <cell r="B413" t="str">
            <v>MAINTENANCE OF GAS HOLDERS</v>
          </cell>
          <cell r="I413">
            <v>0</v>
          </cell>
          <cell r="N413">
            <v>0</v>
          </cell>
          <cell r="O413">
            <v>0</v>
          </cell>
          <cell r="Q413">
            <v>0</v>
          </cell>
        </row>
        <row r="414">
          <cell r="A414" t="str">
            <v>F84370G</v>
          </cell>
          <cell r="B414" t="str">
            <v>MAINTENANCE OF COMPRESSOR EQUIPMENT</v>
          </cell>
          <cell r="I414">
            <v>0</v>
          </cell>
          <cell r="N414">
            <v>0</v>
          </cell>
          <cell r="O414">
            <v>0</v>
          </cell>
          <cell r="Q414">
            <v>0</v>
          </cell>
        </row>
        <row r="415">
          <cell r="A415" t="str">
            <v>F84380G</v>
          </cell>
          <cell r="B415" t="str">
            <v>MAINTENANCE OF MEASURING AND REGULATING</v>
          </cell>
          <cell r="I415">
            <v>0</v>
          </cell>
          <cell r="N415">
            <v>0</v>
          </cell>
          <cell r="O415">
            <v>0</v>
          </cell>
          <cell r="Q415">
            <v>0</v>
          </cell>
        </row>
        <row r="416">
          <cell r="A416" t="str">
            <v>F84390G</v>
          </cell>
          <cell r="B416" t="str">
            <v>MAINTENANCE OF OTHER EQUIPMENT</v>
          </cell>
          <cell r="I416">
            <v>0</v>
          </cell>
          <cell r="N416">
            <v>0</v>
          </cell>
          <cell r="O416">
            <v>0</v>
          </cell>
          <cell r="Q416">
            <v>0</v>
          </cell>
        </row>
        <row r="417">
          <cell r="A417" t="str">
            <v>F85000G</v>
          </cell>
          <cell r="B417" t="str">
            <v>OPERATION SUPERVISION AND ENGINEERING</v>
          </cell>
          <cell r="D417">
            <v>3160.97</v>
          </cell>
          <cell r="E417">
            <v>7624.61</v>
          </cell>
          <cell r="F417">
            <v>5257.92</v>
          </cell>
          <cell r="G417">
            <v>4834.8900000000003</v>
          </cell>
          <cell r="H417">
            <v>5635.41</v>
          </cell>
          <cell r="I417">
            <v>1980.18</v>
          </cell>
          <cell r="J417">
            <v>2569.85</v>
          </cell>
          <cell r="K417">
            <v>4081.64</v>
          </cell>
          <cell r="L417">
            <v>4463.16</v>
          </cell>
          <cell r="M417">
            <v>51949.31</v>
          </cell>
          <cell r="N417">
            <v>4517.32</v>
          </cell>
          <cell r="O417">
            <v>-42170.99</v>
          </cell>
          <cell r="Q417">
            <v>53904.270000000011</v>
          </cell>
        </row>
        <row r="418">
          <cell r="A418" t="str">
            <v>F85010G</v>
          </cell>
          <cell r="B418" t="str">
            <v>OPERATION SUPERVISION AND ENGINEERING</v>
          </cell>
          <cell r="D418">
            <v>35755.129999999997</v>
          </cell>
          <cell r="E418">
            <v>30178.68</v>
          </cell>
          <cell r="F418">
            <v>34664.519999999997</v>
          </cell>
          <cell r="G418">
            <v>47426.59</v>
          </cell>
          <cell r="H418">
            <v>36192.29</v>
          </cell>
          <cell r="I418">
            <v>33583.86</v>
          </cell>
          <cell r="J418">
            <v>49464.7</v>
          </cell>
          <cell r="K418">
            <v>37720.67</v>
          </cell>
          <cell r="L418">
            <v>13742.86</v>
          </cell>
          <cell r="M418">
            <v>51873.39</v>
          </cell>
          <cell r="N418">
            <v>28056.54</v>
          </cell>
          <cell r="O418">
            <v>38221.54</v>
          </cell>
          <cell r="Q418">
            <v>436880.76999999996</v>
          </cell>
        </row>
        <row r="419">
          <cell r="A419" t="str">
            <v>F85020G</v>
          </cell>
          <cell r="B419" t="str">
            <v>OPERATION SUPERVISIO</v>
          </cell>
          <cell r="D419">
            <v>13002.69</v>
          </cell>
          <cell r="E419">
            <v>12171.03</v>
          </cell>
          <cell r="F419">
            <v>12710.62</v>
          </cell>
          <cell r="G419">
            <v>12500.96</v>
          </cell>
          <cell r="H419">
            <v>13040.47</v>
          </cell>
          <cell r="I419">
            <v>9974.2000000000007</v>
          </cell>
          <cell r="J419">
            <v>13276.8</v>
          </cell>
          <cell r="K419">
            <v>11644.32</v>
          </cell>
          <cell r="L419">
            <v>9271.86</v>
          </cell>
          <cell r="M419">
            <v>13555.01</v>
          </cell>
          <cell r="N419">
            <v>11434.5</v>
          </cell>
          <cell r="O419">
            <v>10499.09</v>
          </cell>
          <cell r="Q419">
            <v>143081.54999999999</v>
          </cell>
        </row>
        <row r="420">
          <cell r="A420" t="str">
            <v>F85100G</v>
          </cell>
          <cell r="B420" t="str">
            <v>SYSTEM CONTROL AND LOAD DISPATCHING</v>
          </cell>
          <cell r="D420">
            <v>35118.14</v>
          </cell>
          <cell r="E420">
            <v>36542.32</v>
          </cell>
          <cell r="F420">
            <v>23331.86</v>
          </cell>
          <cell r="G420">
            <v>26552.76</v>
          </cell>
          <cell r="H420">
            <v>40703.339999999997</v>
          </cell>
          <cell r="I420">
            <v>26389.16</v>
          </cell>
          <cell r="J420">
            <v>40359.800000000003</v>
          </cell>
          <cell r="K420">
            <v>45515.839999999997</v>
          </cell>
          <cell r="L420">
            <v>85123.93</v>
          </cell>
          <cell r="M420">
            <v>4201.2299999999996</v>
          </cell>
          <cell r="N420">
            <v>39711.42</v>
          </cell>
          <cell r="O420">
            <v>39967.65</v>
          </cell>
          <cell r="Q420">
            <v>443517.44999999995</v>
          </cell>
        </row>
        <row r="421">
          <cell r="A421" t="str">
            <v>F85200G</v>
          </cell>
          <cell r="B421" t="str">
            <v>COMMUNICATION SYSTEM EXPENSES</v>
          </cell>
          <cell r="G421">
            <v>73.86</v>
          </cell>
          <cell r="I421">
            <v>0</v>
          </cell>
          <cell r="N421">
            <v>0</v>
          </cell>
          <cell r="O421">
            <v>0</v>
          </cell>
          <cell r="Q421">
            <v>73.86</v>
          </cell>
        </row>
        <row r="422">
          <cell r="A422" t="str">
            <v>F85300G</v>
          </cell>
          <cell r="B422" t="str">
            <v>COMPRESSOR STATION LABOR AND EXPENSES</v>
          </cell>
          <cell r="D422">
            <v>32280.82</v>
          </cell>
          <cell r="E422">
            <v>13837.53</v>
          </cell>
          <cell r="F422">
            <v>27241.56</v>
          </cell>
          <cell r="G422">
            <v>22331.66</v>
          </cell>
          <cell r="H422">
            <v>45755.44</v>
          </cell>
          <cell r="I422">
            <v>38269.57</v>
          </cell>
          <cell r="J422">
            <v>37603.839999999997</v>
          </cell>
          <cell r="K422">
            <v>28246.07</v>
          </cell>
          <cell r="L422">
            <v>32808.660000000003</v>
          </cell>
          <cell r="M422">
            <v>15507.97</v>
          </cell>
          <cell r="N422">
            <v>39880.379999999997</v>
          </cell>
          <cell r="O422">
            <v>40687.85</v>
          </cell>
          <cell r="Q422">
            <v>374451.35</v>
          </cell>
        </row>
        <row r="423">
          <cell r="A423" t="str">
            <v>F85310G</v>
          </cell>
          <cell r="B423" t="str">
            <v>COMPRESSOR STATION LABOR AND EXPENSES</v>
          </cell>
          <cell r="D423">
            <v>65253.77</v>
          </cell>
          <cell r="E423">
            <v>61595.01</v>
          </cell>
          <cell r="F423">
            <v>54868.49</v>
          </cell>
          <cell r="G423">
            <v>60797.43</v>
          </cell>
          <cell r="H423">
            <v>58889.74</v>
          </cell>
          <cell r="I423">
            <v>45516.38</v>
          </cell>
          <cell r="J423">
            <v>55069.38</v>
          </cell>
          <cell r="K423">
            <v>55579.54</v>
          </cell>
          <cell r="L423">
            <v>44351.93</v>
          </cell>
          <cell r="M423">
            <v>56490.57</v>
          </cell>
          <cell r="N423">
            <v>53162.73</v>
          </cell>
          <cell r="O423">
            <v>50167.39</v>
          </cell>
          <cell r="Q423">
            <v>661742.36</v>
          </cell>
        </row>
        <row r="424">
          <cell r="A424" t="str">
            <v>F85320G</v>
          </cell>
          <cell r="B424" t="str">
            <v>COMPRESSOR STATION LABOR AND EXPENSES</v>
          </cell>
          <cell r="D424">
            <v>18985.18</v>
          </cell>
          <cell r="E424">
            <v>17476.04</v>
          </cell>
          <cell r="F424">
            <v>8609.76</v>
          </cell>
          <cell r="G424">
            <v>4277.54</v>
          </cell>
          <cell r="H424">
            <v>8267.99</v>
          </cell>
          <cell r="I424">
            <v>3925.68</v>
          </cell>
          <cell r="J424">
            <v>6071.26</v>
          </cell>
          <cell r="K424">
            <v>5588.22</v>
          </cell>
          <cell r="L424">
            <v>5051.13</v>
          </cell>
          <cell r="M424">
            <v>7958.97</v>
          </cell>
          <cell r="N424">
            <v>14761.52</v>
          </cell>
          <cell r="O424">
            <v>9160.2800000000007</v>
          </cell>
          <cell r="Q424">
            <v>110133.57</v>
          </cell>
        </row>
        <row r="425">
          <cell r="A425" t="str">
            <v>F85400G</v>
          </cell>
          <cell r="B425" t="str">
            <v>GAS FOR COMPRESSOR STATION FUEL</v>
          </cell>
          <cell r="D425">
            <v>1343684</v>
          </cell>
          <cell r="E425">
            <v>858770</v>
          </cell>
          <cell r="F425">
            <v>704643</v>
          </cell>
          <cell r="G425">
            <v>512333</v>
          </cell>
          <cell r="H425">
            <v>506093</v>
          </cell>
          <cell r="I425">
            <v>179809</v>
          </cell>
          <cell r="J425">
            <v>93932</v>
          </cell>
          <cell r="K425">
            <v>12647</v>
          </cell>
          <cell r="L425">
            <v>136544</v>
          </cell>
          <cell r="M425">
            <v>7743</v>
          </cell>
          <cell r="N425">
            <v>54983</v>
          </cell>
          <cell r="O425">
            <v>132178.82999999999</v>
          </cell>
          <cell r="Q425">
            <v>4543359.83</v>
          </cell>
        </row>
        <row r="426">
          <cell r="A426" t="str">
            <v>F85500G</v>
          </cell>
          <cell r="B426" t="str">
            <v>OTHER FUEL AND POWER FOR COMPRESSOR STA</v>
          </cell>
          <cell r="I426">
            <v>0</v>
          </cell>
          <cell r="N426">
            <v>0</v>
          </cell>
          <cell r="O426">
            <v>0</v>
          </cell>
          <cell r="Q426">
            <v>0</v>
          </cell>
        </row>
        <row r="427">
          <cell r="A427" t="str">
            <v>F85510G</v>
          </cell>
          <cell r="B427" t="str">
            <v>OTHER FUEL AND POWER FOR COMPRESSOR STATIONS</v>
          </cell>
          <cell r="D427">
            <v>28052.6</v>
          </cell>
          <cell r="E427">
            <v>52.56</v>
          </cell>
          <cell r="F427">
            <v>31869.88</v>
          </cell>
          <cell r="G427">
            <v>12668.18</v>
          </cell>
          <cell r="H427">
            <v>13487.11</v>
          </cell>
          <cell r="I427">
            <v>17183.87</v>
          </cell>
          <cell r="K427">
            <v>41025.279999999999</v>
          </cell>
          <cell r="M427">
            <v>32067.439999999999</v>
          </cell>
          <cell r="N427">
            <v>13683.23</v>
          </cell>
          <cell r="O427">
            <v>0</v>
          </cell>
          <cell r="Q427">
            <v>190090.15</v>
          </cell>
        </row>
        <row r="428">
          <cell r="A428" t="str">
            <v>F85600G</v>
          </cell>
          <cell r="B428" t="str">
            <v>MAINS EXPENSES</v>
          </cell>
          <cell r="D428">
            <v>18200.29</v>
          </cell>
          <cell r="E428">
            <v>6928.29</v>
          </cell>
          <cell r="F428">
            <v>6741.14</v>
          </cell>
          <cell r="G428">
            <v>5413.68</v>
          </cell>
          <cell r="H428">
            <v>5285.44</v>
          </cell>
          <cell r="I428">
            <v>4663.8500000000004</v>
          </cell>
          <cell r="J428">
            <v>6130.52</v>
          </cell>
          <cell r="K428">
            <v>3807.37</v>
          </cell>
          <cell r="L428">
            <v>4394.49</v>
          </cell>
          <cell r="M428">
            <v>18491.21</v>
          </cell>
          <cell r="N428">
            <v>6468.21</v>
          </cell>
          <cell r="O428">
            <v>53099.62</v>
          </cell>
          <cell r="Q428">
            <v>139624.11000000002</v>
          </cell>
        </row>
        <row r="429">
          <cell r="A429" t="str">
            <v>F85610G</v>
          </cell>
          <cell r="B429" t="str">
            <v>MAINS EXPENSES</v>
          </cell>
          <cell r="D429">
            <v>14675.08</v>
          </cell>
          <cell r="E429">
            <v>12141.08</v>
          </cell>
          <cell r="F429">
            <v>10277.700000000001</v>
          </cell>
          <cell r="G429">
            <v>11983.88</v>
          </cell>
          <cell r="H429">
            <v>17108.900000000001</v>
          </cell>
          <cell r="I429">
            <v>12974.23</v>
          </cell>
          <cell r="J429">
            <v>19924.43</v>
          </cell>
          <cell r="K429">
            <v>26685.64</v>
          </cell>
          <cell r="L429">
            <v>10171.209999999999</v>
          </cell>
          <cell r="M429">
            <v>18008.79</v>
          </cell>
          <cell r="N429">
            <v>16451.849999999999</v>
          </cell>
          <cell r="O429">
            <v>1582.58</v>
          </cell>
          <cell r="Q429">
            <v>171985.37</v>
          </cell>
        </row>
        <row r="430">
          <cell r="A430" t="str">
            <v>F85620G</v>
          </cell>
          <cell r="B430" t="str">
            <v>TRANS PIPE OPER SJOAQ VLY&amp;WHLR RDGE</v>
          </cell>
          <cell r="D430">
            <v>23638.97</v>
          </cell>
          <cell r="E430">
            <v>19282</v>
          </cell>
          <cell r="F430">
            <v>22297.98</v>
          </cell>
          <cell r="G430">
            <v>24723.89</v>
          </cell>
          <cell r="H430">
            <v>34160.410000000003</v>
          </cell>
          <cell r="I430">
            <v>22150.33</v>
          </cell>
          <cell r="J430">
            <v>25768.58</v>
          </cell>
          <cell r="K430">
            <v>26082.46</v>
          </cell>
          <cell r="L430">
            <v>9821.9699999999993</v>
          </cell>
          <cell r="M430">
            <v>22664.54</v>
          </cell>
          <cell r="N430">
            <v>33051.440000000002</v>
          </cell>
          <cell r="O430">
            <v>2048.61</v>
          </cell>
          <cell r="Q430">
            <v>265691.18000000005</v>
          </cell>
        </row>
        <row r="431">
          <cell r="A431" t="str">
            <v>F85660G</v>
          </cell>
          <cell r="B431" t="str">
            <v>TRANS PIPE OPER ADELANTO SYSTEM</v>
          </cell>
          <cell r="D431">
            <v>13390.38</v>
          </cell>
          <cell r="E431">
            <v>8489.2000000000007</v>
          </cell>
          <cell r="F431">
            <v>7035.43</v>
          </cell>
          <cell r="G431">
            <v>6187.12</v>
          </cell>
          <cell r="H431">
            <v>7070.37</v>
          </cell>
          <cell r="I431">
            <v>5276.73</v>
          </cell>
          <cell r="J431">
            <v>7239.72</v>
          </cell>
          <cell r="K431">
            <v>6220.42</v>
          </cell>
          <cell r="L431">
            <v>5827.73</v>
          </cell>
          <cell r="M431">
            <v>6719.73</v>
          </cell>
          <cell r="N431">
            <v>6057</v>
          </cell>
          <cell r="O431">
            <v>486.23</v>
          </cell>
          <cell r="Q431">
            <v>80000.06</v>
          </cell>
        </row>
        <row r="432">
          <cell r="A432" t="str">
            <v>F85700G</v>
          </cell>
          <cell r="B432" t="str">
            <v>MEASURING AND REGULATING STATION EXPENSES</v>
          </cell>
          <cell r="D432">
            <v>14218.04</v>
          </cell>
          <cell r="E432">
            <v>9682.58</v>
          </cell>
          <cell r="F432">
            <v>14643.8</v>
          </cell>
          <cell r="G432">
            <v>14767.3</v>
          </cell>
          <cell r="H432">
            <v>13726.76</v>
          </cell>
          <cell r="I432">
            <v>10215.9</v>
          </cell>
          <cell r="J432">
            <v>16382.35</v>
          </cell>
          <cell r="K432">
            <v>12527.85</v>
          </cell>
          <cell r="L432">
            <v>24715.45</v>
          </cell>
          <cell r="M432">
            <v>18463.73</v>
          </cell>
          <cell r="N432">
            <v>21212.52</v>
          </cell>
          <cell r="O432">
            <v>18558.04</v>
          </cell>
          <cell r="Q432">
            <v>189114.32</v>
          </cell>
        </row>
        <row r="433">
          <cell r="A433" t="str">
            <v>F85800G</v>
          </cell>
          <cell r="B433" t="str">
            <v>TRANSMISSION AND COMPRESSION OF GAS BY OTHERS</v>
          </cell>
          <cell r="I433">
            <v>135.11000000000001</v>
          </cell>
          <cell r="N433">
            <v>0</v>
          </cell>
          <cell r="O433">
            <v>0</v>
          </cell>
          <cell r="Q433">
            <v>135.11000000000001</v>
          </cell>
        </row>
        <row r="434">
          <cell r="A434" t="str">
            <v>F85900G</v>
          </cell>
          <cell r="B434" t="str">
            <v>OTHER EXPENSES</v>
          </cell>
          <cell r="D434">
            <v>577768.93999999994</v>
          </cell>
          <cell r="E434">
            <v>1849858.63</v>
          </cell>
          <cell r="F434">
            <v>676342.71</v>
          </cell>
          <cell r="G434">
            <v>1035016.61</v>
          </cell>
          <cell r="H434">
            <v>656636.26</v>
          </cell>
          <cell r="I434">
            <v>890240.9</v>
          </cell>
          <cell r="J434">
            <v>17715.060000000001</v>
          </cell>
          <cell r="K434">
            <v>151589.57</v>
          </cell>
          <cell r="L434">
            <v>30773.94</v>
          </cell>
          <cell r="M434">
            <v>31970.26</v>
          </cell>
          <cell r="N434">
            <v>49200.78</v>
          </cell>
          <cell r="O434">
            <v>231520.37</v>
          </cell>
          <cell r="Q434">
            <v>6198634.0300000003</v>
          </cell>
        </row>
        <row r="435">
          <cell r="A435" t="str">
            <v>F85910G</v>
          </cell>
          <cell r="B435" t="str">
            <v>OTHER EXPENSES</v>
          </cell>
          <cell r="D435">
            <v>2944.44</v>
          </cell>
          <cell r="E435">
            <v>4846.83</v>
          </cell>
          <cell r="F435">
            <v>6987.6</v>
          </cell>
          <cell r="G435">
            <v>8198.34</v>
          </cell>
          <cell r="H435">
            <v>6079.67</v>
          </cell>
          <cell r="I435">
            <v>2191.92</v>
          </cell>
          <cell r="J435">
            <v>2053.15</v>
          </cell>
          <cell r="K435">
            <v>2493.2199999999998</v>
          </cell>
          <cell r="L435">
            <v>2152.71</v>
          </cell>
          <cell r="M435">
            <v>2496.61</v>
          </cell>
          <cell r="N435">
            <v>2192.66</v>
          </cell>
          <cell r="O435">
            <v>3349.88</v>
          </cell>
          <cell r="Q435">
            <v>45987.029999999992</v>
          </cell>
        </row>
        <row r="436">
          <cell r="A436" t="str">
            <v>F85920G</v>
          </cell>
          <cell r="B436" t="str">
            <v>OTHER EXPENSES</v>
          </cell>
          <cell r="D436">
            <v>11343.07</v>
          </cell>
          <cell r="E436">
            <v>5721.81</v>
          </cell>
          <cell r="F436">
            <v>3361.15</v>
          </cell>
          <cell r="G436">
            <v>6360.65</v>
          </cell>
          <cell r="H436">
            <v>7460.67</v>
          </cell>
          <cell r="I436">
            <v>3069.2</v>
          </cell>
          <cell r="J436">
            <v>10009.129999999999</v>
          </cell>
          <cell r="K436">
            <v>11148.63</v>
          </cell>
          <cell r="L436">
            <v>2714.25</v>
          </cell>
          <cell r="M436">
            <v>5983.61</v>
          </cell>
          <cell r="N436">
            <v>-166.83</v>
          </cell>
          <cell r="O436">
            <v>3036.37</v>
          </cell>
          <cell r="Q436">
            <v>70041.709999999977</v>
          </cell>
        </row>
        <row r="437">
          <cell r="A437" t="str">
            <v>F85930G</v>
          </cell>
          <cell r="B437" t="str">
            <v>OTHER EXPENSES</v>
          </cell>
          <cell r="D437">
            <v>8748.61</v>
          </cell>
          <cell r="E437">
            <v>6396.02</v>
          </cell>
          <cell r="F437">
            <v>7119.54</v>
          </cell>
          <cell r="G437">
            <v>7219.5</v>
          </cell>
          <cell r="H437">
            <v>7347.93</v>
          </cell>
          <cell r="I437">
            <v>3948.34</v>
          </cell>
          <cell r="J437">
            <v>8123.49</v>
          </cell>
          <cell r="K437">
            <v>14452.09</v>
          </cell>
          <cell r="L437">
            <v>4746.76</v>
          </cell>
          <cell r="M437">
            <v>8127.48</v>
          </cell>
          <cell r="N437">
            <v>20278.03</v>
          </cell>
          <cell r="O437">
            <v>24639.1</v>
          </cell>
          <cell r="Q437">
            <v>121146.88999999998</v>
          </cell>
        </row>
        <row r="438">
          <cell r="A438" t="str">
            <v>F86000G</v>
          </cell>
          <cell r="B438" t="str">
            <v>RENTS</v>
          </cell>
          <cell r="G438">
            <v>100</v>
          </cell>
          <cell r="I438">
            <v>0</v>
          </cell>
          <cell r="J438">
            <v>302.3</v>
          </cell>
          <cell r="L438">
            <v>-106.89</v>
          </cell>
          <cell r="N438">
            <v>0</v>
          </cell>
          <cell r="O438">
            <v>149</v>
          </cell>
          <cell r="Q438">
            <v>444.41</v>
          </cell>
        </row>
        <row r="439">
          <cell r="A439" t="str">
            <v>F86100G</v>
          </cell>
          <cell r="B439" t="str">
            <v>MAINTENANCE SUPERVISION AND ENGINEERING</v>
          </cell>
          <cell r="D439">
            <v>120.57</v>
          </cell>
          <cell r="E439">
            <v>291.24</v>
          </cell>
          <cell r="F439">
            <v>471.69</v>
          </cell>
          <cell r="G439">
            <v>516.38</v>
          </cell>
          <cell r="H439">
            <v>63.93</v>
          </cell>
          <cell r="I439">
            <v>301.47000000000003</v>
          </cell>
          <cell r="J439">
            <v>414.61</v>
          </cell>
          <cell r="K439">
            <v>318.75</v>
          </cell>
          <cell r="L439">
            <v>290.33</v>
          </cell>
          <cell r="M439">
            <v>324.88</v>
          </cell>
          <cell r="N439">
            <v>307.47000000000003</v>
          </cell>
          <cell r="O439">
            <v>571.09</v>
          </cell>
          <cell r="Q439">
            <v>3992.4100000000008</v>
          </cell>
        </row>
        <row r="440">
          <cell r="A440" t="str">
            <v>F86110G</v>
          </cell>
          <cell r="B440" t="str">
            <v>MAINTENANCE SUPERVISION AND ENGINEERING</v>
          </cell>
          <cell r="D440">
            <v>6517.82</v>
          </cell>
          <cell r="E440">
            <v>6164.59</v>
          </cell>
          <cell r="F440">
            <v>7037.84</v>
          </cell>
          <cell r="G440">
            <v>6042.71</v>
          </cell>
          <cell r="H440">
            <v>7857.17</v>
          </cell>
          <cell r="I440">
            <v>5837.85</v>
          </cell>
          <cell r="J440">
            <v>2128.61</v>
          </cell>
          <cell r="K440">
            <v>6231.92</v>
          </cell>
          <cell r="L440">
            <v>6019.91</v>
          </cell>
          <cell r="M440">
            <v>9093.84</v>
          </cell>
          <cell r="N440">
            <v>6440.51</v>
          </cell>
          <cell r="O440">
            <v>7001.79</v>
          </cell>
          <cell r="Q440">
            <v>76374.559999999983</v>
          </cell>
        </row>
        <row r="441">
          <cell r="A441" t="str">
            <v>F86120G</v>
          </cell>
          <cell r="B441" t="str">
            <v>MAINTENANCE SUPERVISION AND ENGINEERING</v>
          </cell>
          <cell r="D441">
            <v>69.42</v>
          </cell>
          <cell r="E441">
            <v>65.599999999999994</v>
          </cell>
          <cell r="F441">
            <v>70</v>
          </cell>
          <cell r="G441">
            <v>67.2</v>
          </cell>
          <cell r="H441">
            <v>78.400000000000006</v>
          </cell>
          <cell r="I441">
            <v>56.03</v>
          </cell>
          <cell r="J441">
            <v>85.8</v>
          </cell>
          <cell r="K441">
            <v>63.47</v>
          </cell>
          <cell r="L441">
            <v>60.7</v>
          </cell>
          <cell r="M441">
            <v>104.9</v>
          </cell>
          <cell r="N441">
            <v>71.400000000000006</v>
          </cell>
          <cell r="O441">
            <v>67.2</v>
          </cell>
          <cell r="Q441">
            <v>860.12</v>
          </cell>
        </row>
        <row r="442">
          <cell r="A442" t="str">
            <v>F86200G</v>
          </cell>
          <cell r="B442" t="str">
            <v>MAINTENANCE OF STRUCTURES AND IMPROVEME</v>
          </cell>
          <cell r="I442">
            <v>0</v>
          </cell>
          <cell r="N442">
            <v>0</v>
          </cell>
          <cell r="O442">
            <v>0</v>
          </cell>
          <cell r="Q442">
            <v>0</v>
          </cell>
        </row>
        <row r="443">
          <cell r="A443" t="str">
            <v>F86300G</v>
          </cell>
          <cell r="B443" t="str">
            <v>MAINTENANCE OF MAINS</v>
          </cell>
          <cell r="D443">
            <v>4362.58</v>
          </cell>
          <cell r="E443">
            <v>686.74</v>
          </cell>
          <cell r="F443">
            <v>2279.15</v>
          </cell>
          <cell r="G443">
            <v>467.24</v>
          </cell>
          <cell r="H443">
            <v>1089.68</v>
          </cell>
          <cell r="I443">
            <v>342.77</v>
          </cell>
          <cell r="J443">
            <v>8333.8799999999992</v>
          </cell>
          <cell r="K443">
            <v>951.14</v>
          </cell>
          <cell r="L443">
            <v>52.98</v>
          </cell>
          <cell r="M443">
            <v>597.22</v>
          </cell>
          <cell r="N443">
            <v>946.69</v>
          </cell>
          <cell r="O443">
            <v>2799.85</v>
          </cell>
          <cell r="Q443">
            <v>22909.919999999998</v>
          </cell>
        </row>
        <row r="444">
          <cell r="A444" t="str">
            <v>F86310G</v>
          </cell>
          <cell r="B444" t="str">
            <v>MAINTENANCE OF MAINS</v>
          </cell>
          <cell r="D444">
            <v>10038.629999999999</v>
          </cell>
          <cell r="E444">
            <v>7818.85</v>
          </cell>
          <cell r="F444">
            <v>7069.13</v>
          </cell>
          <cell r="G444">
            <v>8251.2000000000007</v>
          </cell>
          <cell r="H444">
            <v>13373.57</v>
          </cell>
          <cell r="I444">
            <v>3823.47</v>
          </cell>
          <cell r="J444">
            <v>5612.56</v>
          </cell>
          <cell r="K444">
            <v>14615.7</v>
          </cell>
          <cell r="L444">
            <v>8730.84</v>
          </cell>
          <cell r="M444">
            <v>11119.88</v>
          </cell>
          <cell r="N444">
            <v>15831.72</v>
          </cell>
          <cell r="O444">
            <v>12696.23</v>
          </cell>
          <cell r="Q444">
            <v>118981.78</v>
          </cell>
        </row>
        <row r="445">
          <cell r="A445" t="str">
            <v>F86400G</v>
          </cell>
          <cell r="B445" t="str">
            <v>MAINTENANCE OF COMPRESSOR STATION EQUIPMENT</v>
          </cell>
          <cell r="D445">
            <v>35996.550000000003</v>
          </cell>
          <cell r="E445">
            <v>32824.58</v>
          </cell>
          <cell r="F445">
            <v>104254.91</v>
          </cell>
          <cell r="G445">
            <v>73520.149999999994</v>
          </cell>
          <cell r="H445">
            <v>105763.91</v>
          </cell>
          <cell r="I445">
            <v>64638.23</v>
          </cell>
          <cell r="J445">
            <v>64307.27</v>
          </cell>
          <cell r="K445">
            <v>33495.07</v>
          </cell>
          <cell r="L445">
            <v>59180.44</v>
          </cell>
          <cell r="M445">
            <v>31449.23</v>
          </cell>
          <cell r="N445">
            <v>21411</v>
          </cell>
          <cell r="O445">
            <v>47514.07</v>
          </cell>
          <cell r="Q445">
            <v>674355.40999999992</v>
          </cell>
        </row>
        <row r="446">
          <cell r="A446" t="str">
            <v>F86410G</v>
          </cell>
          <cell r="B446" t="str">
            <v>MAINTENANCE OF COMPRESSOR STATION EQUIPMENT</v>
          </cell>
          <cell r="D446">
            <v>6890.96</v>
          </cell>
          <cell r="E446">
            <v>5165.99</v>
          </cell>
          <cell r="F446">
            <v>8687.67</v>
          </cell>
          <cell r="G446">
            <v>9168.5499999999993</v>
          </cell>
          <cell r="H446">
            <v>9156.18</v>
          </cell>
          <cell r="I446">
            <v>5985.61</v>
          </cell>
          <cell r="J446">
            <v>7581.59</v>
          </cell>
          <cell r="K446">
            <v>7972.3</v>
          </cell>
          <cell r="L446">
            <v>8494.68</v>
          </cell>
          <cell r="M446">
            <v>9674</v>
          </cell>
          <cell r="N446">
            <v>5567.11</v>
          </cell>
          <cell r="O446">
            <v>6142.11</v>
          </cell>
          <cell r="Q446">
            <v>90486.75</v>
          </cell>
        </row>
        <row r="447">
          <cell r="A447" t="str">
            <v>F86420G</v>
          </cell>
          <cell r="B447" t="str">
            <v>MAINTENANCE OF COMPRESSOR STATION EQUIPMENT</v>
          </cell>
          <cell r="D447">
            <v>1151.1300000000001</v>
          </cell>
          <cell r="E447">
            <v>734.48</v>
          </cell>
          <cell r="F447">
            <v>1106.18</v>
          </cell>
          <cell r="G447">
            <v>1031.28</v>
          </cell>
          <cell r="H447">
            <v>1320.13</v>
          </cell>
          <cell r="I447">
            <v>1021.39</v>
          </cell>
          <cell r="J447">
            <v>1284.3800000000001</v>
          </cell>
          <cell r="K447">
            <v>1365.92</v>
          </cell>
          <cell r="L447">
            <v>1038.0899999999999</v>
          </cell>
          <cell r="M447">
            <v>2287.14</v>
          </cell>
          <cell r="N447">
            <v>1392.06</v>
          </cell>
          <cell r="O447">
            <v>1791.78</v>
          </cell>
          <cell r="Q447">
            <v>15523.96</v>
          </cell>
        </row>
        <row r="448">
          <cell r="A448" t="str">
            <v>F86500G</v>
          </cell>
          <cell r="B448" t="str">
            <v>MAINTENANCE OF MEASURING AND REG. STATION EQUIPMEN</v>
          </cell>
          <cell r="D448">
            <v>5320.79</v>
          </cell>
          <cell r="E448">
            <v>3423.05</v>
          </cell>
          <cell r="F448">
            <v>5962.45</v>
          </cell>
          <cell r="G448">
            <v>5135.99</v>
          </cell>
          <cell r="H448">
            <v>3547.02</v>
          </cell>
          <cell r="I448">
            <v>5230.57</v>
          </cell>
          <cell r="J448">
            <v>4980.32</v>
          </cell>
          <cell r="K448">
            <v>6690.3</v>
          </cell>
          <cell r="L448">
            <v>3941.62</v>
          </cell>
          <cell r="M448">
            <v>15991.5</v>
          </cell>
          <cell r="N448">
            <v>8672.94</v>
          </cell>
          <cell r="O448">
            <v>37101.78</v>
          </cell>
          <cell r="Q448">
            <v>105998.33</v>
          </cell>
        </row>
        <row r="449">
          <cell r="A449" t="str">
            <v>F86700G</v>
          </cell>
          <cell r="B449" t="str">
            <v>MAINTENANCE OF OTHER EQUIPMENT</v>
          </cell>
          <cell r="G449">
            <v>31.67</v>
          </cell>
          <cell r="I449">
            <v>0</v>
          </cell>
          <cell r="K449">
            <v>2517.0500000000002</v>
          </cell>
          <cell r="L449">
            <v>-1376.19</v>
          </cell>
          <cell r="M449">
            <v>1720</v>
          </cell>
          <cell r="N449">
            <v>11751.38</v>
          </cell>
          <cell r="O449">
            <v>2218.96</v>
          </cell>
          <cell r="Q449">
            <v>16862.87</v>
          </cell>
        </row>
        <row r="450">
          <cell r="A450" t="str">
            <v>F87000G</v>
          </cell>
          <cell r="B450" t="str">
            <v>OPERATION SUPERVISION AND ENGINEERING</v>
          </cell>
          <cell r="D450">
            <v>9002.11</v>
          </cell>
          <cell r="E450">
            <v>9372.81</v>
          </cell>
          <cell r="F450">
            <v>45215.040000000001</v>
          </cell>
          <cell r="G450">
            <v>4827.29</v>
          </cell>
          <cell r="H450">
            <v>6690.6</v>
          </cell>
          <cell r="I450">
            <v>2006.46</v>
          </cell>
          <cell r="J450">
            <v>10685.02</v>
          </cell>
          <cell r="K450">
            <v>5772.25</v>
          </cell>
          <cell r="L450">
            <v>4689.91</v>
          </cell>
          <cell r="M450">
            <v>10279.32</v>
          </cell>
          <cell r="N450">
            <v>28570.1</v>
          </cell>
          <cell r="O450">
            <v>-28247.599999999999</v>
          </cell>
          <cell r="Q450">
            <v>108863.31000000003</v>
          </cell>
        </row>
        <row r="451">
          <cell r="A451" t="str">
            <v>F87010G</v>
          </cell>
          <cell r="B451" t="str">
            <v>OPERATION SUPERVISIO</v>
          </cell>
          <cell r="D451">
            <v>166693.18</v>
          </cell>
          <cell r="E451">
            <v>140929.28</v>
          </cell>
          <cell r="F451">
            <v>158377.09</v>
          </cell>
          <cell r="G451">
            <v>127403.46</v>
          </cell>
          <cell r="H451">
            <v>149342.75</v>
          </cell>
          <cell r="I451">
            <v>135189.76999999999</v>
          </cell>
          <cell r="J451">
            <v>144025.35999999999</v>
          </cell>
          <cell r="K451">
            <v>139071.54999999999</v>
          </cell>
          <cell r="L451">
            <v>130040.09</v>
          </cell>
          <cell r="M451">
            <v>145240.09</v>
          </cell>
          <cell r="N451">
            <v>118814.18</v>
          </cell>
          <cell r="O451">
            <v>128051.47</v>
          </cell>
          <cell r="Q451">
            <v>1683178.27</v>
          </cell>
        </row>
        <row r="452">
          <cell r="A452" t="str">
            <v>F87020G</v>
          </cell>
          <cell r="B452" t="str">
            <v>OPERATION SUPERVISIO</v>
          </cell>
          <cell r="D452">
            <v>74996.350000000006</v>
          </cell>
          <cell r="E452">
            <v>60037.120000000003</v>
          </cell>
          <cell r="F452">
            <v>60518.27</v>
          </cell>
          <cell r="G452">
            <v>48388.78</v>
          </cell>
          <cell r="H452">
            <v>56509.43</v>
          </cell>
          <cell r="I452">
            <v>54002.69</v>
          </cell>
          <cell r="J452">
            <v>58846.23</v>
          </cell>
          <cell r="K452">
            <v>57793.1</v>
          </cell>
          <cell r="L452">
            <v>48747.57</v>
          </cell>
          <cell r="M452">
            <v>65767.070000000007</v>
          </cell>
          <cell r="N452">
            <v>55487.09</v>
          </cell>
          <cell r="O452">
            <v>57661.62</v>
          </cell>
          <cell r="Q452">
            <v>698755.32</v>
          </cell>
        </row>
        <row r="453">
          <cell r="A453" t="str">
            <v>F87100G</v>
          </cell>
          <cell r="B453" t="str">
            <v>DISTRIBUTION LOAD DISPATCHING</v>
          </cell>
          <cell r="D453">
            <v>3785.38</v>
          </cell>
          <cell r="E453">
            <v>2661.65</v>
          </cell>
          <cell r="F453">
            <v>3574.89</v>
          </cell>
          <cell r="G453">
            <v>3431.26</v>
          </cell>
          <cell r="H453">
            <v>2464.9499999999998</v>
          </cell>
          <cell r="I453">
            <v>-7400.58</v>
          </cell>
          <cell r="N453">
            <v>203.81</v>
          </cell>
          <cell r="O453">
            <v>3</v>
          </cell>
          <cell r="Q453">
            <v>8724.36</v>
          </cell>
        </row>
        <row r="454">
          <cell r="A454" t="str">
            <v>F87200C</v>
          </cell>
          <cell r="B454" t="str">
            <v>COMPRESSOR STATION LABOR AND EXPENSES</v>
          </cell>
          <cell r="E454">
            <v>1489.94</v>
          </cell>
          <cell r="F454">
            <v>739.2</v>
          </cell>
          <cell r="H454">
            <v>1318.83</v>
          </cell>
          <cell r="I454">
            <v>0</v>
          </cell>
          <cell r="J454">
            <v>1554.7</v>
          </cell>
          <cell r="K454">
            <v>-373.61</v>
          </cell>
          <cell r="L454">
            <v>560.22</v>
          </cell>
          <cell r="M454">
            <v>486.11</v>
          </cell>
          <cell r="N454">
            <v>0</v>
          </cell>
          <cell r="O454">
            <v>-5775.48</v>
          </cell>
          <cell r="Q454">
            <v>-8.9999999999236024E-2</v>
          </cell>
        </row>
        <row r="455">
          <cell r="A455" t="str">
            <v>F87200G</v>
          </cell>
          <cell r="B455" t="str">
            <v>COMPRESSOR STATION LABOR AND EXPENSES</v>
          </cell>
          <cell r="I455">
            <v>0</v>
          </cell>
          <cell r="N455">
            <v>0</v>
          </cell>
          <cell r="O455">
            <v>6366.24</v>
          </cell>
          <cell r="Q455">
            <v>6366.24</v>
          </cell>
        </row>
        <row r="456">
          <cell r="A456" t="str">
            <v>F87300G</v>
          </cell>
          <cell r="B456" t="str">
            <v>COMPRESSOR STATION FUEL AND POWER</v>
          </cell>
          <cell r="I456">
            <v>0</v>
          </cell>
          <cell r="N456">
            <v>0</v>
          </cell>
          <cell r="O456">
            <v>0</v>
          </cell>
          <cell r="Q456">
            <v>0</v>
          </cell>
        </row>
        <row r="457">
          <cell r="A457" t="str">
            <v>F87400G</v>
          </cell>
          <cell r="B457" t="str">
            <v>MAINS AND SERVICES EXPENSES</v>
          </cell>
          <cell r="D457">
            <v>39549.980000000003</v>
          </cell>
          <cell r="E457">
            <v>40856.03</v>
          </cell>
          <cell r="F457">
            <v>30161.32</v>
          </cell>
          <cell r="G457">
            <v>33742</v>
          </cell>
          <cell r="H457">
            <v>38649.370000000003</v>
          </cell>
          <cell r="I457">
            <v>35986.68</v>
          </cell>
          <cell r="J457">
            <v>36217.89</v>
          </cell>
          <cell r="K457">
            <v>103934.01</v>
          </cell>
          <cell r="L457">
            <v>26545.74</v>
          </cell>
          <cell r="M457">
            <v>26223.33</v>
          </cell>
          <cell r="N457">
            <v>34735.39</v>
          </cell>
          <cell r="O457">
            <v>51072.66</v>
          </cell>
          <cell r="Q457">
            <v>497674.4</v>
          </cell>
        </row>
        <row r="458">
          <cell r="A458" t="str">
            <v>F87410G</v>
          </cell>
          <cell r="B458" t="str">
            <v>MAINS AND SERVICES E</v>
          </cell>
          <cell r="D458">
            <v>47985.47</v>
          </cell>
          <cell r="E458">
            <v>41236.51</v>
          </cell>
          <cell r="F458">
            <v>43590.04</v>
          </cell>
          <cell r="G458">
            <v>44707.17</v>
          </cell>
          <cell r="H458">
            <v>56276.73</v>
          </cell>
          <cell r="I458">
            <v>45455.22</v>
          </cell>
          <cell r="J458">
            <v>53215.66</v>
          </cell>
          <cell r="K458">
            <v>53467.54</v>
          </cell>
          <cell r="L458">
            <v>36422.86</v>
          </cell>
          <cell r="M458">
            <v>62816.06</v>
          </cell>
          <cell r="N458">
            <v>41387.599999999999</v>
          </cell>
          <cell r="O458">
            <v>50543.56</v>
          </cell>
          <cell r="Q458">
            <v>577104.41999999993</v>
          </cell>
        </row>
        <row r="459">
          <cell r="A459" t="str">
            <v>F87430G</v>
          </cell>
          <cell r="B459" t="str">
            <v>MAINS AND SERVICES E</v>
          </cell>
          <cell r="D459">
            <v>82505.95</v>
          </cell>
          <cell r="E459">
            <v>97508.14</v>
          </cell>
          <cell r="F459">
            <v>137227.35</v>
          </cell>
          <cell r="G459">
            <v>92520.83</v>
          </cell>
          <cell r="H459">
            <v>125750.59</v>
          </cell>
          <cell r="I459">
            <v>92688.68</v>
          </cell>
          <cell r="J459">
            <v>136092.07</v>
          </cell>
          <cell r="K459">
            <v>97849.99</v>
          </cell>
          <cell r="L459">
            <v>100010.24000000001</v>
          </cell>
          <cell r="M459">
            <v>147424.78</v>
          </cell>
          <cell r="N459">
            <v>96485.25</v>
          </cell>
          <cell r="O459">
            <v>107764.63</v>
          </cell>
          <cell r="Q459">
            <v>1313828.5</v>
          </cell>
        </row>
        <row r="460">
          <cell r="A460" t="str">
            <v>F87440G</v>
          </cell>
          <cell r="B460" t="str">
            <v>MAINS AND SERVICES E</v>
          </cell>
          <cell r="D460">
            <v>42286.94</v>
          </cell>
          <cell r="E460">
            <v>36969.18</v>
          </cell>
          <cell r="F460">
            <v>37037.43</v>
          </cell>
          <cell r="G460">
            <v>28862.86</v>
          </cell>
          <cell r="H460">
            <v>48948.69</v>
          </cell>
          <cell r="I460">
            <v>21846.38</v>
          </cell>
          <cell r="J460">
            <v>36595.64</v>
          </cell>
          <cell r="K460">
            <v>28872.52</v>
          </cell>
          <cell r="L460">
            <v>29714.48</v>
          </cell>
          <cell r="M460">
            <v>40020.17</v>
          </cell>
          <cell r="N460">
            <v>38669.94</v>
          </cell>
          <cell r="O460">
            <v>27542.36</v>
          </cell>
          <cell r="Q460">
            <v>417366.58999999997</v>
          </cell>
        </row>
        <row r="461">
          <cell r="A461" t="str">
            <v>F87450G</v>
          </cell>
          <cell r="B461" t="str">
            <v>MAINS AND SERVICES E</v>
          </cell>
          <cell r="D461">
            <v>3237.65</v>
          </cell>
          <cell r="E461">
            <v>3170.62</v>
          </cell>
          <cell r="F461">
            <v>1290.01</v>
          </cell>
          <cell r="G461">
            <v>2952.03</v>
          </cell>
          <cell r="H461">
            <v>821.57</v>
          </cell>
          <cell r="I461">
            <v>6132.2</v>
          </cell>
          <cell r="J461">
            <v>2110.8200000000002</v>
          </cell>
          <cell r="K461">
            <v>852.28</v>
          </cell>
          <cell r="L461">
            <v>18024.2</v>
          </cell>
          <cell r="M461">
            <v>11328.08</v>
          </cell>
          <cell r="N461">
            <v>1509.47</v>
          </cell>
          <cell r="O461">
            <v>35523.449999999997</v>
          </cell>
          <cell r="Q461">
            <v>86952.38</v>
          </cell>
        </row>
        <row r="462">
          <cell r="A462" t="str">
            <v>F87500G</v>
          </cell>
          <cell r="B462" t="str">
            <v>MEASURING AND REGULATING STATION EXPENSES-GENERAL</v>
          </cell>
          <cell r="D462">
            <v>34164.93</v>
          </cell>
          <cell r="E462">
            <v>39509.31</v>
          </cell>
          <cell r="F462">
            <v>35383.949999999997</v>
          </cell>
          <cell r="G462">
            <v>29788.51</v>
          </cell>
          <cell r="H462">
            <v>33131.269999999997</v>
          </cell>
          <cell r="I462">
            <v>18774.599999999999</v>
          </cell>
          <cell r="J462">
            <v>28358.81</v>
          </cell>
          <cell r="K462">
            <v>37080.769999999997</v>
          </cell>
          <cell r="L462">
            <v>27786.35</v>
          </cell>
          <cell r="M462">
            <v>58896.06</v>
          </cell>
          <cell r="N462">
            <v>27754.99</v>
          </cell>
          <cell r="O462">
            <v>41432.050000000003</v>
          </cell>
          <cell r="Q462">
            <v>412061.59999999992</v>
          </cell>
        </row>
        <row r="463">
          <cell r="A463" t="str">
            <v>F87800G</v>
          </cell>
          <cell r="B463" t="str">
            <v>METER AND HOUSE REGULATOR EXPENSES</v>
          </cell>
          <cell r="D463">
            <v>45604.22</v>
          </cell>
          <cell r="E463">
            <v>83231.520000000004</v>
          </cell>
          <cell r="F463">
            <v>22757.96</v>
          </cell>
          <cell r="G463">
            <v>56545.64</v>
          </cell>
          <cell r="H463">
            <v>81903.199999999997</v>
          </cell>
          <cell r="I463">
            <v>27555.26</v>
          </cell>
          <cell r="J463">
            <v>121079.51</v>
          </cell>
          <cell r="K463">
            <v>66418.86</v>
          </cell>
          <cell r="L463">
            <v>71991.820000000007</v>
          </cell>
          <cell r="M463">
            <v>52430.17</v>
          </cell>
          <cell r="N463">
            <v>86277.31</v>
          </cell>
          <cell r="O463">
            <v>202801.18</v>
          </cell>
          <cell r="Q463">
            <v>918596.64999999991</v>
          </cell>
        </row>
        <row r="464">
          <cell r="A464" t="str">
            <v>F87810G</v>
          </cell>
          <cell r="B464" t="str">
            <v>METER AND HOUSE REGU</v>
          </cell>
          <cell r="D464">
            <v>18899.560000000001</v>
          </cell>
          <cell r="E464">
            <v>13262.12</v>
          </cell>
          <cell r="F464">
            <v>21428.46</v>
          </cell>
          <cell r="G464">
            <v>13842.04</v>
          </cell>
          <cell r="H464">
            <v>16925.5</v>
          </cell>
          <cell r="I464">
            <v>33448.78</v>
          </cell>
          <cell r="J464">
            <v>11381.72</v>
          </cell>
          <cell r="K464">
            <v>11721.41</v>
          </cell>
          <cell r="L464">
            <v>6832.51</v>
          </cell>
          <cell r="M464">
            <v>12494.9</v>
          </cell>
          <cell r="N464">
            <v>11077.48</v>
          </cell>
          <cell r="O464">
            <v>10308.01</v>
          </cell>
          <cell r="Q464">
            <v>181622.49000000002</v>
          </cell>
        </row>
        <row r="465">
          <cell r="A465" t="str">
            <v>F87820G</v>
          </cell>
          <cell r="B465" t="str">
            <v>METER AND HOUSE REGU</v>
          </cell>
          <cell r="D465">
            <v>123451.16</v>
          </cell>
          <cell r="E465">
            <v>117917.02</v>
          </cell>
          <cell r="F465">
            <v>131361.24</v>
          </cell>
          <cell r="G465">
            <v>129976.46</v>
          </cell>
          <cell r="H465">
            <v>185889.78</v>
          </cell>
          <cell r="I465">
            <v>140502.91</v>
          </cell>
          <cell r="J465">
            <v>170264.83</v>
          </cell>
          <cell r="K465">
            <v>165698.79</v>
          </cell>
          <cell r="L465">
            <v>128826.27</v>
          </cell>
          <cell r="M465">
            <v>149924.35</v>
          </cell>
          <cell r="N465">
            <v>114648.11</v>
          </cell>
          <cell r="O465">
            <v>137621.47</v>
          </cell>
          <cell r="Q465">
            <v>1696082.3900000001</v>
          </cell>
        </row>
        <row r="466">
          <cell r="A466" t="str">
            <v>F87830G</v>
          </cell>
          <cell r="B466" t="str">
            <v>METER AND HOUSE REGU</v>
          </cell>
          <cell r="D466">
            <v>2970.57</v>
          </cell>
          <cell r="E466">
            <v>4283.8</v>
          </cell>
          <cell r="F466">
            <v>4095.88</v>
          </cell>
          <cell r="G466">
            <v>2971.56</v>
          </cell>
          <cell r="H466">
            <v>3716.28</v>
          </cell>
          <cell r="I466">
            <v>1772.64</v>
          </cell>
          <cell r="J466">
            <v>2564.6</v>
          </cell>
          <cell r="K466">
            <v>5848.01</v>
          </cell>
          <cell r="L466">
            <v>2276.5300000000002</v>
          </cell>
          <cell r="M466">
            <v>3621.29</v>
          </cell>
          <cell r="N466">
            <v>2814.06</v>
          </cell>
          <cell r="O466">
            <v>1569.89</v>
          </cell>
          <cell r="Q466">
            <v>38505.109999999993</v>
          </cell>
        </row>
        <row r="467">
          <cell r="A467" t="str">
            <v>F87840G</v>
          </cell>
          <cell r="B467" t="str">
            <v>METER AND HOUSE REGU</v>
          </cell>
          <cell r="D467">
            <v>9735.01</v>
          </cell>
          <cell r="E467">
            <v>15916.61</v>
          </cell>
          <cell r="F467">
            <v>13589.69</v>
          </cell>
          <cell r="G467">
            <v>4862.87</v>
          </cell>
          <cell r="H467">
            <v>12344.74</v>
          </cell>
          <cell r="I467">
            <v>5501.3</v>
          </cell>
          <cell r="J467">
            <v>3493.41</v>
          </cell>
          <cell r="K467">
            <v>2708.4</v>
          </cell>
          <cell r="L467">
            <v>4996.93</v>
          </cell>
          <cell r="M467">
            <v>3687.94</v>
          </cell>
          <cell r="N467">
            <v>6951.14</v>
          </cell>
          <cell r="O467">
            <v>5729.51</v>
          </cell>
          <cell r="Q467">
            <v>89517.549999999988</v>
          </cell>
        </row>
        <row r="468">
          <cell r="A468" t="str">
            <v>F87850G</v>
          </cell>
          <cell r="B468" t="str">
            <v>METER AND HOUSE REGU</v>
          </cell>
          <cell r="D468">
            <v>1883.47</v>
          </cell>
          <cell r="E468">
            <v>1873.06</v>
          </cell>
          <cell r="F468">
            <v>2132.5500000000002</v>
          </cell>
          <cell r="G468">
            <v>1569.22</v>
          </cell>
          <cell r="H468">
            <v>2332.21</v>
          </cell>
          <cell r="I468">
            <v>2195.96</v>
          </cell>
          <cell r="J468">
            <v>2795.95</v>
          </cell>
          <cell r="K468">
            <v>2122.71</v>
          </cell>
          <cell r="L468">
            <v>2296.13</v>
          </cell>
          <cell r="M468">
            <v>2603</v>
          </cell>
          <cell r="N468">
            <v>2847.05</v>
          </cell>
          <cell r="O468">
            <v>3543.99</v>
          </cell>
          <cell r="Q468">
            <v>28195.300000000003</v>
          </cell>
        </row>
        <row r="469">
          <cell r="A469" t="str">
            <v>F87860G</v>
          </cell>
          <cell r="B469" t="str">
            <v>METER AND HOUSE REGU</v>
          </cell>
          <cell r="D469">
            <v>3828.43</v>
          </cell>
          <cell r="E469">
            <v>2822.06</v>
          </cell>
          <cell r="F469">
            <v>89.85</v>
          </cell>
          <cell r="G469">
            <v>347.87</v>
          </cell>
          <cell r="H469">
            <v>1749.16</v>
          </cell>
          <cell r="I469">
            <v>109.34</v>
          </cell>
          <cell r="J469">
            <v>665.01</v>
          </cell>
          <cell r="K469">
            <v>366.81</v>
          </cell>
          <cell r="M469">
            <v>332.71</v>
          </cell>
          <cell r="N469">
            <v>171.81</v>
          </cell>
          <cell r="O469">
            <v>979.97</v>
          </cell>
          <cell r="Q469">
            <v>11463.019999999999</v>
          </cell>
        </row>
        <row r="470">
          <cell r="A470" t="str">
            <v>F87900G</v>
          </cell>
          <cell r="B470" t="str">
            <v>CUSTOMER INSTALLATIONS EXPENSES</v>
          </cell>
          <cell r="D470">
            <v>244881.3</v>
          </cell>
          <cell r="E470">
            <v>191890.44</v>
          </cell>
          <cell r="F470">
            <v>195245.72</v>
          </cell>
          <cell r="G470">
            <v>181646.17</v>
          </cell>
          <cell r="H470">
            <v>247876.13</v>
          </cell>
          <cell r="I470">
            <v>177033.76</v>
          </cell>
          <cell r="J470">
            <v>208477.89</v>
          </cell>
          <cell r="K470">
            <v>178331.24</v>
          </cell>
          <cell r="L470">
            <v>202643.01</v>
          </cell>
          <cell r="M470">
            <v>274946.71000000002</v>
          </cell>
          <cell r="N470">
            <v>225139.78</v>
          </cell>
          <cell r="O470">
            <v>367099.88</v>
          </cell>
          <cell r="Q470">
            <v>2695212.03</v>
          </cell>
        </row>
        <row r="471">
          <cell r="A471" t="str">
            <v>F87910G</v>
          </cell>
          <cell r="B471" t="str">
            <v>CUSTOMER INSTALLATIO</v>
          </cell>
          <cell r="D471">
            <v>515759.09</v>
          </cell>
          <cell r="E471">
            <v>376519.88</v>
          </cell>
          <cell r="F471">
            <v>291769.11</v>
          </cell>
          <cell r="G471">
            <v>282106.90000000002</v>
          </cell>
          <cell r="H471">
            <v>399950.33</v>
          </cell>
          <cell r="I471">
            <v>129381.21</v>
          </cell>
          <cell r="J471">
            <v>287625.23</v>
          </cell>
          <cell r="K471">
            <v>237632.6</v>
          </cell>
          <cell r="L471">
            <v>210994.57</v>
          </cell>
          <cell r="M471">
            <v>357061.18</v>
          </cell>
          <cell r="N471">
            <v>369578.7</v>
          </cell>
          <cell r="O471">
            <v>672920.67</v>
          </cell>
          <cell r="Q471">
            <v>4131299.47</v>
          </cell>
        </row>
        <row r="472">
          <cell r="A472" t="str">
            <v>F87920G</v>
          </cell>
          <cell r="B472" t="str">
            <v>CUSTOMER INSTALLATIO</v>
          </cell>
          <cell r="D472">
            <v>10576.72</v>
          </cell>
          <cell r="E472">
            <v>5158.66</v>
          </cell>
          <cell r="F472">
            <v>8626.4599999999991</v>
          </cell>
          <cell r="G472">
            <v>17198.72</v>
          </cell>
          <cell r="H472">
            <v>23308.400000000001</v>
          </cell>
          <cell r="I472">
            <v>21775.85</v>
          </cell>
          <cell r="J472">
            <v>24684</v>
          </cell>
          <cell r="K472">
            <v>27413.45</v>
          </cell>
          <cell r="L472">
            <v>21181.38</v>
          </cell>
          <cell r="M472">
            <v>13513.11</v>
          </cell>
          <cell r="N472">
            <v>7650.52</v>
          </cell>
          <cell r="O472">
            <v>5403.03</v>
          </cell>
          <cell r="Q472">
            <v>186490.3</v>
          </cell>
        </row>
        <row r="473">
          <cell r="A473" t="str">
            <v>F87940G</v>
          </cell>
          <cell r="B473" t="str">
            <v>CUSTOMER INSTALLATIONS EXPENSES</v>
          </cell>
          <cell r="I473">
            <v>-5568.41</v>
          </cell>
          <cell r="N473">
            <v>0</v>
          </cell>
          <cell r="O473">
            <v>0</v>
          </cell>
          <cell r="Q473">
            <v>-5568.41</v>
          </cell>
        </row>
        <row r="474">
          <cell r="A474" t="str">
            <v>F87950G</v>
          </cell>
          <cell r="B474" t="str">
            <v>CUSTOMER INSTALLATIO</v>
          </cell>
          <cell r="D474">
            <v>16721.27</v>
          </cell>
          <cell r="E474">
            <v>7355.06</v>
          </cell>
          <cell r="F474">
            <v>4887.62</v>
          </cell>
          <cell r="G474">
            <v>900.48</v>
          </cell>
          <cell r="H474">
            <v>375.66</v>
          </cell>
          <cell r="I474">
            <v>719.28</v>
          </cell>
          <cell r="J474">
            <v>311.57</v>
          </cell>
          <cell r="K474">
            <v>-600.54999999999995</v>
          </cell>
          <cell r="L474">
            <v>16127.85</v>
          </cell>
          <cell r="M474">
            <v>114547.51</v>
          </cell>
          <cell r="N474">
            <v>200210.11</v>
          </cell>
          <cell r="O474">
            <v>288666.38</v>
          </cell>
          <cell r="Q474">
            <v>650222.24</v>
          </cell>
        </row>
        <row r="475">
          <cell r="A475" t="str">
            <v>F88000G</v>
          </cell>
          <cell r="B475" t="str">
            <v>OTHER EXPENSES</v>
          </cell>
          <cell r="D475">
            <v>120127.2</v>
          </cell>
          <cell r="E475">
            <v>121957.85</v>
          </cell>
          <cell r="F475">
            <v>100746.97</v>
          </cell>
          <cell r="G475">
            <v>90378.29</v>
          </cell>
          <cell r="H475">
            <v>112807.35</v>
          </cell>
          <cell r="I475">
            <v>77194.070000000007</v>
          </cell>
          <cell r="J475">
            <v>103137.36</v>
          </cell>
          <cell r="K475">
            <v>128642.3</v>
          </cell>
          <cell r="L475">
            <v>81802.06</v>
          </cell>
          <cell r="M475">
            <v>138676.64000000001</v>
          </cell>
          <cell r="N475">
            <v>76705.17</v>
          </cell>
          <cell r="O475">
            <v>107805.78</v>
          </cell>
          <cell r="Q475">
            <v>1259981.0399999998</v>
          </cell>
        </row>
        <row r="476">
          <cell r="A476" t="str">
            <v>F88010G</v>
          </cell>
          <cell r="B476" t="str">
            <v>MTGS/TRAINING/ETC</v>
          </cell>
          <cell r="D476">
            <v>50072.2</v>
          </cell>
          <cell r="E476">
            <v>41563.57</v>
          </cell>
          <cell r="F476">
            <v>44000.63</v>
          </cell>
          <cell r="G476">
            <v>32416.62</v>
          </cell>
          <cell r="H476">
            <v>41153.360000000001</v>
          </cell>
          <cell r="I476">
            <v>37021.24</v>
          </cell>
          <cell r="J476">
            <v>72301.789999999994</v>
          </cell>
          <cell r="K476">
            <v>34540.79</v>
          </cell>
          <cell r="L476">
            <v>32056.62</v>
          </cell>
          <cell r="M476">
            <v>39986.769999999997</v>
          </cell>
          <cell r="N476">
            <v>38015.760000000002</v>
          </cell>
          <cell r="O476">
            <v>31186.07</v>
          </cell>
          <cell r="Q476">
            <v>494315.42</v>
          </cell>
        </row>
        <row r="477">
          <cell r="A477" t="str">
            <v>F88030G</v>
          </cell>
          <cell r="B477" t="str">
            <v>DISPATH OFFICE</v>
          </cell>
          <cell r="D477">
            <v>10488.93</v>
          </cell>
          <cell r="E477">
            <v>17928.419999999998</v>
          </cell>
          <cell r="F477">
            <v>7866.79</v>
          </cell>
          <cell r="G477">
            <v>3150.92</v>
          </cell>
          <cell r="H477">
            <v>4464.93</v>
          </cell>
          <cell r="I477">
            <v>1790.36</v>
          </cell>
          <cell r="J477">
            <v>2603.06</v>
          </cell>
          <cell r="K477">
            <v>7905.09</v>
          </cell>
          <cell r="L477">
            <v>7600.51</v>
          </cell>
          <cell r="M477">
            <v>3539.77</v>
          </cell>
          <cell r="N477">
            <v>10065.620000000001</v>
          </cell>
          <cell r="O477">
            <v>10406.450000000001</v>
          </cell>
          <cell r="Q477">
            <v>87810.849999999991</v>
          </cell>
        </row>
        <row r="478">
          <cell r="A478" t="str">
            <v>F88040G</v>
          </cell>
          <cell r="B478" t="str">
            <v>TECH OFFICE/DOCS /MISC. OPER. EXP.</v>
          </cell>
          <cell r="D478">
            <v>5349.93</v>
          </cell>
          <cell r="E478">
            <v>13620.5</v>
          </cell>
          <cell r="F478">
            <v>2461.59</v>
          </cell>
          <cell r="G478">
            <v>1124.31</v>
          </cell>
          <cell r="H478">
            <v>2677.46</v>
          </cell>
          <cell r="I478">
            <v>3458.64</v>
          </cell>
          <cell r="J478">
            <v>2017.23</v>
          </cell>
          <cell r="K478">
            <v>7934.19</v>
          </cell>
          <cell r="L478">
            <v>554.46</v>
          </cell>
          <cell r="M478">
            <v>3513.72</v>
          </cell>
          <cell r="N478">
            <v>15037.07</v>
          </cell>
          <cell r="O478">
            <v>429.85</v>
          </cell>
          <cell r="Q478">
            <v>58178.95</v>
          </cell>
        </row>
        <row r="479">
          <cell r="A479" t="str">
            <v>F88100G</v>
          </cell>
          <cell r="B479" t="str">
            <v>RENTS</v>
          </cell>
          <cell r="D479">
            <v>100</v>
          </cell>
          <cell r="E479">
            <v>25</v>
          </cell>
          <cell r="F479">
            <v>906</v>
          </cell>
          <cell r="G479">
            <v>400</v>
          </cell>
          <cell r="I479">
            <v>0</v>
          </cell>
          <cell r="J479">
            <v>1444</v>
          </cell>
          <cell r="M479">
            <v>600</v>
          </cell>
          <cell r="N479">
            <v>0</v>
          </cell>
          <cell r="O479">
            <v>0</v>
          </cell>
          <cell r="Q479">
            <v>3475</v>
          </cell>
        </row>
        <row r="480">
          <cell r="A480" t="str">
            <v>F88500G</v>
          </cell>
          <cell r="B480" t="str">
            <v>MAINTENANCE SUPERVISION AND ENGINEERING</v>
          </cell>
          <cell r="I480">
            <v>0</v>
          </cell>
          <cell r="N480">
            <v>0</v>
          </cell>
          <cell r="O480">
            <v>746.47</v>
          </cell>
          <cell r="Q480">
            <v>746.47</v>
          </cell>
        </row>
        <row r="481">
          <cell r="A481" t="str">
            <v>F88510G</v>
          </cell>
          <cell r="B481" t="str">
            <v>MAINT SUPERVISION AN</v>
          </cell>
          <cell r="D481">
            <v>2455.9</v>
          </cell>
          <cell r="E481">
            <v>2230.9</v>
          </cell>
          <cell r="F481">
            <v>2592.39</v>
          </cell>
          <cell r="G481">
            <v>2484.44</v>
          </cell>
          <cell r="H481">
            <v>3518.65</v>
          </cell>
          <cell r="I481">
            <v>2473.62</v>
          </cell>
          <cell r="J481">
            <v>2693.28</v>
          </cell>
          <cell r="K481">
            <v>2565.04</v>
          </cell>
          <cell r="L481">
            <v>2658.75</v>
          </cell>
          <cell r="M481">
            <v>3885.76</v>
          </cell>
          <cell r="N481">
            <v>2550.04</v>
          </cell>
          <cell r="O481">
            <v>3464.03</v>
          </cell>
          <cell r="Q481">
            <v>33572.800000000003</v>
          </cell>
        </row>
        <row r="482">
          <cell r="A482" t="str">
            <v>F88520G</v>
          </cell>
          <cell r="B482" t="str">
            <v>MAINT SUPERVISION AN</v>
          </cell>
          <cell r="D482">
            <v>2508.96</v>
          </cell>
          <cell r="E482">
            <v>2234.79</v>
          </cell>
          <cell r="F482">
            <v>2076.11</v>
          </cell>
          <cell r="G482">
            <v>2232.69</v>
          </cell>
          <cell r="H482">
            <v>2750.8</v>
          </cell>
          <cell r="I482">
            <v>1927.45</v>
          </cell>
          <cell r="J482">
            <v>2500.6799999999998</v>
          </cell>
          <cell r="K482">
            <v>2036.88</v>
          </cell>
          <cell r="L482">
            <v>2186.35</v>
          </cell>
          <cell r="M482">
            <v>2822.24</v>
          </cell>
          <cell r="N482">
            <v>2443.36</v>
          </cell>
          <cell r="O482">
            <v>2897.18</v>
          </cell>
          <cell r="Q482">
            <v>28617.490000000005</v>
          </cell>
        </row>
        <row r="483">
          <cell r="A483" t="str">
            <v>F88600G</v>
          </cell>
          <cell r="B483" t="str">
            <v>MAINTENANCE OF STRUCTURES AND IMPROVEME</v>
          </cell>
          <cell r="I483">
            <v>0</v>
          </cell>
          <cell r="N483">
            <v>0</v>
          </cell>
          <cell r="O483">
            <v>0</v>
          </cell>
          <cell r="Q483">
            <v>0</v>
          </cell>
        </row>
        <row r="484">
          <cell r="A484" t="str">
            <v>F88700G</v>
          </cell>
          <cell r="B484" t="str">
            <v>MAINTENANCE OF MAINS</v>
          </cell>
          <cell r="D484">
            <v>162681.87</v>
          </cell>
          <cell r="E484">
            <v>3206.09</v>
          </cell>
          <cell r="F484">
            <v>44024.38</v>
          </cell>
          <cell r="G484">
            <v>20766.509999999998</v>
          </cell>
          <cell r="H484">
            <v>43881.31</v>
          </cell>
          <cell r="I484">
            <v>16420.3</v>
          </cell>
          <cell r="J484">
            <v>45101.57</v>
          </cell>
          <cell r="K484">
            <v>-13216.26</v>
          </cell>
          <cell r="L484">
            <v>16748.84</v>
          </cell>
          <cell r="M484">
            <v>34258.69</v>
          </cell>
          <cell r="N484">
            <v>66127.25</v>
          </cell>
          <cell r="O484">
            <v>26091.48</v>
          </cell>
          <cell r="Q484">
            <v>466092.03</v>
          </cell>
        </row>
        <row r="485">
          <cell r="A485" t="str">
            <v>F88710G</v>
          </cell>
          <cell r="B485" t="str">
            <v>CPM IMPRESSED CURRENT</v>
          </cell>
          <cell r="D485">
            <v>15030.8</v>
          </cell>
          <cell r="E485">
            <v>31467.49</v>
          </cell>
          <cell r="F485">
            <v>17905.150000000001</v>
          </cell>
          <cell r="G485">
            <v>14374.95</v>
          </cell>
          <cell r="H485">
            <v>30981.24</v>
          </cell>
          <cell r="I485">
            <v>12147.43</v>
          </cell>
          <cell r="J485">
            <v>15172.44</v>
          </cell>
          <cell r="K485">
            <v>24980.36</v>
          </cell>
          <cell r="L485">
            <v>20554.75</v>
          </cell>
          <cell r="M485">
            <v>27719.17</v>
          </cell>
          <cell r="N485">
            <v>15872.83</v>
          </cell>
          <cell r="O485">
            <v>16912.28</v>
          </cell>
          <cell r="Q485">
            <v>243118.88999999996</v>
          </cell>
        </row>
        <row r="486">
          <cell r="A486" t="str">
            <v>F88720G</v>
          </cell>
          <cell r="B486" t="str">
            <v>CPM MAGNESUIM</v>
          </cell>
          <cell r="D486">
            <v>22259.8</v>
          </cell>
          <cell r="E486">
            <v>35521.15</v>
          </cell>
          <cell r="F486">
            <v>32762.07</v>
          </cell>
          <cell r="G486">
            <v>32086.26</v>
          </cell>
          <cell r="H486">
            <v>25376.97</v>
          </cell>
          <cell r="I486">
            <v>51957.38</v>
          </cell>
          <cell r="J486">
            <v>30957.62</v>
          </cell>
          <cell r="K486">
            <v>26679.73</v>
          </cell>
          <cell r="L486">
            <v>20489.04</v>
          </cell>
          <cell r="M486">
            <v>52590.41</v>
          </cell>
          <cell r="N486">
            <v>22204.86</v>
          </cell>
          <cell r="O486">
            <v>13415.37</v>
          </cell>
          <cell r="Q486">
            <v>366300.66000000003</v>
          </cell>
        </row>
        <row r="487">
          <cell r="A487" t="str">
            <v>F88730G</v>
          </cell>
          <cell r="B487" t="str">
            <v>CPM 10% CP INSPECTION</v>
          </cell>
          <cell r="D487">
            <v>70250.539999999994</v>
          </cell>
          <cell r="E487">
            <v>55153.16</v>
          </cell>
          <cell r="F487">
            <v>56890.81</v>
          </cell>
          <cell r="G487">
            <v>54265.45</v>
          </cell>
          <cell r="H487">
            <v>68029.48</v>
          </cell>
          <cell r="I487">
            <v>54177.37</v>
          </cell>
          <cell r="J487">
            <v>54414.49</v>
          </cell>
          <cell r="K487">
            <v>67320.460000000006</v>
          </cell>
          <cell r="L487">
            <v>35888.82</v>
          </cell>
          <cell r="M487">
            <v>59666.13</v>
          </cell>
          <cell r="N487">
            <v>54486.76</v>
          </cell>
          <cell r="O487">
            <v>58851.35</v>
          </cell>
          <cell r="Q487">
            <v>689394.82</v>
          </cell>
        </row>
        <row r="488">
          <cell r="A488" t="str">
            <v>F88740G</v>
          </cell>
          <cell r="B488" t="str">
            <v>MAINT OF MAINS</v>
          </cell>
          <cell r="D488">
            <v>19898.349999999999</v>
          </cell>
          <cell r="E488">
            <v>16207.42</v>
          </cell>
          <cell r="F488">
            <v>13683.99</v>
          </cell>
          <cell r="G488">
            <v>14306.22</v>
          </cell>
          <cell r="H488">
            <v>32489.24</v>
          </cell>
          <cell r="I488">
            <v>29288.43</v>
          </cell>
          <cell r="J488">
            <v>21914.81</v>
          </cell>
          <cell r="K488">
            <v>65517.27</v>
          </cell>
          <cell r="L488">
            <v>-24294.61</v>
          </cell>
          <cell r="M488">
            <v>19485.98</v>
          </cell>
          <cell r="N488">
            <v>14126.15</v>
          </cell>
          <cell r="O488">
            <v>16140.39</v>
          </cell>
          <cell r="Q488">
            <v>238763.64</v>
          </cell>
        </row>
        <row r="489">
          <cell r="A489" t="str">
            <v>F88750G</v>
          </cell>
          <cell r="B489" t="str">
            <v>MAINTENANCE OF MAINS</v>
          </cell>
          <cell r="E489">
            <v>84.11</v>
          </cell>
          <cell r="I489">
            <v>0</v>
          </cell>
          <cell r="N489">
            <v>0</v>
          </cell>
          <cell r="O489">
            <v>746.74</v>
          </cell>
          <cell r="Q489">
            <v>830.85</v>
          </cell>
        </row>
        <row r="490">
          <cell r="A490" t="str">
            <v>F88760G</v>
          </cell>
          <cell r="B490" t="str">
            <v>MAINT OF MAINS</v>
          </cell>
          <cell r="I490">
            <v>0</v>
          </cell>
          <cell r="N490">
            <v>0</v>
          </cell>
          <cell r="O490">
            <v>0</v>
          </cell>
          <cell r="Q490">
            <v>0</v>
          </cell>
        </row>
        <row r="491">
          <cell r="A491" t="str">
            <v>F88900G</v>
          </cell>
          <cell r="B491" t="str">
            <v>MAINTENANCE OF MEAS. AND REG. STA. EQUIP.-GENERAL</v>
          </cell>
          <cell r="D491">
            <v>1521.44</v>
          </cell>
          <cell r="E491">
            <v>6855.56</v>
          </cell>
          <cell r="F491">
            <v>3329.81</v>
          </cell>
          <cell r="G491">
            <v>957.81</v>
          </cell>
          <cell r="H491">
            <v>8321.85</v>
          </cell>
          <cell r="I491">
            <v>5138.0200000000004</v>
          </cell>
          <cell r="J491">
            <v>1589.26</v>
          </cell>
          <cell r="K491">
            <v>3406.44</v>
          </cell>
          <cell r="L491">
            <v>2773.96</v>
          </cell>
          <cell r="M491">
            <v>11537.25</v>
          </cell>
          <cell r="N491">
            <v>2942.73</v>
          </cell>
          <cell r="O491">
            <v>1529.67</v>
          </cell>
          <cell r="Q491">
            <v>49903.8</v>
          </cell>
        </row>
        <row r="492">
          <cell r="A492" t="str">
            <v>F89200G</v>
          </cell>
          <cell r="B492" t="str">
            <v>MAINTENANCE OF SERVICES</v>
          </cell>
          <cell r="D492">
            <v>111211.53</v>
          </cell>
          <cell r="E492">
            <v>22317</v>
          </cell>
          <cell r="F492">
            <v>38579.910000000003</v>
          </cell>
          <cell r="G492">
            <v>23245.759999999998</v>
          </cell>
          <cell r="H492">
            <v>38419.46</v>
          </cell>
          <cell r="I492">
            <v>17527.689999999999</v>
          </cell>
          <cell r="J492">
            <v>43177.43</v>
          </cell>
          <cell r="K492">
            <v>20399.05</v>
          </cell>
          <cell r="L492">
            <v>23194.67</v>
          </cell>
          <cell r="M492">
            <v>44188.87</v>
          </cell>
          <cell r="N492">
            <v>37165.61</v>
          </cell>
          <cell r="O492">
            <v>32897.39</v>
          </cell>
          <cell r="Q492">
            <v>452324.37</v>
          </cell>
        </row>
        <row r="493">
          <cell r="A493" t="str">
            <v>F89210G</v>
          </cell>
          <cell r="B493" t="str">
            <v>MAINT OF SERVICES</v>
          </cell>
          <cell r="D493">
            <v>3735.31</v>
          </cell>
          <cell r="E493">
            <v>2352.6799999999998</v>
          </cell>
          <cell r="F493">
            <v>2895.87</v>
          </cell>
          <cell r="G493">
            <v>3494.98</v>
          </cell>
          <cell r="H493">
            <v>5426.75</v>
          </cell>
          <cell r="I493">
            <v>5158.95</v>
          </cell>
          <cell r="J493">
            <v>5617.84</v>
          </cell>
          <cell r="K493">
            <v>2610.1</v>
          </cell>
          <cell r="L493">
            <v>2767.8</v>
          </cell>
          <cell r="M493">
            <v>3837.59</v>
          </cell>
          <cell r="N493">
            <v>2468.92</v>
          </cell>
          <cell r="O493">
            <v>1725.96</v>
          </cell>
          <cell r="Q493">
            <v>42092.749999999993</v>
          </cell>
        </row>
        <row r="494">
          <cell r="A494" t="str">
            <v>F89220G</v>
          </cell>
          <cell r="B494" t="str">
            <v>MAINT OF SERVICES</v>
          </cell>
          <cell r="D494">
            <v>1364.67</v>
          </cell>
          <cell r="E494">
            <v>1058.1600000000001</v>
          </cell>
          <cell r="F494">
            <v>734.91</v>
          </cell>
          <cell r="G494">
            <v>277.92</v>
          </cell>
          <cell r="H494">
            <v>1084.08</v>
          </cell>
          <cell r="I494">
            <v>1997.66</v>
          </cell>
          <cell r="J494">
            <v>585.66999999999996</v>
          </cell>
          <cell r="K494">
            <v>147.09</v>
          </cell>
          <cell r="L494">
            <v>290</v>
          </cell>
          <cell r="M494">
            <v>1740.4</v>
          </cell>
          <cell r="N494">
            <v>67.69</v>
          </cell>
          <cell r="O494">
            <v>1799.91</v>
          </cell>
          <cell r="Q494">
            <v>11148.16</v>
          </cell>
        </row>
        <row r="495">
          <cell r="A495" t="str">
            <v>F89230G</v>
          </cell>
          <cell r="B495" t="str">
            <v>MAINT OF SERVICES</v>
          </cell>
          <cell r="D495">
            <v>9011.9</v>
          </cell>
          <cell r="E495">
            <v>3867.61</v>
          </cell>
          <cell r="F495">
            <v>2698.58</v>
          </cell>
          <cell r="G495">
            <v>1578.92</v>
          </cell>
          <cell r="H495">
            <v>2889.55</v>
          </cell>
          <cell r="I495">
            <v>3624.15</v>
          </cell>
          <cell r="J495">
            <v>3095.82</v>
          </cell>
          <cell r="K495">
            <v>3079.32</v>
          </cell>
          <cell r="L495">
            <v>4078.65</v>
          </cell>
          <cell r="M495">
            <v>2476.29</v>
          </cell>
          <cell r="N495">
            <v>2838.76</v>
          </cell>
          <cell r="O495">
            <v>4940.2</v>
          </cell>
          <cell r="Q495">
            <v>44179.75</v>
          </cell>
        </row>
        <row r="496">
          <cell r="A496" t="str">
            <v>F89300G</v>
          </cell>
          <cell r="B496" t="str">
            <v>MAINTENANCE OF METERS AND HOUSE REGULATORS</v>
          </cell>
          <cell r="D496">
            <v>12973.12</v>
          </cell>
          <cell r="E496">
            <v>9568.51</v>
          </cell>
          <cell r="F496">
            <v>14640.58</v>
          </cell>
          <cell r="G496">
            <v>20393.77</v>
          </cell>
          <cell r="H496">
            <v>25278.45</v>
          </cell>
          <cell r="I496">
            <v>26071.29</v>
          </cell>
          <cell r="J496">
            <v>1135.3499999999999</v>
          </cell>
          <cell r="K496">
            <v>38397.68</v>
          </cell>
          <cell r="L496">
            <v>10852.27</v>
          </cell>
          <cell r="M496">
            <v>594.73</v>
          </cell>
          <cell r="N496">
            <v>13337.31</v>
          </cell>
          <cell r="O496">
            <v>17156.939999999999</v>
          </cell>
          <cell r="Q496">
            <v>190400</v>
          </cell>
        </row>
        <row r="497">
          <cell r="A497" t="str">
            <v>F89310G</v>
          </cell>
          <cell r="B497" t="str">
            <v>MAINT OF METERS AND</v>
          </cell>
          <cell r="D497">
            <v>9515.2800000000007</v>
          </cell>
          <cell r="E497">
            <v>4963.45</v>
          </cell>
          <cell r="F497">
            <v>18477.62</v>
          </cell>
          <cell r="G497">
            <v>17849.46</v>
          </cell>
          <cell r="H497">
            <v>23930.04</v>
          </cell>
          <cell r="I497">
            <v>13057.91</v>
          </cell>
          <cell r="J497">
            <v>13577.14</v>
          </cell>
          <cell r="K497">
            <v>10986.19</v>
          </cell>
          <cell r="L497">
            <v>7264.9</v>
          </cell>
          <cell r="M497">
            <v>14775.78</v>
          </cell>
          <cell r="N497">
            <v>10108.51</v>
          </cell>
          <cell r="O497">
            <v>7376.63</v>
          </cell>
          <cell r="Q497">
            <v>151882.91000000003</v>
          </cell>
        </row>
        <row r="498">
          <cell r="A498" t="str">
            <v>F89320G</v>
          </cell>
          <cell r="B498" t="str">
            <v>MAINT OF METERS AND</v>
          </cell>
          <cell r="D498">
            <v>40823.440000000002</v>
          </cell>
          <cell r="E498">
            <v>29631.98</v>
          </cell>
          <cell r="F498">
            <v>32953.83</v>
          </cell>
          <cell r="G498">
            <v>30890.33</v>
          </cell>
          <cell r="H498">
            <v>42082.8</v>
          </cell>
          <cell r="I498">
            <v>32847.449999999997</v>
          </cell>
          <cell r="J498">
            <v>33057.03</v>
          </cell>
          <cell r="K498">
            <v>42596.59</v>
          </cell>
          <cell r="L498">
            <v>26815</v>
          </cell>
          <cell r="M498">
            <v>32642.87</v>
          </cell>
          <cell r="N498">
            <v>31187.03</v>
          </cell>
          <cell r="O498">
            <v>29390.49</v>
          </cell>
          <cell r="Q498">
            <v>404918.83999999997</v>
          </cell>
        </row>
        <row r="499">
          <cell r="A499" t="str">
            <v>F89400G</v>
          </cell>
          <cell r="B499" t="str">
            <v>MAINTENANCE OF OTHER EQUIPMENT</v>
          </cell>
          <cell r="D499">
            <v>58034.85</v>
          </cell>
          <cell r="E499">
            <v>47528.91</v>
          </cell>
          <cell r="F499">
            <v>47213.95</v>
          </cell>
          <cell r="G499">
            <v>52065.61</v>
          </cell>
          <cell r="H499">
            <v>60675.12</v>
          </cell>
          <cell r="I499">
            <v>49525.88</v>
          </cell>
          <cell r="J499">
            <v>45068.79</v>
          </cell>
          <cell r="K499">
            <v>42248.01</v>
          </cell>
          <cell r="L499">
            <v>50580.24</v>
          </cell>
          <cell r="M499">
            <v>72937.679999999993</v>
          </cell>
          <cell r="N499">
            <v>69061.570000000007</v>
          </cell>
          <cell r="O499">
            <v>51049.64</v>
          </cell>
          <cell r="Q499">
            <v>645990.25000000012</v>
          </cell>
        </row>
        <row r="500">
          <cell r="A500" t="str">
            <v>F90100E</v>
          </cell>
          <cell r="B500" t="str">
            <v>SUPERVISION</v>
          </cell>
          <cell r="H500">
            <v>37.909999999999997</v>
          </cell>
          <cell r="I500">
            <v>0</v>
          </cell>
          <cell r="N500">
            <v>0</v>
          </cell>
          <cell r="O500">
            <v>0</v>
          </cell>
          <cell r="Q500">
            <v>37.909999999999997</v>
          </cell>
        </row>
        <row r="501">
          <cell r="A501" t="str">
            <v>F90100G</v>
          </cell>
          <cell r="B501" t="str">
            <v>SUPERVISION</v>
          </cell>
          <cell r="D501">
            <v>603.92999999999995</v>
          </cell>
          <cell r="H501">
            <v>20.65</v>
          </cell>
          <cell r="I501">
            <v>0</v>
          </cell>
          <cell r="N501">
            <v>0</v>
          </cell>
          <cell r="O501">
            <v>0</v>
          </cell>
          <cell r="Q501">
            <v>624.57999999999993</v>
          </cell>
        </row>
        <row r="502">
          <cell r="A502" t="str">
            <v>F90200E</v>
          </cell>
          <cell r="B502" t="str">
            <v>METER READING EXPENSES</v>
          </cell>
          <cell r="D502">
            <v>396261.34</v>
          </cell>
          <cell r="E502">
            <v>338766.12</v>
          </cell>
          <cell r="F502">
            <v>396153.7</v>
          </cell>
          <cell r="G502">
            <v>493378.99</v>
          </cell>
          <cell r="H502">
            <v>462818.15</v>
          </cell>
          <cell r="I502">
            <v>343387.01</v>
          </cell>
          <cell r="J502">
            <v>509441.48</v>
          </cell>
          <cell r="K502">
            <v>447917.02</v>
          </cell>
          <cell r="L502">
            <v>405821.21</v>
          </cell>
          <cell r="M502">
            <v>526888.64</v>
          </cell>
          <cell r="N502">
            <v>369602.59</v>
          </cell>
          <cell r="O502">
            <v>529953.92000000004</v>
          </cell>
          <cell r="Q502">
            <v>5220390.169999999</v>
          </cell>
        </row>
        <row r="503">
          <cell r="A503" t="str">
            <v>F90200G</v>
          </cell>
          <cell r="B503" t="str">
            <v>METER READING EXPENSES</v>
          </cell>
          <cell r="D503">
            <v>216439.36</v>
          </cell>
          <cell r="E503">
            <v>187034.41</v>
          </cell>
          <cell r="F503">
            <v>215308.68</v>
          </cell>
          <cell r="G503">
            <v>269075.09000000003</v>
          </cell>
          <cell r="H503">
            <v>252679.17</v>
          </cell>
          <cell r="I503">
            <v>186988.91</v>
          </cell>
          <cell r="J503">
            <v>278152.36</v>
          </cell>
          <cell r="K503">
            <v>244576.99</v>
          </cell>
          <cell r="L503">
            <v>221503.44</v>
          </cell>
          <cell r="M503">
            <v>287399.48</v>
          </cell>
          <cell r="N503">
            <v>208908.55</v>
          </cell>
          <cell r="O503">
            <v>289327.78999999998</v>
          </cell>
          <cell r="Q503">
            <v>2857394.2299999995</v>
          </cell>
        </row>
        <row r="504">
          <cell r="A504" t="str">
            <v>F90210E</v>
          </cell>
          <cell r="B504" t="str">
            <v>METER READING EXPENSES</v>
          </cell>
          <cell r="G504">
            <v>77.16</v>
          </cell>
          <cell r="H504">
            <v>232.22</v>
          </cell>
          <cell r="I504">
            <v>0</v>
          </cell>
          <cell r="J504">
            <v>380.3</v>
          </cell>
          <cell r="N504">
            <v>20.93</v>
          </cell>
          <cell r="O504">
            <v>52.01</v>
          </cell>
          <cell r="Q504">
            <v>762.62</v>
          </cell>
        </row>
        <row r="505">
          <cell r="A505" t="str">
            <v>F90210G</v>
          </cell>
          <cell r="B505" t="str">
            <v>METER READING EXPENSES</v>
          </cell>
          <cell r="G505">
            <v>42.12</v>
          </cell>
          <cell r="H505">
            <v>126.78</v>
          </cell>
          <cell r="I505">
            <v>0</v>
          </cell>
          <cell r="J505">
            <v>207.62</v>
          </cell>
          <cell r="N505">
            <v>11.43</v>
          </cell>
          <cell r="O505">
            <v>28.39</v>
          </cell>
          <cell r="Q505">
            <v>416.34</v>
          </cell>
        </row>
        <row r="506">
          <cell r="A506" t="str">
            <v>F90300E</v>
          </cell>
          <cell r="B506" t="str">
            <v>CUSTOMER RECORDS AND COLLECTION EXPENSES</v>
          </cell>
          <cell r="D506">
            <v>592614.94999999995</v>
          </cell>
          <cell r="E506">
            <v>601421.53</v>
          </cell>
          <cell r="F506">
            <v>716416.58</v>
          </cell>
          <cell r="G506">
            <v>699354.65</v>
          </cell>
          <cell r="H506">
            <v>896109.64</v>
          </cell>
          <cell r="I506">
            <v>823354.83</v>
          </cell>
          <cell r="J506">
            <v>697757.81</v>
          </cell>
          <cell r="K506">
            <v>760371.89</v>
          </cell>
          <cell r="L506">
            <v>685576.51</v>
          </cell>
          <cell r="M506">
            <v>650763.18000000005</v>
          </cell>
          <cell r="N506">
            <v>736387.07</v>
          </cell>
          <cell r="O506">
            <v>1044886.35</v>
          </cell>
          <cell r="Q506">
            <v>8905014.9900000002</v>
          </cell>
        </row>
        <row r="507">
          <cell r="A507" t="str">
            <v>F90300G</v>
          </cell>
          <cell r="B507" t="str">
            <v>CUSTOMER RECORDS AND COLLECTION EXPENSES</v>
          </cell>
          <cell r="D507">
            <v>260460.27</v>
          </cell>
          <cell r="E507">
            <v>280066.78999999998</v>
          </cell>
          <cell r="F507">
            <v>339086.51</v>
          </cell>
          <cell r="G507">
            <v>281450.42</v>
          </cell>
          <cell r="H507">
            <v>423160</v>
          </cell>
          <cell r="I507">
            <v>392799.69</v>
          </cell>
          <cell r="J507">
            <v>311197.15999999997</v>
          </cell>
          <cell r="K507">
            <v>357567.3</v>
          </cell>
          <cell r="L507">
            <v>273553.28000000003</v>
          </cell>
          <cell r="M507">
            <v>374936.84</v>
          </cell>
          <cell r="N507">
            <v>350935.22</v>
          </cell>
          <cell r="O507">
            <v>507034.29</v>
          </cell>
          <cell r="Q507">
            <v>4152247.7699999996</v>
          </cell>
        </row>
        <row r="508">
          <cell r="A508" t="str">
            <v>F90310E</v>
          </cell>
          <cell r="B508" t="str">
            <v>CUSTOMER RECORDS AND</v>
          </cell>
          <cell r="D508">
            <v>921051.75</v>
          </cell>
          <cell r="E508">
            <v>888844.34</v>
          </cell>
          <cell r="F508">
            <v>915642.09</v>
          </cell>
          <cell r="G508">
            <v>873958.84</v>
          </cell>
          <cell r="H508">
            <v>1162177.3700000001</v>
          </cell>
          <cell r="I508">
            <v>972740.59</v>
          </cell>
          <cell r="J508">
            <v>1135506.42</v>
          </cell>
          <cell r="K508">
            <v>1022703.19</v>
          </cell>
          <cell r="L508">
            <v>945466.99</v>
          </cell>
          <cell r="M508">
            <v>1228659.97</v>
          </cell>
          <cell r="N508">
            <v>1129320.28</v>
          </cell>
          <cell r="O508">
            <v>1337041.71</v>
          </cell>
          <cell r="Q508">
            <v>12533113.539999999</v>
          </cell>
        </row>
        <row r="509">
          <cell r="A509" t="str">
            <v>F90310G</v>
          </cell>
          <cell r="B509" t="str">
            <v>CUSTOMER RECORDS AND</v>
          </cell>
          <cell r="D509">
            <v>496436.32</v>
          </cell>
          <cell r="E509">
            <v>479050.19</v>
          </cell>
          <cell r="F509">
            <v>494198.17</v>
          </cell>
          <cell r="G509">
            <v>478609.81</v>
          </cell>
          <cell r="H509">
            <v>639356.65</v>
          </cell>
          <cell r="I509">
            <v>510045.33</v>
          </cell>
          <cell r="J509">
            <v>619453.65</v>
          </cell>
          <cell r="K509">
            <v>557006.02</v>
          </cell>
          <cell r="L509">
            <v>514959.94</v>
          </cell>
          <cell r="M509">
            <v>669187.63</v>
          </cell>
          <cell r="N509">
            <v>615132.13</v>
          </cell>
          <cell r="O509">
            <v>728237.18</v>
          </cell>
          <cell r="Q509">
            <v>6801673.0200000005</v>
          </cell>
        </row>
        <row r="510">
          <cell r="A510" t="str">
            <v>F90320E</v>
          </cell>
          <cell r="B510" t="str">
            <v>CUSTOMER RECORDS AND</v>
          </cell>
          <cell r="D510">
            <v>5573.31</v>
          </cell>
          <cell r="E510">
            <v>6781.7</v>
          </cell>
          <cell r="F510">
            <v>6190.98</v>
          </cell>
          <cell r="G510">
            <v>5748.95</v>
          </cell>
          <cell r="H510">
            <v>7807.25</v>
          </cell>
          <cell r="I510">
            <v>6080.81</v>
          </cell>
          <cell r="J510">
            <v>7535.65</v>
          </cell>
          <cell r="K510">
            <v>4829.83</v>
          </cell>
          <cell r="L510">
            <v>6384.75</v>
          </cell>
          <cell r="M510">
            <v>8453.69</v>
          </cell>
          <cell r="N510">
            <v>7284.2</v>
          </cell>
          <cell r="O510">
            <v>6809.99</v>
          </cell>
          <cell r="Q510">
            <v>79481.110000000015</v>
          </cell>
        </row>
        <row r="511">
          <cell r="A511" t="str">
            <v>F90320G</v>
          </cell>
          <cell r="B511" t="str">
            <v>CUSTOMER RECORDS AND</v>
          </cell>
          <cell r="D511">
            <v>3057.92</v>
          </cell>
          <cell r="E511">
            <v>3701.89</v>
          </cell>
          <cell r="F511">
            <v>3382.13</v>
          </cell>
          <cell r="G511">
            <v>3139.2</v>
          </cell>
          <cell r="H511">
            <v>4264.3999999999996</v>
          </cell>
          <cell r="I511">
            <v>3316.71</v>
          </cell>
          <cell r="J511">
            <v>4115.1499999999996</v>
          </cell>
          <cell r="K511">
            <v>2639.86</v>
          </cell>
          <cell r="L511">
            <v>3483.4</v>
          </cell>
          <cell r="M511">
            <v>4626.58</v>
          </cell>
          <cell r="N511">
            <v>3981.25</v>
          </cell>
          <cell r="O511">
            <v>3697.02</v>
          </cell>
          <cell r="Q511">
            <v>43405.51</v>
          </cell>
        </row>
        <row r="512">
          <cell r="A512" t="str">
            <v>F90330E</v>
          </cell>
          <cell r="B512" t="str">
            <v>CUSTOMER RECORDS AND</v>
          </cell>
          <cell r="D512">
            <v>133184.29999999999</v>
          </cell>
          <cell r="E512">
            <v>158851.28</v>
          </cell>
          <cell r="F512">
            <v>144312.34</v>
          </cell>
          <cell r="G512">
            <v>205993.2</v>
          </cell>
          <cell r="H512">
            <v>185997.78</v>
          </cell>
          <cell r="I512">
            <v>168081.28</v>
          </cell>
          <cell r="J512">
            <v>179034.48</v>
          </cell>
          <cell r="K512">
            <v>200018.78</v>
          </cell>
          <cell r="L512">
            <v>137947.01</v>
          </cell>
          <cell r="M512">
            <v>185800.47</v>
          </cell>
          <cell r="N512">
            <v>162178.66</v>
          </cell>
          <cell r="O512">
            <v>185356.98</v>
          </cell>
          <cell r="Q512">
            <v>2046756.5599999998</v>
          </cell>
        </row>
        <row r="513">
          <cell r="A513" t="str">
            <v>F90330G</v>
          </cell>
          <cell r="B513" t="str">
            <v>CUSTOMER RECORDS AND</v>
          </cell>
          <cell r="D513">
            <v>72680.039999999994</v>
          </cell>
          <cell r="E513">
            <v>86722.04</v>
          </cell>
          <cell r="F513">
            <v>78787.850000000006</v>
          </cell>
          <cell r="G513">
            <v>112449.71</v>
          </cell>
          <cell r="H513">
            <v>101528.14</v>
          </cell>
          <cell r="I513">
            <v>91744.93</v>
          </cell>
          <cell r="J513">
            <v>97730.02</v>
          </cell>
          <cell r="K513">
            <v>109192.61</v>
          </cell>
          <cell r="L513">
            <v>75353.03</v>
          </cell>
          <cell r="M513">
            <v>101416.22</v>
          </cell>
          <cell r="N513">
            <v>88469.99</v>
          </cell>
          <cell r="O513">
            <v>101163.62</v>
          </cell>
          <cell r="Q513">
            <v>1117238.2</v>
          </cell>
        </row>
        <row r="514">
          <cell r="A514" t="str">
            <v>F90340E</v>
          </cell>
          <cell r="B514" t="str">
            <v>CUSTOMER RECORDS AND COLLECTION EXPENSES</v>
          </cell>
          <cell r="D514">
            <v>53434.74</v>
          </cell>
          <cell r="E514">
            <v>79490.720000000001</v>
          </cell>
          <cell r="F514">
            <v>88663.9</v>
          </cell>
          <cell r="G514">
            <v>82256.25</v>
          </cell>
          <cell r="H514">
            <v>121001.92</v>
          </cell>
          <cell r="I514">
            <v>109603.97</v>
          </cell>
          <cell r="J514">
            <v>200246.47</v>
          </cell>
          <cell r="K514">
            <v>122991.08</v>
          </cell>
          <cell r="L514">
            <v>134668.24</v>
          </cell>
          <cell r="M514">
            <v>166378.59</v>
          </cell>
          <cell r="N514">
            <v>135339.98000000001</v>
          </cell>
          <cell r="O514">
            <v>181282.8</v>
          </cell>
          <cell r="Q514">
            <v>1475358.66</v>
          </cell>
        </row>
        <row r="515">
          <cell r="A515" t="str">
            <v>F90340G</v>
          </cell>
          <cell r="B515" t="str">
            <v>CUSTOMER RECORDS AND</v>
          </cell>
          <cell r="D515">
            <v>29359.03</v>
          </cell>
          <cell r="E515">
            <v>43402.879999999997</v>
          </cell>
          <cell r="F515">
            <v>48405.51</v>
          </cell>
          <cell r="G515">
            <v>44890.25</v>
          </cell>
          <cell r="H515">
            <v>66053.240000000005</v>
          </cell>
          <cell r="I515">
            <v>59810.57</v>
          </cell>
          <cell r="J515">
            <v>109324.66</v>
          </cell>
          <cell r="K515">
            <v>65777.490000000005</v>
          </cell>
          <cell r="L515">
            <v>72082.28</v>
          </cell>
          <cell r="M515">
            <v>91894.46</v>
          </cell>
          <cell r="N515">
            <v>72001.03</v>
          </cell>
          <cell r="O515">
            <v>100195.3</v>
          </cell>
          <cell r="Q515">
            <v>803196.70000000007</v>
          </cell>
        </row>
        <row r="516">
          <cell r="A516" t="str">
            <v>F90350E</v>
          </cell>
          <cell r="B516" t="str">
            <v>CUSTOMER RECORDS AND</v>
          </cell>
          <cell r="D516">
            <v>165894.84</v>
          </cell>
          <cell r="E516">
            <v>150390.20000000001</v>
          </cell>
          <cell r="F516">
            <v>152046.78</v>
          </cell>
          <cell r="G516">
            <v>93470.38</v>
          </cell>
          <cell r="H516">
            <v>152024.37</v>
          </cell>
          <cell r="I516">
            <v>124315.36</v>
          </cell>
          <cell r="J516">
            <v>154748.76</v>
          </cell>
          <cell r="K516">
            <v>130877.15</v>
          </cell>
          <cell r="L516">
            <v>130673.78</v>
          </cell>
          <cell r="M516">
            <v>170659.39</v>
          </cell>
          <cell r="N516">
            <v>169730.68</v>
          </cell>
          <cell r="O516">
            <v>174903.71</v>
          </cell>
          <cell r="Q516">
            <v>1769735.4000000001</v>
          </cell>
        </row>
        <row r="517">
          <cell r="A517" t="str">
            <v>F90350G</v>
          </cell>
          <cell r="B517" t="str">
            <v>CUSTOMER RECORDS AND</v>
          </cell>
          <cell r="D517">
            <v>90634.4</v>
          </cell>
          <cell r="E517">
            <v>82069.3</v>
          </cell>
          <cell r="F517">
            <v>82981.72</v>
          </cell>
          <cell r="G517">
            <v>51049.27</v>
          </cell>
          <cell r="H517">
            <v>83016.679999999993</v>
          </cell>
          <cell r="I517">
            <v>64557.11</v>
          </cell>
          <cell r="J517">
            <v>84512.68</v>
          </cell>
          <cell r="K517">
            <v>71311.7</v>
          </cell>
          <cell r="L517">
            <v>71358.759999999995</v>
          </cell>
          <cell r="M517">
            <v>93133.54</v>
          </cell>
          <cell r="N517">
            <v>92746.28</v>
          </cell>
          <cell r="O517">
            <v>95531.13</v>
          </cell>
          <cell r="Q517">
            <v>962902.57</v>
          </cell>
        </row>
        <row r="518">
          <cell r="A518" t="str">
            <v>F90360E</v>
          </cell>
          <cell r="B518" t="str">
            <v>CUSTOMER RECORDS AND COLLECTION EXPENSE</v>
          </cell>
          <cell r="I518">
            <v>0</v>
          </cell>
          <cell r="N518">
            <v>0</v>
          </cell>
          <cell r="O518">
            <v>0</v>
          </cell>
          <cell r="Q518">
            <v>0</v>
          </cell>
        </row>
        <row r="519">
          <cell r="A519" t="str">
            <v>F90360G</v>
          </cell>
          <cell r="B519" t="str">
            <v>CUSTOMER RECORDS AND</v>
          </cell>
          <cell r="G519">
            <v>1837.22</v>
          </cell>
          <cell r="I519">
            <v>0</v>
          </cell>
          <cell r="K519">
            <v>1858.45</v>
          </cell>
          <cell r="N519">
            <v>0</v>
          </cell>
          <cell r="O519">
            <v>3508.75</v>
          </cell>
          <cell r="Q519">
            <v>7204.42</v>
          </cell>
        </row>
        <row r="520">
          <cell r="A520" t="str">
            <v>F90370E</v>
          </cell>
          <cell r="B520" t="str">
            <v>CUSTOMER RECORDS AND COLLECTION EXPENSES</v>
          </cell>
          <cell r="H520">
            <v>257.99</v>
          </cell>
          <cell r="I520">
            <v>0</v>
          </cell>
          <cell r="N520">
            <v>0</v>
          </cell>
          <cell r="O520">
            <v>0</v>
          </cell>
          <cell r="Q520">
            <v>257.99</v>
          </cell>
        </row>
        <row r="521">
          <cell r="A521" t="str">
            <v>F90370G</v>
          </cell>
          <cell r="B521" t="str">
            <v>CUSTOMER RECORDS AND COLLECTION EXPENSES</v>
          </cell>
          <cell r="H521">
            <v>140.84</v>
          </cell>
          <cell r="I521">
            <v>0</v>
          </cell>
          <cell r="N521">
            <v>0</v>
          </cell>
          <cell r="O521">
            <v>0</v>
          </cell>
          <cell r="Q521">
            <v>140.84</v>
          </cell>
        </row>
        <row r="522">
          <cell r="A522" t="str">
            <v>F90380E</v>
          </cell>
          <cell r="B522" t="str">
            <v>CUSTOMER RECORDS AND</v>
          </cell>
          <cell r="D522">
            <v>18492.64</v>
          </cell>
          <cell r="E522">
            <v>16972.86</v>
          </cell>
          <cell r="F522">
            <v>15009.64</v>
          </cell>
          <cell r="G522">
            <v>17298.8</v>
          </cell>
          <cell r="H522">
            <v>20614.79</v>
          </cell>
          <cell r="I522">
            <v>15791.45</v>
          </cell>
          <cell r="J522">
            <v>18714.48</v>
          </cell>
          <cell r="K522">
            <v>22440.18</v>
          </cell>
          <cell r="L522">
            <v>14927.72</v>
          </cell>
          <cell r="M522">
            <v>18870.439999999999</v>
          </cell>
          <cell r="N522">
            <v>17480.36</v>
          </cell>
          <cell r="O522">
            <v>17651.82</v>
          </cell>
          <cell r="Q522">
            <v>214265.18</v>
          </cell>
        </row>
        <row r="523">
          <cell r="A523" t="str">
            <v>F90380G</v>
          </cell>
          <cell r="B523" t="str">
            <v>CUSTOMER RECORDS AND</v>
          </cell>
          <cell r="D523">
            <v>10088.540000000001</v>
          </cell>
          <cell r="E523">
            <v>9263.23</v>
          </cell>
          <cell r="F523">
            <v>8188.05</v>
          </cell>
          <cell r="G523">
            <v>9438.48</v>
          </cell>
          <cell r="H523">
            <v>11252.29</v>
          </cell>
          <cell r="I523">
            <v>8619.07</v>
          </cell>
          <cell r="J523">
            <v>10210.200000000001</v>
          </cell>
          <cell r="K523">
            <v>12248.22</v>
          </cell>
          <cell r="L523">
            <v>8148.17</v>
          </cell>
          <cell r="M523">
            <v>10297.06</v>
          </cell>
          <cell r="N523">
            <v>9537.2000000000007</v>
          </cell>
          <cell r="O523">
            <v>9630.19</v>
          </cell>
          <cell r="Q523">
            <v>116920.7</v>
          </cell>
        </row>
        <row r="524">
          <cell r="A524" t="str">
            <v>F90390E</v>
          </cell>
          <cell r="B524" t="str">
            <v>CUSTOMER RECORDS AND COLLECTION EXPENSE</v>
          </cell>
          <cell r="I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A525" t="str">
            <v>F90400E</v>
          </cell>
          <cell r="B525" t="str">
            <v>UNCOLLECTIBLE ACCOUNTS</v>
          </cell>
          <cell r="D525">
            <v>264107.21000000002</v>
          </cell>
          <cell r="E525">
            <v>269753.73</v>
          </cell>
          <cell r="F525">
            <v>373839.07</v>
          </cell>
          <cell r="G525">
            <v>283210</v>
          </cell>
          <cell r="H525">
            <v>463723.13</v>
          </cell>
          <cell r="I525">
            <v>1145997</v>
          </cell>
          <cell r="J525">
            <v>946191</v>
          </cell>
          <cell r="K525">
            <v>1003029.1</v>
          </cell>
          <cell r="L525">
            <v>996754.17</v>
          </cell>
          <cell r="M525">
            <v>722838</v>
          </cell>
          <cell r="N525">
            <v>1079406.74</v>
          </cell>
          <cell r="O525">
            <v>-17747</v>
          </cell>
          <cell r="Q525">
            <v>7531102.1500000004</v>
          </cell>
        </row>
        <row r="526">
          <cell r="A526" t="str">
            <v>F90400G</v>
          </cell>
          <cell r="B526" t="str">
            <v>UNCOLLECTIBLE ACCOUNTS</v>
          </cell>
          <cell r="D526">
            <v>58988</v>
          </cell>
          <cell r="E526">
            <v>54255.43</v>
          </cell>
          <cell r="F526">
            <v>83765</v>
          </cell>
          <cell r="G526">
            <v>62735</v>
          </cell>
          <cell r="H526">
            <v>96735.74</v>
          </cell>
          <cell r="I526">
            <v>253671</v>
          </cell>
          <cell r="J526">
            <v>209455</v>
          </cell>
          <cell r="K526">
            <v>216022.81</v>
          </cell>
          <cell r="L526">
            <v>220707</v>
          </cell>
          <cell r="M526">
            <v>160030</v>
          </cell>
          <cell r="N526">
            <v>233893.1</v>
          </cell>
          <cell r="O526">
            <v>168821</v>
          </cell>
          <cell r="Q526">
            <v>1819079.08</v>
          </cell>
        </row>
        <row r="527">
          <cell r="A527" t="str">
            <v>F90500E</v>
          </cell>
          <cell r="B527" t="str">
            <v>MISCELLANEOUS CUSTOMER ACCOUNTS EXPENSES</v>
          </cell>
          <cell r="D527">
            <v>15889.47</v>
          </cell>
          <cell r="E527">
            <v>5674.85</v>
          </cell>
          <cell r="F527">
            <v>17843.73</v>
          </cell>
          <cell r="G527">
            <v>14279.69</v>
          </cell>
          <cell r="H527">
            <v>10528.33</v>
          </cell>
          <cell r="I527">
            <v>9388.9599999999991</v>
          </cell>
          <cell r="J527">
            <v>12807.62</v>
          </cell>
          <cell r="K527">
            <v>10975.57</v>
          </cell>
          <cell r="L527">
            <v>12633.95</v>
          </cell>
          <cell r="M527">
            <v>12573.64</v>
          </cell>
          <cell r="N527">
            <v>4817.66</v>
          </cell>
          <cell r="O527">
            <v>17276.84</v>
          </cell>
          <cell r="Q527">
            <v>144690.31</v>
          </cell>
        </row>
        <row r="528">
          <cell r="A528" t="str">
            <v>F90500G</v>
          </cell>
          <cell r="B528" t="str">
            <v>MISCELLANEOUS CUSTOMER ACCOUNTS EXPENSES</v>
          </cell>
          <cell r="D528">
            <v>53.16</v>
          </cell>
          <cell r="E528">
            <v>1046.1500000000001</v>
          </cell>
          <cell r="F528">
            <v>1284.6400000000001</v>
          </cell>
          <cell r="G528">
            <v>36.299999999999997</v>
          </cell>
          <cell r="H528">
            <v>948.88</v>
          </cell>
          <cell r="I528">
            <v>36.81</v>
          </cell>
          <cell r="J528">
            <v>1235.57</v>
          </cell>
          <cell r="K528">
            <v>576.70000000000005</v>
          </cell>
          <cell r="L528">
            <v>1258.1500000000001</v>
          </cell>
          <cell r="M528">
            <v>740.9</v>
          </cell>
          <cell r="N528">
            <v>38.51</v>
          </cell>
          <cell r="O528">
            <v>2050.34</v>
          </cell>
          <cell r="Q528">
            <v>9306.11</v>
          </cell>
        </row>
        <row r="529">
          <cell r="A529" t="str">
            <v>F90700C</v>
          </cell>
          <cell r="B529" t="str">
            <v>SUPERVISION</v>
          </cell>
          <cell r="D529">
            <v>20.100000000000001</v>
          </cell>
          <cell r="F529">
            <v>521.15</v>
          </cell>
          <cell r="G529">
            <v>130.22</v>
          </cell>
          <cell r="H529">
            <v>232.74</v>
          </cell>
          <cell r="I529">
            <v>295.67</v>
          </cell>
          <cell r="J529">
            <v>108.99</v>
          </cell>
          <cell r="K529">
            <v>219.82</v>
          </cell>
          <cell r="L529">
            <v>101.51</v>
          </cell>
          <cell r="M529">
            <v>198.99</v>
          </cell>
          <cell r="N529">
            <v>63.27</v>
          </cell>
          <cell r="O529">
            <v>107.45</v>
          </cell>
          <cell r="Q529">
            <v>1999.91</v>
          </cell>
        </row>
        <row r="530">
          <cell r="A530" t="str">
            <v>F90700E</v>
          </cell>
          <cell r="B530" t="str">
            <v>SUPERVISION</v>
          </cell>
          <cell r="D530">
            <v>17288.64</v>
          </cell>
          <cell r="E530">
            <v>18261.36</v>
          </cell>
          <cell r="F530">
            <v>15831.62</v>
          </cell>
          <cell r="G530">
            <v>21306.959999999999</v>
          </cell>
          <cell r="H530">
            <v>21210.95</v>
          </cell>
          <cell r="I530">
            <v>38726.6</v>
          </cell>
          <cell r="J530">
            <v>23015.200000000001</v>
          </cell>
          <cell r="K530">
            <v>22044.28</v>
          </cell>
          <cell r="L530">
            <v>18547.310000000001</v>
          </cell>
          <cell r="M530">
            <v>22887.85</v>
          </cell>
          <cell r="N530">
            <v>14484.95</v>
          </cell>
          <cell r="O530">
            <v>20915.52</v>
          </cell>
          <cell r="Q530">
            <v>254521.24000000002</v>
          </cell>
        </row>
        <row r="531">
          <cell r="A531" t="str">
            <v>F90700G</v>
          </cell>
          <cell r="B531" t="str">
            <v>SUPERVISION</v>
          </cell>
          <cell r="D531">
            <v>3050.95</v>
          </cell>
          <cell r="E531">
            <v>3222.64</v>
          </cell>
          <cell r="F531">
            <v>2797.13</v>
          </cell>
          <cell r="G531">
            <v>3760.04</v>
          </cell>
          <cell r="H531">
            <v>3743.12</v>
          </cell>
          <cell r="I531">
            <v>6834.12</v>
          </cell>
          <cell r="J531">
            <v>5702.7</v>
          </cell>
          <cell r="K531">
            <v>3890.2</v>
          </cell>
          <cell r="L531">
            <v>5067.8</v>
          </cell>
          <cell r="M531">
            <v>8153.54</v>
          </cell>
          <cell r="N531">
            <v>4174.21</v>
          </cell>
          <cell r="O531">
            <v>8683.84</v>
          </cell>
          <cell r="Q531">
            <v>59080.290000000008</v>
          </cell>
        </row>
        <row r="532">
          <cell r="A532" t="str">
            <v>F90710C</v>
          </cell>
          <cell r="B532" t="str">
            <v>SUPERVISION</v>
          </cell>
          <cell r="I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A533" t="str">
            <v>F90800C</v>
          </cell>
          <cell r="B533" t="str">
            <v>CUSTOMER ASSISTANCE EXPENSES</v>
          </cell>
          <cell r="D533">
            <v>1210.4000000000001</v>
          </cell>
          <cell r="E533">
            <v>217.34</v>
          </cell>
          <cell r="F533">
            <v>220.91</v>
          </cell>
          <cell r="G533">
            <v>454.86</v>
          </cell>
          <cell r="H533">
            <v>1022.56</v>
          </cell>
          <cell r="I533">
            <v>412.5</v>
          </cell>
          <cell r="J533">
            <v>26385.39</v>
          </cell>
          <cell r="K533">
            <v>34560.730000000003</v>
          </cell>
          <cell r="L533">
            <v>38353.89</v>
          </cell>
          <cell r="M533">
            <v>50686.41</v>
          </cell>
          <cell r="N533">
            <v>73.75</v>
          </cell>
          <cell r="O533">
            <v>474.39</v>
          </cell>
          <cell r="Q533">
            <v>154073.13</v>
          </cell>
        </row>
        <row r="534">
          <cell r="A534" t="str">
            <v>F90800E</v>
          </cell>
          <cell r="B534" t="str">
            <v>CUSTOMER ASSISTANCE EXPENSES</v>
          </cell>
          <cell r="D534">
            <v>-1526017.53</v>
          </cell>
          <cell r="E534">
            <v>2920856.38</v>
          </cell>
          <cell r="F534">
            <v>686725.5</v>
          </cell>
          <cell r="G534">
            <v>2284415.81</v>
          </cell>
          <cell r="H534">
            <v>2356006.7000000002</v>
          </cell>
          <cell r="I534">
            <v>4714042.54</v>
          </cell>
          <cell r="J534">
            <v>5276508.13</v>
          </cell>
          <cell r="K534">
            <v>4378188.4800000004</v>
          </cell>
          <cell r="L534">
            <v>4364874.42</v>
          </cell>
          <cell r="M534">
            <v>2022316.03</v>
          </cell>
          <cell r="N534">
            <v>4517177.59</v>
          </cell>
          <cell r="O534">
            <v>13912518</v>
          </cell>
          <cell r="Q534">
            <v>45907612.049999997</v>
          </cell>
        </row>
        <row r="535">
          <cell r="A535" t="str">
            <v>F90800G</v>
          </cell>
          <cell r="B535" t="str">
            <v>CUSTOMER ASSISTANCE EXPENSES</v>
          </cell>
          <cell r="D535">
            <v>246227.5</v>
          </cell>
          <cell r="E535">
            <v>619849.87</v>
          </cell>
          <cell r="F535">
            <v>496130.1</v>
          </cell>
          <cell r="G535">
            <v>342520.86</v>
          </cell>
          <cell r="H535">
            <v>1448925.77</v>
          </cell>
          <cell r="I535">
            <v>1400708.34</v>
          </cell>
          <cell r="J535">
            <v>1738192.48</v>
          </cell>
          <cell r="K535">
            <v>1072738.31</v>
          </cell>
          <cell r="L535">
            <v>1156024.29</v>
          </cell>
          <cell r="M535">
            <v>960607.26</v>
          </cell>
          <cell r="N535">
            <v>2117844.79</v>
          </cell>
          <cell r="O535">
            <v>3528459.65</v>
          </cell>
          <cell r="Q535">
            <v>15128229.220000001</v>
          </cell>
        </row>
        <row r="536">
          <cell r="A536" t="str">
            <v>F90900C</v>
          </cell>
          <cell r="B536" t="str">
            <v>INFORMATIONAL AND INSTRUCTIONAL EXPENSE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F90900E</v>
          </cell>
          <cell r="B537" t="str">
            <v>INFORMATIONAL AND INSTRUCTIONAL EXPENSE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F90900G</v>
          </cell>
          <cell r="B538" t="str">
            <v>INFORMATIONAL AND INSTRUCTIONAL EXPENSE</v>
          </cell>
          <cell r="I538">
            <v>0</v>
          </cell>
          <cell r="N538">
            <v>0</v>
          </cell>
          <cell r="O538">
            <v>0</v>
          </cell>
          <cell r="Q538">
            <v>0</v>
          </cell>
        </row>
        <row r="539">
          <cell r="A539" t="str">
            <v>F91000C</v>
          </cell>
          <cell r="B539" t="str">
            <v>MISCELLANEOUS CUSTOMER SERV AND INFORMATIONAL EXPE</v>
          </cell>
          <cell r="D539">
            <v>150.91999999999999</v>
          </cell>
          <cell r="F539">
            <v>-0.62</v>
          </cell>
          <cell r="G539">
            <v>231.33</v>
          </cell>
          <cell r="H539">
            <v>214.74</v>
          </cell>
          <cell r="I539">
            <v>53.6</v>
          </cell>
          <cell r="J539">
            <v>107.2</v>
          </cell>
          <cell r="K539">
            <v>35784.949999999997</v>
          </cell>
          <cell r="L539">
            <v>116953.44</v>
          </cell>
          <cell r="M539">
            <v>34539.15</v>
          </cell>
          <cell r="N539">
            <v>17103.91</v>
          </cell>
          <cell r="O539">
            <v>12995.88</v>
          </cell>
          <cell r="Q539">
            <v>218134.5</v>
          </cell>
        </row>
        <row r="540">
          <cell r="A540" t="str">
            <v>F91000E</v>
          </cell>
          <cell r="B540" t="str">
            <v>MISCELLANEOUS CUSTOMER SERV AND INFORMATIONAL EXPE</v>
          </cell>
          <cell r="D540">
            <v>80062.53</v>
          </cell>
          <cell r="E540">
            <v>184761.56</v>
          </cell>
          <cell r="F540">
            <v>267902.12</v>
          </cell>
          <cell r="G540">
            <v>308915.15000000002</v>
          </cell>
          <cell r="H540">
            <v>160087.09</v>
          </cell>
          <cell r="I540">
            <v>294142.65000000002</v>
          </cell>
          <cell r="J540">
            <v>400077.95</v>
          </cell>
          <cell r="K540">
            <v>836271.67</v>
          </cell>
          <cell r="L540">
            <v>817236.59</v>
          </cell>
          <cell r="M540">
            <v>374930.17</v>
          </cell>
          <cell r="N540">
            <v>552683.48</v>
          </cell>
          <cell r="O540">
            <v>274333.24</v>
          </cell>
          <cell r="Q540">
            <v>4551404.2</v>
          </cell>
        </row>
        <row r="541">
          <cell r="A541" t="str">
            <v>F91000G</v>
          </cell>
          <cell r="B541" t="str">
            <v>MISCELLANEOUS CUSTOMER SERV AND INFORMATIONAL EXPE</v>
          </cell>
          <cell r="D541">
            <v>-43970.080000000002</v>
          </cell>
          <cell r="E541">
            <v>19192.75</v>
          </cell>
          <cell r="F541">
            <v>31770.1</v>
          </cell>
          <cell r="G541">
            <v>71343.48</v>
          </cell>
          <cell r="H541">
            <v>26340.23</v>
          </cell>
          <cell r="I541">
            <v>24061.75</v>
          </cell>
          <cell r="J541">
            <v>23090.7</v>
          </cell>
          <cell r="K541">
            <v>49531.19</v>
          </cell>
          <cell r="L541">
            <v>-25198.38</v>
          </cell>
          <cell r="M541">
            <v>50579.24</v>
          </cell>
          <cell r="N541">
            <v>22920.27</v>
          </cell>
          <cell r="O541">
            <v>27921.73</v>
          </cell>
          <cell r="Q541">
            <v>277582.98</v>
          </cell>
        </row>
        <row r="542">
          <cell r="A542" t="str">
            <v>F91020C</v>
          </cell>
          <cell r="B542" t="str">
            <v>MISCELLANEOUS CUSTOMER SERV AND INFORMATIONAL EXPE</v>
          </cell>
          <cell r="D542">
            <v>128.21</v>
          </cell>
          <cell r="E542">
            <v>68.42</v>
          </cell>
          <cell r="F542">
            <v>61.29</v>
          </cell>
          <cell r="G542">
            <v>61.19</v>
          </cell>
          <cell r="I542">
            <v>0</v>
          </cell>
          <cell r="N542">
            <v>0</v>
          </cell>
          <cell r="O542">
            <v>0</v>
          </cell>
          <cell r="Q542">
            <v>319.11</v>
          </cell>
        </row>
        <row r="543">
          <cell r="A543" t="str">
            <v>F91020E</v>
          </cell>
          <cell r="B543" t="str">
            <v>MISC CUSTOMER SERVIC</v>
          </cell>
          <cell r="D543">
            <v>2506</v>
          </cell>
          <cell r="E543">
            <v>2122</v>
          </cell>
          <cell r="F543">
            <v>2280</v>
          </cell>
          <cell r="G543">
            <v>2280</v>
          </cell>
          <cell r="H543">
            <v>2850</v>
          </cell>
          <cell r="I543">
            <v>2162</v>
          </cell>
          <cell r="J543">
            <v>-2930</v>
          </cell>
          <cell r="K543">
            <v>7680</v>
          </cell>
          <cell r="L543">
            <v>-2489.3200000000002</v>
          </cell>
          <cell r="M543">
            <v>2128</v>
          </cell>
          <cell r="N543">
            <v>2044</v>
          </cell>
          <cell r="O543">
            <v>760</v>
          </cell>
          <cell r="Q543">
            <v>21392.68</v>
          </cell>
        </row>
        <row r="544">
          <cell r="A544" t="str">
            <v>F91020G</v>
          </cell>
          <cell r="B544" t="str">
            <v>MISC CUSTOMER SERVIC</v>
          </cell>
          <cell r="I544">
            <v>0</v>
          </cell>
          <cell r="N544">
            <v>0</v>
          </cell>
          <cell r="O544">
            <v>0</v>
          </cell>
          <cell r="Q544">
            <v>0</v>
          </cell>
        </row>
        <row r="545">
          <cell r="A545" t="str">
            <v>F91080E</v>
          </cell>
          <cell r="B545" t="str">
            <v>MISCELLANEOUS CUSTOMER SERV AND INFORMA</v>
          </cell>
          <cell r="I545">
            <v>0</v>
          </cell>
          <cell r="N545">
            <v>0</v>
          </cell>
          <cell r="O545">
            <v>0</v>
          </cell>
          <cell r="Q545">
            <v>0</v>
          </cell>
        </row>
        <row r="546">
          <cell r="A546" t="str">
            <v>F91200C</v>
          </cell>
          <cell r="B546" t="str">
            <v>DEMONSTRATING AND SELLING EXPENSES</v>
          </cell>
          <cell r="I546">
            <v>0</v>
          </cell>
          <cell r="L546">
            <v>0.56000000000000005</v>
          </cell>
          <cell r="N546">
            <v>0</v>
          </cell>
          <cell r="O546">
            <v>0</v>
          </cell>
          <cell r="Q546">
            <v>0.56000000000000005</v>
          </cell>
        </row>
        <row r="547">
          <cell r="A547" t="str">
            <v>F91200E</v>
          </cell>
          <cell r="B547" t="str">
            <v>DEMONSTRATING AND SELLING EXPENSES</v>
          </cell>
          <cell r="I547">
            <v>0</v>
          </cell>
          <cell r="N547">
            <v>0</v>
          </cell>
          <cell r="O547">
            <v>0</v>
          </cell>
          <cell r="Q547">
            <v>0</v>
          </cell>
        </row>
        <row r="548">
          <cell r="A548" t="str">
            <v>F91200G</v>
          </cell>
          <cell r="B548" t="str">
            <v>DEMONSTRATING AND SELLING EXPENSES</v>
          </cell>
          <cell r="E548">
            <v>-7250.11</v>
          </cell>
          <cell r="I548">
            <v>0</v>
          </cell>
          <cell r="L548">
            <v>190.27</v>
          </cell>
          <cell r="N548">
            <v>0</v>
          </cell>
          <cell r="O548">
            <v>0</v>
          </cell>
          <cell r="Q548">
            <v>-7059.8399999999992</v>
          </cell>
        </row>
        <row r="549">
          <cell r="A549" t="str">
            <v>F91210E</v>
          </cell>
          <cell r="B549" t="str">
            <v>DEMONSTRATING AND SELLING EXPENSES</v>
          </cell>
          <cell r="I549">
            <v>0</v>
          </cell>
          <cell r="L549">
            <v>138.52000000000001</v>
          </cell>
          <cell r="N549">
            <v>0</v>
          </cell>
          <cell r="O549">
            <v>0</v>
          </cell>
          <cell r="Q549">
            <v>138.52000000000001</v>
          </cell>
        </row>
        <row r="550">
          <cell r="A550" t="str">
            <v>F91300C</v>
          </cell>
          <cell r="B550" t="str">
            <v>ADVERTISING EXPENSES</v>
          </cell>
          <cell r="D550">
            <v>356.39</v>
          </cell>
          <cell r="F550">
            <v>210.49</v>
          </cell>
          <cell r="G550">
            <v>89.04</v>
          </cell>
          <cell r="H550">
            <v>123.68</v>
          </cell>
          <cell r="I550">
            <v>70.33</v>
          </cell>
          <cell r="J550">
            <v>95.19</v>
          </cell>
          <cell r="K550">
            <v>73.099999999999994</v>
          </cell>
          <cell r="L550">
            <v>79.31</v>
          </cell>
          <cell r="N550">
            <v>89.31</v>
          </cell>
          <cell r="O550">
            <v>141.44</v>
          </cell>
          <cell r="Q550">
            <v>1328.28</v>
          </cell>
        </row>
        <row r="551">
          <cell r="A551" t="str">
            <v>F91600E</v>
          </cell>
          <cell r="B551" t="str">
            <v>MISCELLANEOUS SALES EXPENSES</v>
          </cell>
          <cell r="I551">
            <v>0</v>
          </cell>
          <cell r="N551">
            <v>0</v>
          </cell>
          <cell r="O551">
            <v>0</v>
          </cell>
          <cell r="Q551">
            <v>0</v>
          </cell>
        </row>
        <row r="552">
          <cell r="A552" t="str">
            <v>F91600G</v>
          </cell>
          <cell r="B552" t="str">
            <v>MISCELLANEOUS SALES EXPENSES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F92000C</v>
          </cell>
          <cell r="B553" t="str">
            <v>ADMINISTRATIVE AND GENERAL SALARIES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F92000E</v>
          </cell>
          <cell r="B554" t="str">
            <v>ADMINISTRATIVE AND GENERAL SALARIES</v>
          </cell>
          <cell r="D554">
            <v>1793123.89</v>
          </cell>
          <cell r="E554">
            <v>648325</v>
          </cell>
          <cell r="F554">
            <v>704100.65</v>
          </cell>
          <cell r="G554">
            <v>672797.69</v>
          </cell>
          <cell r="H554">
            <v>815924.62</v>
          </cell>
          <cell r="I554">
            <v>629268.26</v>
          </cell>
          <cell r="J554">
            <v>783443.89</v>
          </cell>
          <cell r="K554">
            <v>635871.05000000005</v>
          </cell>
          <cell r="L554">
            <v>2337591.7799999998</v>
          </cell>
          <cell r="M554">
            <v>431912.36</v>
          </cell>
          <cell r="N554">
            <v>389196.66</v>
          </cell>
          <cell r="O554">
            <v>1812443.67</v>
          </cell>
          <cell r="Q554">
            <v>11653999.519999998</v>
          </cell>
        </row>
        <row r="555">
          <cell r="A555" t="str">
            <v>F92000G</v>
          </cell>
          <cell r="B555" t="str">
            <v>ADMINISTRATIVE AND GENERAL SALARIES</v>
          </cell>
          <cell r="D555">
            <v>879114.23</v>
          </cell>
          <cell r="E555">
            <v>206791.96</v>
          </cell>
          <cell r="F555">
            <v>224669.52</v>
          </cell>
          <cell r="G555">
            <v>214648.28</v>
          </cell>
          <cell r="H555">
            <v>260470.92</v>
          </cell>
          <cell r="I555">
            <v>200836.6</v>
          </cell>
          <cell r="J555">
            <v>249749.44</v>
          </cell>
          <cell r="K555">
            <v>202944.32</v>
          </cell>
          <cell r="L555">
            <v>745950.93</v>
          </cell>
          <cell r="M555">
            <v>137794.16</v>
          </cell>
          <cell r="N555">
            <v>124215.66</v>
          </cell>
          <cell r="O555">
            <v>578511.07999999996</v>
          </cell>
          <cell r="Q555">
            <v>4025697.1000000006</v>
          </cell>
        </row>
        <row r="556">
          <cell r="A556" t="str">
            <v>F92090E</v>
          </cell>
          <cell r="B556" t="str">
            <v>ADMINISTRATIVE AND GENERAL SALARIES</v>
          </cell>
          <cell r="I556">
            <v>0</v>
          </cell>
          <cell r="N556">
            <v>0</v>
          </cell>
          <cell r="O556">
            <v>0</v>
          </cell>
          <cell r="Q556">
            <v>0</v>
          </cell>
        </row>
        <row r="557">
          <cell r="A557" t="str">
            <v>F92090G</v>
          </cell>
          <cell r="B557" t="str">
            <v>ADMINISTRATIVE AND G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F92100C</v>
          </cell>
          <cell r="B558" t="str">
            <v>OFFICE SUPPLIES AND EXPENSES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F92100E</v>
          </cell>
          <cell r="B559" t="str">
            <v>OFFICE SUPPLIES AND EXPENSES</v>
          </cell>
          <cell r="D559">
            <v>4386076.21</v>
          </cell>
          <cell r="E559">
            <v>-4125626.7</v>
          </cell>
          <cell r="F559">
            <v>503382.21</v>
          </cell>
          <cell r="G559">
            <v>-110585.15</v>
          </cell>
          <cell r="H559">
            <v>813709.14</v>
          </cell>
          <cell r="I559">
            <v>-3443615.18</v>
          </cell>
          <cell r="J559">
            <v>-94065.96</v>
          </cell>
          <cell r="K559">
            <v>-728087.26</v>
          </cell>
          <cell r="L559">
            <v>705842.74</v>
          </cell>
          <cell r="M559">
            <v>855747.49</v>
          </cell>
          <cell r="N559">
            <v>-40490.04</v>
          </cell>
          <cell r="O559">
            <v>1186706.2899999998</v>
          </cell>
          <cell r="Q559">
            <v>-91006.210000000661</v>
          </cell>
        </row>
        <row r="560">
          <cell r="A560" t="str">
            <v>F92100G</v>
          </cell>
          <cell r="B560" t="str">
            <v>OFFICE SUPPLIES AND EXPENSES</v>
          </cell>
          <cell r="D560">
            <v>1369462.03</v>
          </cell>
          <cell r="E560">
            <v>-1318662.43</v>
          </cell>
          <cell r="F560">
            <v>158687.31</v>
          </cell>
          <cell r="G560">
            <v>-37198.980000000003</v>
          </cell>
          <cell r="H560">
            <v>260794.16</v>
          </cell>
          <cell r="I560">
            <v>97007.25</v>
          </cell>
          <cell r="J560">
            <v>-30357.360000000001</v>
          </cell>
          <cell r="K560">
            <v>124287.47</v>
          </cell>
          <cell r="L560">
            <v>-137853.76999999999</v>
          </cell>
          <cell r="M560">
            <v>273376.69</v>
          </cell>
          <cell r="N560">
            <v>-13122.79</v>
          </cell>
          <cell r="O560">
            <v>235577</v>
          </cell>
          <cell r="Q560">
            <v>981996.58000000007</v>
          </cell>
        </row>
        <row r="561">
          <cell r="A561" t="str">
            <v>F92101C</v>
          </cell>
          <cell r="B561" t="str">
            <v>OFFICE SUPPLIES AND EXPENSES - FLOW ADJ</v>
          </cell>
          <cell r="I561">
            <v>0</v>
          </cell>
          <cell r="N561">
            <v>0</v>
          </cell>
          <cell r="O561">
            <v>0</v>
          </cell>
          <cell r="Q561">
            <v>0</v>
          </cell>
        </row>
        <row r="562">
          <cell r="A562" t="str">
            <v>F92101E</v>
          </cell>
          <cell r="B562" t="str">
            <v>OFFICE SUPPLIES AND EXPENSES - FLOW ADJ</v>
          </cell>
          <cell r="D562">
            <v>-1152.79</v>
          </cell>
          <cell r="E562">
            <v>4032.68</v>
          </cell>
          <cell r="F562">
            <v>-2202.9299999999998</v>
          </cell>
          <cell r="G562">
            <v>-4137.21</v>
          </cell>
          <cell r="H562">
            <v>21265.25</v>
          </cell>
          <cell r="I562">
            <v>-23828.18</v>
          </cell>
          <cell r="J562">
            <v>0.04</v>
          </cell>
          <cell r="K562">
            <v>-0.02</v>
          </cell>
          <cell r="L562">
            <v>-0.04</v>
          </cell>
          <cell r="M562">
            <v>736.75</v>
          </cell>
          <cell r="N562">
            <v>-736.75</v>
          </cell>
          <cell r="O562">
            <v>0.02</v>
          </cell>
          <cell r="Q562">
            <v>-6023.18</v>
          </cell>
        </row>
        <row r="563">
          <cell r="A563" t="str">
            <v>F92101G</v>
          </cell>
          <cell r="B563" t="str">
            <v>OFFICE SUPPLIES AND EXPENSES- FLOW ADJ</v>
          </cell>
          <cell r="D563">
            <v>-367.9</v>
          </cell>
          <cell r="E563">
            <v>1287.21</v>
          </cell>
          <cell r="F563">
            <v>-702.78</v>
          </cell>
          <cell r="G563">
            <v>-1320.38</v>
          </cell>
          <cell r="H563">
            <v>6786.99</v>
          </cell>
          <cell r="I563">
            <v>-7604.87</v>
          </cell>
          <cell r="J563">
            <v>-0.05</v>
          </cell>
          <cell r="K563">
            <v>0.03</v>
          </cell>
          <cell r="L563">
            <v>0.03</v>
          </cell>
          <cell r="M563">
            <v>235.12</v>
          </cell>
          <cell r="N563">
            <v>-235.13</v>
          </cell>
          <cell r="O563">
            <v>0.01</v>
          </cell>
          <cell r="Q563">
            <v>-1921.7200000000005</v>
          </cell>
        </row>
        <row r="564">
          <cell r="A564" t="str">
            <v>F9210AC</v>
          </cell>
          <cell r="B564" t="str">
            <v>OFFICE SUPPLIES AND EXPE - SEMPRA CHARGES</v>
          </cell>
          <cell r="E564">
            <v>-18.09</v>
          </cell>
          <cell r="F564">
            <v>-457.94</v>
          </cell>
          <cell r="G564">
            <v>315.18</v>
          </cell>
          <cell r="I564">
            <v>0</v>
          </cell>
          <cell r="N564">
            <v>4.78</v>
          </cell>
          <cell r="O564">
            <v>0</v>
          </cell>
          <cell r="Q564">
            <v>-156.06999999999996</v>
          </cell>
        </row>
        <row r="565">
          <cell r="A565" t="str">
            <v>F9210AE</v>
          </cell>
          <cell r="B565" t="str">
            <v>OFFICE SUPPLIES AND EXPE - SEMPRA CHARGES</v>
          </cell>
          <cell r="D565">
            <v>-2658068.9300000002</v>
          </cell>
          <cell r="E565">
            <v>4819653.25</v>
          </cell>
          <cell r="F565">
            <v>3120643.83</v>
          </cell>
          <cell r="G565">
            <v>2791397.04</v>
          </cell>
          <cell r="H565">
            <v>3305560.83</v>
          </cell>
          <cell r="I565">
            <v>3440471.34</v>
          </cell>
          <cell r="J565">
            <v>2620359.7799999998</v>
          </cell>
          <cell r="K565">
            <v>2458833.5099999998</v>
          </cell>
          <cell r="L565">
            <v>820923.23</v>
          </cell>
          <cell r="M565">
            <v>1722937.69</v>
          </cell>
          <cell r="N565">
            <v>2287633.77</v>
          </cell>
          <cell r="O565">
            <v>4369786.92</v>
          </cell>
          <cell r="Q565">
            <v>29100132.259999998</v>
          </cell>
        </row>
        <row r="566">
          <cell r="A566" t="str">
            <v>F9210AG</v>
          </cell>
          <cell r="B566" t="str">
            <v>OFFICE SUPPLIES AND EXPE - SEMPRA CHARGES</v>
          </cell>
          <cell r="D566">
            <v>-848340.77</v>
          </cell>
          <cell r="E566">
            <v>1538225.02</v>
          </cell>
          <cell r="F566">
            <v>995974.13</v>
          </cell>
          <cell r="G566">
            <v>890893.07</v>
          </cell>
          <cell r="H566">
            <v>1054992.0900000001</v>
          </cell>
          <cell r="I566">
            <v>1098049.8</v>
          </cell>
          <cell r="J566">
            <v>836305.84</v>
          </cell>
          <cell r="K566">
            <v>784753.36</v>
          </cell>
          <cell r="L566">
            <v>262002.99</v>
          </cell>
          <cell r="M566">
            <v>549887.4</v>
          </cell>
          <cell r="N566">
            <v>730112.85</v>
          </cell>
          <cell r="O566">
            <v>1394522.75</v>
          </cell>
          <cell r="Q566">
            <v>9287378.5300000012</v>
          </cell>
        </row>
        <row r="567">
          <cell r="A567" t="str">
            <v>F92120E</v>
          </cell>
          <cell r="B567" t="str">
            <v>OFFICE SUPPLIES AND EXPENSES</v>
          </cell>
          <cell r="I567">
            <v>0</v>
          </cell>
          <cell r="L567">
            <v>122.34</v>
          </cell>
          <cell r="N567">
            <v>0</v>
          </cell>
          <cell r="O567">
            <v>0</v>
          </cell>
          <cell r="Q567">
            <v>122.34</v>
          </cell>
        </row>
        <row r="568">
          <cell r="A568" t="str">
            <v>F92120G</v>
          </cell>
          <cell r="B568" t="str">
            <v>OFFICE SUPPLIES AND</v>
          </cell>
          <cell r="I568">
            <v>0</v>
          </cell>
          <cell r="L568">
            <v>39.04</v>
          </cell>
          <cell r="N568">
            <v>0</v>
          </cell>
          <cell r="O568">
            <v>0</v>
          </cell>
          <cell r="Q568">
            <v>39.04</v>
          </cell>
        </row>
        <row r="569">
          <cell r="A569" t="str">
            <v>F92140C</v>
          </cell>
          <cell r="B569" t="str">
            <v>OFFICE SUPPLIES AND EXPENSES</v>
          </cell>
          <cell r="I569">
            <v>0</v>
          </cell>
          <cell r="N569">
            <v>0</v>
          </cell>
          <cell r="O569">
            <v>0</v>
          </cell>
          <cell r="Q569">
            <v>0</v>
          </cell>
        </row>
        <row r="570">
          <cell r="A570" t="str">
            <v>F92140E</v>
          </cell>
          <cell r="B570" t="str">
            <v>OFFICE SUPPLIES AND EXPENSES</v>
          </cell>
          <cell r="D570">
            <v>-14546.82</v>
          </cell>
          <cell r="E570">
            <v>-15186.01</v>
          </cell>
          <cell r="F570">
            <v>-15266.3</v>
          </cell>
          <cell r="G570">
            <v>-14662.82</v>
          </cell>
          <cell r="H570">
            <v>-14733</v>
          </cell>
          <cell r="I570">
            <v>-14733</v>
          </cell>
          <cell r="J570">
            <v>-14733</v>
          </cell>
          <cell r="K570">
            <v>-14733</v>
          </cell>
          <cell r="L570">
            <v>-14733</v>
          </cell>
          <cell r="M570">
            <v>-14732.99</v>
          </cell>
          <cell r="N570">
            <v>-14733</v>
          </cell>
          <cell r="O570">
            <v>-14733</v>
          </cell>
          <cell r="Q570">
            <v>-177525.94</v>
          </cell>
        </row>
        <row r="571">
          <cell r="A571" t="str">
            <v>F92140G</v>
          </cell>
          <cell r="B571" t="str">
            <v>OFFICE SUPPLIES AND</v>
          </cell>
          <cell r="D571">
            <v>-4642.8500000000004</v>
          </cell>
          <cell r="E571">
            <v>-4846.58</v>
          </cell>
          <cell r="F571">
            <v>-4872.2</v>
          </cell>
          <cell r="G571">
            <v>-4679.6000000000004</v>
          </cell>
          <cell r="H571">
            <v>-4702</v>
          </cell>
          <cell r="I571">
            <v>-4702</v>
          </cell>
          <cell r="J571">
            <v>-4702</v>
          </cell>
          <cell r="K571">
            <v>-4702</v>
          </cell>
          <cell r="L571">
            <v>-4702</v>
          </cell>
          <cell r="M571">
            <v>-4702</v>
          </cell>
          <cell r="N571">
            <v>-4702</v>
          </cell>
          <cell r="O571">
            <v>-4702</v>
          </cell>
          <cell r="Q571">
            <v>-56657.23</v>
          </cell>
        </row>
        <row r="572">
          <cell r="A572" t="str">
            <v>F92170E</v>
          </cell>
          <cell r="B572" t="str">
            <v>OFFICE SUPPLIES AND EXPENSES-WA DOCS-ELECTRIC</v>
          </cell>
          <cell r="G572">
            <v>71.31</v>
          </cell>
          <cell r="I572">
            <v>0</v>
          </cell>
          <cell r="N572">
            <v>0</v>
          </cell>
          <cell r="O572">
            <v>0</v>
          </cell>
          <cell r="Q572">
            <v>71.31</v>
          </cell>
        </row>
        <row r="573">
          <cell r="A573" t="str">
            <v>F92170G</v>
          </cell>
          <cell r="B573" t="str">
            <v>OFFICE SUPPLIES AND EXPENSES-WA DOCS-GAS</v>
          </cell>
          <cell r="G573">
            <v>22.91</v>
          </cell>
          <cell r="I573">
            <v>0</v>
          </cell>
          <cell r="N573">
            <v>0</v>
          </cell>
          <cell r="O573">
            <v>0</v>
          </cell>
          <cell r="Q573">
            <v>22.91</v>
          </cell>
        </row>
        <row r="574">
          <cell r="A574" t="str">
            <v>F92180E</v>
          </cell>
          <cell r="B574" t="str">
            <v>OFFICE SUPPLIES AND EXPENSES-MAT COST A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F92180G</v>
          </cell>
          <cell r="B575" t="str">
            <v>OFFICE SUPPLIES AND EXPENSES-MAT COST A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F92190E</v>
          </cell>
          <cell r="B576" t="str">
            <v>OFFICE SUPPLIES AND EXPENSES-OFFSET ADJS</v>
          </cell>
          <cell r="D576">
            <v>705.9</v>
          </cell>
          <cell r="E576">
            <v>1389.1</v>
          </cell>
          <cell r="F576">
            <v>-947.06</v>
          </cell>
          <cell r="G576">
            <v>-1061.32</v>
          </cell>
          <cell r="H576">
            <v>718.35</v>
          </cell>
          <cell r="I576">
            <v>2044.6</v>
          </cell>
          <cell r="J576">
            <v>-21462.36</v>
          </cell>
          <cell r="K576">
            <v>-712.99</v>
          </cell>
          <cell r="L576">
            <v>0.42</v>
          </cell>
          <cell r="N576">
            <v>2375.19</v>
          </cell>
          <cell r="O576">
            <v>17260.21</v>
          </cell>
          <cell r="Q576">
            <v>310.0399999999936</v>
          </cell>
        </row>
        <row r="577">
          <cell r="A577" t="str">
            <v>F92190G</v>
          </cell>
          <cell r="B577" t="str">
            <v>OFFICE SUPPLIES AND EXPENSES-OFFSET ADJS</v>
          </cell>
          <cell r="D577">
            <v>225.21</v>
          </cell>
          <cell r="E577">
            <v>443.33</v>
          </cell>
          <cell r="F577">
            <v>-298.05</v>
          </cell>
          <cell r="G577">
            <v>-338.76</v>
          </cell>
          <cell r="H577">
            <v>229.2</v>
          </cell>
          <cell r="I577">
            <v>642.42999999999995</v>
          </cell>
          <cell r="J577">
            <v>-6868.87</v>
          </cell>
          <cell r="K577">
            <v>-227.54</v>
          </cell>
          <cell r="L577">
            <v>0.14000000000000001</v>
          </cell>
          <cell r="N577">
            <v>758.08</v>
          </cell>
          <cell r="O577">
            <v>5508.8</v>
          </cell>
          <cell r="Q577">
            <v>73.970000000000255</v>
          </cell>
        </row>
        <row r="578">
          <cell r="A578" t="str">
            <v>F92200C</v>
          </cell>
          <cell r="B578" t="str">
            <v>ADMINISTRATIVE EXPENSES TRANSFERRED-CREDIT</v>
          </cell>
          <cell r="D578">
            <v>-144896.09</v>
          </cell>
          <cell r="E578">
            <v>-131927.34</v>
          </cell>
          <cell r="F578">
            <v>-118608.39</v>
          </cell>
          <cell r="G578">
            <v>-121298.23</v>
          </cell>
          <cell r="H578">
            <v>-136290.10999999999</v>
          </cell>
          <cell r="I578">
            <v>-121918.57</v>
          </cell>
          <cell r="J578">
            <v>-155667.59</v>
          </cell>
          <cell r="K578">
            <v>-137382.29</v>
          </cell>
          <cell r="N578">
            <v>0</v>
          </cell>
          <cell r="O578">
            <v>0</v>
          </cell>
          <cell r="Q578">
            <v>-1067988.6099999999</v>
          </cell>
        </row>
        <row r="579">
          <cell r="A579" t="str">
            <v>F92200E</v>
          </cell>
          <cell r="B579" t="str">
            <v>ADMINISTRATIVE EXPENSES TRANSFERRED-CREDIT</v>
          </cell>
          <cell r="I579">
            <v>0</v>
          </cell>
          <cell r="L579">
            <v>-127038.22</v>
          </cell>
          <cell r="M579">
            <v>-162303.44</v>
          </cell>
          <cell r="N579">
            <v>-207009.24</v>
          </cell>
          <cell r="O579">
            <v>-211420.89</v>
          </cell>
          <cell r="Q579">
            <v>-707771.79</v>
          </cell>
        </row>
        <row r="580">
          <cell r="A580" t="str">
            <v>F92200G</v>
          </cell>
          <cell r="B580" t="str">
            <v>ADMINISTRATIVE EXPENSES TRANSFERRED-CREDIT</v>
          </cell>
          <cell r="I580">
            <v>0</v>
          </cell>
          <cell r="L580">
            <v>-40539.440000000002</v>
          </cell>
          <cell r="M580">
            <v>-51801.1</v>
          </cell>
          <cell r="N580">
            <v>-66069.759999999995</v>
          </cell>
          <cell r="O580">
            <v>-67480.28</v>
          </cell>
          <cell r="Q580">
            <v>-225890.58</v>
          </cell>
        </row>
        <row r="581">
          <cell r="A581" t="str">
            <v>F9220AE</v>
          </cell>
          <cell r="B581" t="str">
            <v>ADMIN EXP TRANSFERRED CREDIT - SEMPRA CHARGES</v>
          </cell>
          <cell r="D581">
            <v>110.37</v>
          </cell>
          <cell r="E581">
            <v>-265902.5</v>
          </cell>
          <cell r="F581">
            <v>-299223.77</v>
          </cell>
          <cell r="G581">
            <v>-236977.87</v>
          </cell>
          <cell r="H581">
            <v>-326075.48</v>
          </cell>
          <cell r="I581">
            <v>-348720.74</v>
          </cell>
          <cell r="J581">
            <v>-239190.47</v>
          </cell>
          <cell r="K581">
            <v>-222264.16</v>
          </cell>
          <cell r="N581">
            <v>0</v>
          </cell>
          <cell r="O581">
            <v>0</v>
          </cell>
          <cell r="Q581">
            <v>-1938244.6199999999</v>
          </cell>
        </row>
        <row r="582">
          <cell r="A582" t="str">
            <v>F9220AG</v>
          </cell>
          <cell r="B582" t="str">
            <v>ADMIN EXP TRANSFERRED CREDIT - SEMPRA CHARGES</v>
          </cell>
          <cell r="D582">
            <v>35.229999999999997</v>
          </cell>
          <cell r="E582">
            <v>-84864.6</v>
          </cell>
          <cell r="F582">
            <v>-95499.3</v>
          </cell>
          <cell r="G582">
            <v>-75633.100000000006</v>
          </cell>
          <cell r="H582">
            <v>-104069.21</v>
          </cell>
          <cell r="I582">
            <v>-111296.59</v>
          </cell>
          <cell r="J582">
            <v>-76339.25</v>
          </cell>
          <cell r="K582">
            <v>-70937.119999999995</v>
          </cell>
          <cell r="N582">
            <v>0</v>
          </cell>
          <cell r="O582">
            <v>0</v>
          </cell>
          <cell r="Q582">
            <v>-618603.94000000006</v>
          </cell>
        </row>
        <row r="583">
          <cell r="A583" t="str">
            <v>F922A0E</v>
          </cell>
          <cell r="B583" t="str">
            <v>ADMIN EXP TRANSFERRED CREDIT-SEMPRA CHARGES</v>
          </cell>
          <cell r="I583">
            <v>0</v>
          </cell>
          <cell r="L583">
            <v>-120208.33</v>
          </cell>
          <cell r="M583">
            <v>-256845.44</v>
          </cell>
          <cell r="N583">
            <v>-349878.72</v>
          </cell>
          <cell r="O583">
            <v>-654552.73</v>
          </cell>
          <cell r="Q583">
            <v>-1381485.22</v>
          </cell>
        </row>
        <row r="584">
          <cell r="A584" t="str">
            <v>F922A0G</v>
          </cell>
          <cell r="B584" t="str">
            <v>ADMIN EXP TRANSFERRED CREDIT-SEMPRA CHARGES</v>
          </cell>
          <cell r="I584">
            <v>0</v>
          </cell>
          <cell r="L584">
            <v>-38369.47</v>
          </cell>
          <cell r="M584">
            <v>-81971.740000000005</v>
          </cell>
          <cell r="N584">
            <v>-111669.59</v>
          </cell>
          <cell r="O584">
            <v>-208900.87</v>
          </cell>
          <cell r="Q584">
            <v>-440911.67</v>
          </cell>
        </row>
        <row r="585">
          <cell r="A585" t="str">
            <v>F92300C</v>
          </cell>
          <cell r="B585" t="str">
            <v>OUTSIDE SERVICES EMPLOYED</v>
          </cell>
          <cell r="I585">
            <v>0</v>
          </cell>
          <cell r="N585">
            <v>0</v>
          </cell>
          <cell r="O585">
            <v>0</v>
          </cell>
          <cell r="Q585">
            <v>0</v>
          </cell>
        </row>
        <row r="586">
          <cell r="A586" t="str">
            <v>F92300E</v>
          </cell>
          <cell r="B586" t="str">
            <v>OUTSIDE SERVICES EMPLOYED</v>
          </cell>
          <cell r="D586">
            <v>13127.32</v>
          </cell>
          <cell r="E586">
            <v>197282.6</v>
          </cell>
          <cell r="F586">
            <v>171244.48</v>
          </cell>
          <cell r="G586">
            <v>253065.38</v>
          </cell>
          <cell r="H586">
            <v>199835.5</v>
          </cell>
          <cell r="I586">
            <v>155126.39999999999</v>
          </cell>
          <cell r="J586">
            <v>70327.91</v>
          </cell>
          <cell r="K586">
            <v>41242.58</v>
          </cell>
          <cell r="L586">
            <v>26722.25</v>
          </cell>
          <cell r="M586">
            <v>41449.339999999997</v>
          </cell>
          <cell r="N586">
            <v>75981.820000000007</v>
          </cell>
          <cell r="O586">
            <v>-628032.43000000005</v>
          </cell>
          <cell r="Q586">
            <v>617373.15000000026</v>
          </cell>
        </row>
        <row r="587">
          <cell r="A587" t="str">
            <v>F92300G</v>
          </cell>
          <cell r="B587" t="str">
            <v>OUTSIDE SERVICES EMPLOYED</v>
          </cell>
          <cell r="D587">
            <v>1093.8800000000001</v>
          </cell>
          <cell r="E587">
            <v>14474.11</v>
          </cell>
          <cell r="F587">
            <v>41097.129999999997</v>
          </cell>
          <cell r="G587">
            <v>48169.19</v>
          </cell>
          <cell r="H587">
            <v>55291.76</v>
          </cell>
          <cell r="I587">
            <v>47115.26</v>
          </cell>
          <cell r="J587">
            <v>19075.5</v>
          </cell>
          <cell r="K587">
            <v>16853.38</v>
          </cell>
          <cell r="L587">
            <v>27977.09</v>
          </cell>
          <cell r="M587">
            <v>20916.080000000002</v>
          </cell>
          <cell r="N587">
            <v>32368</v>
          </cell>
          <cell r="O587">
            <v>-105664.69</v>
          </cell>
          <cell r="Q587">
            <v>218766.69000000006</v>
          </cell>
        </row>
        <row r="588">
          <cell r="A588" t="str">
            <v>F9230AE</v>
          </cell>
          <cell r="B588" t="str">
            <v>OUTSIDE SERVICES EMPLOYED-SEMPRA CHARGES</v>
          </cell>
          <cell r="I588">
            <v>0</v>
          </cell>
          <cell r="L588">
            <v>90967.21</v>
          </cell>
          <cell r="M588">
            <v>204711.07</v>
          </cell>
          <cell r="N588">
            <v>61706.65</v>
          </cell>
          <cell r="O588">
            <v>90967.52</v>
          </cell>
          <cell r="Q588">
            <v>448352.45000000007</v>
          </cell>
        </row>
        <row r="589">
          <cell r="A589" t="str">
            <v>F9230AG</v>
          </cell>
          <cell r="B589" t="str">
            <v>OUTSIDE SERVICES EMPLOYED</v>
          </cell>
          <cell r="I589">
            <v>0</v>
          </cell>
          <cell r="L589">
            <v>29032.79</v>
          </cell>
          <cell r="M589">
            <v>65334.91</v>
          </cell>
          <cell r="N589">
            <v>19694.12</v>
          </cell>
          <cell r="O589">
            <v>29032.91</v>
          </cell>
          <cell r="Q589">
            <v>143094.73000000001</v>
          </cell>
        </row>
        <row r="590">
          <cell r="A590" t="str">
            <v>F92400C</v>
          </cell>
          <cell r="B590" t="str">
            <v>PROPERTY INSURANCE</v>
          </cell>
          <cell r="I590">
            <v>0</v>
          </cell>
          <cell r="N590">
            <v>0</v>
          </cell>
          <cell r="O590">
            <v>0</v>
          </cell>
          <cell r="Q590">
            <v>0</v>
          </cell>
        </row>
        <row r="591">
          <cell r="A591" t="str">
            <v>F92400E</v>
          </cell>
          <cell r="B591" t="str">
            <v>PROPERTY INSURANCE</v>
          </cell>
          <cell r="D591">
            <v>7164.56</v>
          </cell>
          <cell r="F591">
            <v>500101.84</v>
          </cell>
          <cell r="G591">
            <v>-3801838.65</v>
          </cell>
          <cell r="H591">
            <v>228.16</v>
          </cell>
          <cell r="I591">
            <v>24.81</v>
          </cell>
          <cell r="J591">
            <v>10424.01</v>
          </cell>
          <cell r="L591">
            <v>47725.83</v>
          </cell>
          <cell r="M591">
            <v>81302.09</v>
          </cell>
          <cell r="N591">
            <v>47458.28</v>
          </cell>
          <cell r="O591">
            <v>9135.5300000000007</v>
          </cell>
          <cell r="Q591">
            <v>-3098273.5400000005</v>
          </cell>
        </row>
        <row r="592">
          <cell r="A592" t="str">
            <v>F92400G</v>
          </cell>
          <cell r="B592" t="str">
            <v>PROPERTY INSURANCE</v>
          </cell>
          <cell r="D592">
            <v>2897.9</v>
          </cell>
          <cell r="E592">
            <v>5184.03</v>
          </cell>
          <cell r="F592">
            <v>752.65</v>
          </cell>
          <cell r="G592">
            <v>3576.01</v>
          </cell>
          <cell r="H592">
            <v>13492.38</v>
          </cell>
          <cell r="I592">
            <v>2781.22</v>
          </cell>
          <cell r="J592">
            <v>32293.53</v>
          </cell>
          <cell r="K592">
            <v>22698.53</v>
          </cell>
          <cell r="L592">
            <v>25316.85</v>
          </cell>
          <cell r="M592">
            <v>36216.89</v>
          </cell>
          <cell r="N592">
            <v>28956.38</v>
          </cell>
          <cell r="O592">
            <v>7826.99</v>
          </cell>
          <cell r="Q592">
            <v>181993.36</v>
          </cell>
        </row>
        <row r="593">
          <cell r="A593" t="str">
            <v>F92500C</v>
          </cell>
          <cell r="B593" t="str">
            <v>INJURIES AND DAMAGES</v>
          </cell>
          <cell r="I593">
            <v>0</v>
          </cell>
          <cell r="N593">
            <v>0</v>
          </cell>
          <cell r="O593">
            <v>0</v>
          </cell>
          <cell r="Q593">
            <v>0</v>
          </cell>
        </row>
        <row r="594">
          <cell r="A594" t="str">
            <v>F92500E</v>
          </cell>
          <cell r="B594" t="str">
            <v>INJURIES AND DAMAGES</v>
          </cell>
          <cell r="D594">
            <v>291545.40000000002</v>
          </cell>
          <cell r="E594">
            <v>133156.95000000001</v>
          </cell>
          <cell r="F594">
            <v>430737.63</v>
          </cell>
          <cell r="G594">
            <v>276438.21999999997</v>
          </cell>
          <cell r="H594">
            <v>212577.18</v>
          </cell>
          <cell r="I594">
            <v>361290.27</v>
          </cell>
          <cell r="J594">
            <v>465184.99</v>
          </cell>
          <cell r="K594">
            <v>133675.72</v>
          </cell>
          <cell r="L594">
            <v>-233766.8</v>
          </cell>
          <cell r="M594">
            <v>346041.44</v>
          </cell>
          <cell r="N594">
            <v>212558.11</v>
          </cell>
          <cell r="O594">
            <v>352164.74000000022</v>
          </cell>
          <cell r="Q594">
            <v>2981603.85</v>
          </cell>
        </row>
        <row r="595">
          <cell r="A595" t="str">
            <v>F92500G</v>
          </cell>
          <cell r="B595" t="str">
            <v>INJURIES AND DAMAGES</v>
          </cell>
          <cell r="D595">
            <v>123889.28</v>
          </cell>
          <cell r="E595">
            <v>98992.33</v>
          </cell>
          <cell r="F595">
            <v>291866.63</v>
          </cell>
          <cell r="G595">
            <v>113834.3</v>
          </cell>
          <cell r="H595">
            <v>133116.93</v>
          </cell>
          <cell r="I595">
            <v>177486.01</v>
          </cell>
          <cell r="J595">
            <v>227475.1</v>
          </cell>
          <cell r="K595">
            <v>75733.149999999994</v>
          </cell>
          <cell r="L595">
            <v>-57339.86</v>
          </cell>
          <cell r="M595">
            <v>181697.17</v>
          </cell>
          <cell r="N595">
            <v>113478.12</v>
          </cell>
          <cell r="O595">
            <v>179224.93999999994</v>
          </cell>
          <cell r="Q595">
            <v>1659454.0999999996</v>
          </cell>
        </row>
        <row r="596">
          <cell r="A596" t="str">
            <v>F92510C</v>
          </cell>
          <cell r="B596" t="str">
            <v>INJURIES AND DAMAGES - PLPD</v>
          </cell>
          <cell r="I596">
            <v>0</v>
          </cell>
          <cell r="N596">
            <v>0</v>
          </cell>
          <cell r="O596">
            <v>0</v>
          </cell>
          <cell r="Q596">
            <v>0</v>
          </cell>
        </row>
        <row r="597">
          <cell r="A597" t="str">
            <v>F92510E</v>
          </cell>
          <cell r="B597" t="str">
            <v>INJURIES AND DAMAGES</v>
          </cell>
          <cell r="D597">
            <v>156728.65</v>
          </cell>
          <cell r="E597">
            <v>86038.18</v>
          </cell>
          <cell r="F597">
            <v>96960.11</v>
          </cell>
          <cell r="G597">
            <v>159956.73000000001</v>
          </cell>
          <cell r="H597">
            <v>116021.23</v>
          </cell>
          <cell r="I597">
            <v>37537.43</v>
          </cell>
          <cell r="J597">
            <v>70446.27</v>
          </cell>
          <cell r="K597">
            <v>77216.19</v>
          </cell>
          <cell r="L597">
            <v>523202.49</v>
          </cell>
          <cell r="M597">
            <v>95562.14</v>
          </cell>
          <cell r="N597">
            <v>105366.2</v>
          </cell>
          <cell r="O597">
            <v>118493.73</v>
          </cell>
          <cell r="Q597">
            <v>1643529.3499999999</v>
          </cell>
        </row>
        <row r="598">
          <cell r="A598" t="str">
            <v>F92510G</v>
          </cell>
          <cell r="B598" t="str">
            <v>INJURIES AND DAMAGES</v>
          </cell>
          <cell r="D598">
            <v>68591.12</v>
          </cell>
          <cell r="E598">
            <v>37658.25</v>
          </cell>
          <cell r="F598">
            <v>42460.23</v>
          </cell>
          <cell r="G598">
            <v>47207.75</v>
          </cell>
          <cell r="H598">
            <v>44830.2</v>
          </cell>
          <cell r="I598">
            <v>10530.83</v>
          </cell>
          <cell r="J598">
            <v>30831.55</v>
          </cell>
          <cell r="K598">
            <v>33799.300000000003</v>
          </cell>
          <cell r="L598">
            <v>218104.76</v>
          </cell>
          <cell r="M598">
            <v>36381.980000000003</v>
          </cell>
          <cell r="N598">
            <v>40356.129999999997</v>
          </cell>
          <cell r="O598">
            <v>42907.1</v>
          </cell>
          <cell r="Q598">
            <v>653659.19999999995</v>
          </cell>
        </row>
        <row r="599">
          <cell r="A599" t="str">
            <v>F92520E</v>
          </cell>
          <cell r="B599" t="str">
            <v>INJURIES AND DAMAGES</v>
          </cell>
          <cell r="D599">
            <v>15492.61</v>
          </cell>
          <cell r="E599">
            <v>14788.54</v>
          </cell>
          <cell r="F599">
            <v>15083</v>
          </cell>
          <cell r="G599">
            <v>15043.53</v>
          </cell>
          <cell r="H599">
            <v>17470.18</v>
          </cell>
          <cell r="I599">
            <v>14333.5</v>
          </cell>
          <cell r="J599">
            <v>18107.52</v>
          </cell>
          <cell r="K599">
            <v>17903.82</v>
          </cell>
          <cell r="L599">
            <v>15155.19</v>
          </cell>
          <cell r="M599">
            <v>36329.72</v>
          </cell>
          <cell r="N599">
            <v>18039.240000000002</v>
          </cell>
          <cell r="O599">
            <v>10463.129999999999</v>
          </cell>
          <cell r="Q599">
            <v>208209.98</v>
          </cell>
        </row>
        <row r="600">
          <cell r="A600" t="str">
            <v>F92520G</v>
          </cell>
          <cell r="B600" t="str">
            <v>INJURIES AND DAMAGES</v>
          </cell>
          <cell r="E600">
            <v>23.12</v>
          </cell>
          <cell r="I600">
            <v>0</v>
          </cell>
          <cell r="M600">
            <v>882.39</v>
          </cell>
          <cell r="N600">
            <v>0</v>
          </cell>
          <cell r="O600">
            <v>25.1</v>
          </cell>
          <cell r="Q600">
            <v>930.61</v>
          </cell>
        </row>
        <row r="601">
          <cell r="A601" t="str">
            <v>F92600C</v>
          </cell>
          <cell r="B601" t="str">
            <v>EMPLOYEE PENSIONS AND BENEFITS</v>
          </cell>
          <cell r="I601">
            <v>0</v>
          </cell>
          <cell r="N601">
            <v>0</v>
          </cell>
          <cell r="O601">
            <v>0</v>
          </cell>
          <cell r="Q601">
            <v>0</v>
          </cell>
        </row>
        <row r="602">
          <cell r="A602" t="str">
            <v>F92600E</v>
          </cell>
          <cell r="B602" t="str">
            <v>EMPLOYEE PENSIONS AND BENEFITS</v>
          </cell>
          <cell r="D602">
            <v>1186233.68</v>
          </cell>
          <cell r="E602">
            <v>407865.03</v>
          </cell>
          <cell r="F602">
            <v>1103215.96</v>
          </cell>
          <cell r="G602">
            <v>759718.63</v>
          </cell>
          <cell r="H602">
            <v>664233.57999999996</v>
          </cell>
          <cell r="I602">
            <v>949004.79</v>
          </cell>
          <cell r="J602">
            <v>520548.67</v>
          </cell>
          <cell r="K602">
            <v>823073.9</v>
          </cell>
          <cell r="L602">
            <v>443039.82</v>
          </cell>
          <cell r="M602">
            <v>597754.62</v>
          </cell>
          <cell r="N602">
            <v>-271644.09000000003</v>
          </cell>
          <cell r="O602">
            <v>4193703.49</v>
          </cell>
          <cell r="Q602">
            <v>11376748.080000002</v>
          </cell>
        </row>
        <row r="603">
          <cell r="A603" t="str">
            <v>F92600G</v>
          </cell>
          <cell r="B603" t="str">
            <v>EMPLOYEE PENSIONS AND BENEFITS</v>
          </cell>
          <cell r="D603">
            <v>481703.2</v>
          </cell>
          <cell r="E603">
            <v>165594.15</v>
          </cell>
          <cell r="F603">
            <v>448458.68</v>
          </cell>
          <cell r="G603">
            <v>308715.48</v>
          </cell>
          <cell r="H603">
            <v>268696.32000000001</v>
          </cell>
          <cell r="I603">
            <v>342894.73</v>
          </cell>
          <cell r="J603">
            <v>210289.22</v>
          </cell>
          <cell r="K603">
            <v>334875.65999999997</v>
          </cell>
          <cell r="L603">
            <v>177055.49</v>
          </cell>
          <cell r="M603">
            <v>242714.23999999999</v>
          </cell>
          <cell r="N603">
            <v>-110496.95</v>
          </cell>
          <cell r="O603">
            <v>1703005.45</v>
          </cell>
          <cell r="Q603">
            <v>4573505.6700000009</v>
          </cell>
        </row>
        <row r="604">
          <cell r="A604" t="str">
            <v>F9260AE</v>
          </cell>
          <cell r="B604" t="str">
            <v>EMPLOYEE PENSIONS AND BENEFITS-AFFILIATE</v>
          </cell>
          <cell r="D604">
            <v>-280927.71999999997</v>
          </cell>
          <cell r="E604">
            <v>-80424.3</v>
          </cell>
          <cell r="F604">
            <v>-595648.56000000006</v>
          </cell>
          <cell r="G604">
            <v>303852.65000000002</v>
          </cell>
          <cell r="I604">
            <v>0</v>
          </cell>
          <cell r="J604">
            <v>-30459.41</v>
          </cell>
          <cell r="K604">
            <v>-136426.03</v>
          </cell>
          <cell r="L604">
            <v>30357.01</v>
          </cell>
          <cell r="M604">
            <v>30663.79</v>
          </cell>
          <cell r="N604">
            <v>30454.62</v>
          </cell>
          <cell r="O604">
            <v>401299.19</v>
          </cell>
          <cell r="Q604">
            <v>-327258.76000000007</v>
          </cell>
        </row>
        <row r="605">
          <cell r="A605" t="str">
            <v>F9260AG</v>
          </cell>
          <cell r="B605" t="str">
            <v>EMPLOYEE PENSIONS AND BENEFITS-AFFILIATE</v>
          </cell>
          <cell r="D605">
            <v>-114166.39999999999</v>
          </cell>
          <cell r="E605">
            <v>-32683.69</v>
          </cell>
          <cell r="F605">
            <v>-242065.62</v>
          </cell>
          <cell r="G605">
            <v>123482.87</v>
          </cell>
          <cell r="I605">
            <v>0</v>
          </cell>
          <cell r="J605">
            <v>-12438.01</v>
          </cell>
          <cell r="K605">
            <v>-55442.26</v>
          </cell>
          <cell r="L605">
            <v>12355.33</v>
          </cell>
          <cell r="M605">
            <v>12469.44</v>
          </cell>
          <cell r="N605">
            <v>12384.21</v>
          </cell>
          <cell r="O605">
            <v>163502.67000000001</v>
          </cell>
          <cell r="Q605">
            <v>-132601.45999999993</v>
          </cell>
        </row>
        <row r="606">
          <cell r="A606" t="str">
            <v>F92700C</v>
          </cell>
          <cell r="B606" t="str">
            <v>FRANCHISE REQUIREMENTS</v>
          </cell>
          <cell r="I606">
            <v>0</v>
          </cell>
          <cell r="N606">
            <v>0</v>
          </cell>
          <cell r="O606">
            <v>0</v>
          </cell>
          <cell r="Q606">
            <v>0</v>
          </cell>
        </row>
        <row r="607">
          <cell r="A607" t="str">
            <v>F92700E</v>
          </cell>
          <cell r="B607" t="str">
            <v>FRANCHISE REQUIREMENTS</v>
          </cell>
          <cell r="D607">
            <v>4529112</v>
          </cell>
          <cell r="E607">
            <v>4296628.96</v>
          </cell>
          <cell r="F607">
            <v>-2244476.2400000002</v>
          </cell>
          <cell r="G607">
            <v>3712618</v>
          </cell>
          <cell r="H607">
            <v>3131089.65</v>
          </cell>
          <cell r="I607">
            <v>3038026</v>
          </cell>
          <cell r="J607">
            <v>3121866</v>
          </cell>
          <cell r="K607">
            <v>3196426.65</v>
          </cell>
          <cell r="L607">
            <v>3428478</v>
          </cell>
          <cell r="M607">
            <v>394910</v>
          </cell>
          <cell r="N607">
            <v>2250708.65</v>
          </cell>
          <cell r="O607">
            <v>2552813</v>
          </cell>
          <cell r="Q607">
            <v>31408200.669999998</v>
          </cell>
        </row>
        <row r="608">
          <cell r="A608" t="str">
            <v>F92700G</v>
          </cell>
          <cell r="B608" t="str">
            <v>FRANCHISE REQUIREMENTS</v>
          </cell>
          <cell r="D608">
            <v>2373517</v>
          </cell>
          <cell r="E608">
            <v>2576689</v>
          </cell>
          <cell r="F608">
            <v>2079161.54</v>
          </cell>
          <cell r="G608">
            <v>1748003</v>
          </cell>
          <cell r="H608">
            <v>1279229</v>
          </cell>
          <cell r="I608">
            <v>1261445</v>
          </cell>
          <cell r="J608">
            <v>824476</v>
          </cell>
          <cell r="K608">
            <v>478658</v>
          </cell>
          <cell r="L608">
            <v>462974</v>
          </cell>
          <cell r="M608">
            <v>481370</v>
          </cell>
          <cell r="N608">
            <v>562934</v>
          </cell>
          <cell r="O608">
            <v>1023011</v>
          </cell>
          <cell r="Q608">
            <v>15151467.539999999</v>
          </cell>
        </row>
        <row r="609">
          <cell r="A609" t="str">
            <v>F92800C</v>
          </cell>
          <cell r="B609" t="str">
            <v>REGULATORY COMMISSION EXPENSES</v>
          </cell>
          <cell r="I609">
            <v>0</v>
          </cell>
          <cell r="N609">
            <v>0</v>
          </cell>
          <cell r="O609">
            <v>0</v>
          </cell>
          <cell r="Q609">
            <v>0</v>
          </cell>
        </row>
        <row r="610">
          <cell r="A610" t="str">
            <v>F92800E</v>
          </cell>
          <cell r="B610" t="str">
            <v>REGULATORY COMMISSION EXPENSES</v>
          </cell>
          <cell r="D610">
            <v>381003.47</v>
          </cell>
          <cell r="E610">
            <v>608798.15</v>
          </cell>
          <cell r="F610">
            <v>642409.1</v>
          </cell>
          <cell r="G610">
            <v>461233.21</v>
          </cell>
          <cell r="H610">
            <v>608798.12</v>
          </cell>
          <cell r="I610">
            <v>557374.39</v>
          </cell>
          <cell r="J610">
            <v>914772.55</v>
          </cell>
          <cell r="K610">
            <v>515163.1</v>
          </cell>
          <cell r="L610">
            <v>455204.46</v>
          </cell>
          <cell r="M610">
            <v>604929.15</v>
          </cell>
          <cell r="N610">
            <v>364147.21</v>
          </cell>
          <cell r="O610">
            <v>585406.4</v>
          </cell>
          <cell r="Q610">
            <v>6699239.3100000005</v>
          </cell>
        </row>
        <row r="611">
          <cell r="A611" t="str">
            <v>F92800G</v>
          </cell>
          <cell r="B611" t="str">
            <v>REGULATORY COMMISSION EXPENSES</v>
          </cell>
          <cell r="D611">
            <v>164891.39000000001</v>
          </cell>
          <cell r="E611">
            <v>164058.69</v>
          </cell>
          <cell r="F611">
            <v>197245.87</v>
          </cell>
          <cell r="G611">
            <v>176669.88</v>
          </cell>
          <cell r="H611">
            <v>206918.29</v>
          </cell>
          <cell r="I611">
            <v>184776.49</v>
          </cell>
          <cell r="J611">
            <v>158954.13</v>
          </cell>
          <cell r="K611">
            <v>148597.82</v>
          </cell>
          <cell r="L611">
            <v>148399.75</v>
          </cell>
          <cell r="M611">
            <v>134215.01999999999</v>
          </cell>
          <cell r="N611">
            <v>122433.26</v>
          </cell>
          <cell r="O611">
            <v>148808.56</v>
          </cell>
          <cell r="Q611">
            <v>1955969.15</v>
          </cell>
        </row>
        <row r="612">
          <cell r="A612" t="str">
            <v>F9280AE</v>
          </cell>
          <cell r="B612" t="str">
            <v>REGULATORY COMMISSION EXPENSES-AFFILIATE</v>
          </cell>
          <cell r="I612">
            <v>0</v>
          </cell>
          <cell r="L612">
            <v>122703.93</v>
          </cell>
          <cell r="M612">
            <v>161195.04999999999</v>
          </cell>
          <cell r="N612">
            <v>120416.05</v>
          </cell>
          <cell r="O612">
            <v>124406.19</v>
          </cell>
          <cell r="Q612">
            <v>528721.22</v>
          </cell>
        </row>
        <row r="613">
          <cell r="A613" t="str">
            <v>F9280AG</v>
          </cell>
          <cell r="B613" t="str">
            <v>REGULATORY COMMISSION EXPENSES-AFFILIATE</v>
          </cell>
          <cell r="I613">
            <v>0</v>
          </cell>
          <cell r="L613">
            <v>39161.81</v>
          </cell>
          <cell r="M613">
            <v>51446.55</v>
          </cell>
          <cell r="N613">
            <v>38431.620000000003</v>
          </cell>
          <cell r="O613">
            <v>39705.07</v>
          </cell>
          <cell r="Q613">
            <v>168745.05000000002</v>
          </cell>
        </row>
        <row r="614">
          <cell r="A614" t="str">
            <v>F92850E</v>
          </cell>
          <cell r="B614" t="str">
            <v>REGULATORY COMMISSION EXPENSES</v>
          </cell>
          <cell r="I614">
            <v>0</v>
          </cell>
          <cell r="N614">
            <v>0</v>
          </cell>
          <cell r="O614">
            <v>0</v>
          </cell>
          <cell r="Q614">
            <v>0</v>
          </cell>
        </row>
        <row r="615">
          <cell r="A615" t="str">
            <v>F92850G</v>
          </cell>
          <cell r="B615" t="str">
            <v>REGULATORY COMMISSION EXPENSES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F92900E</v>
          </cell>
          <cell r="B616" t="str">
            <v>DUPLICATE CHARGES-CR.</v>
          </cell>
          <cell r="D616">
            <v>-197929.01</v>
          </cell>
          <cell r="F616">
            <v>-666068.78</v>
          </cell>
          <cell r="H616">
            <v>-587404.52</v>
          </cell>
          <cell r="I616">
            <v>0</v>
          </cell>
          <cell r="J616">
            <v>-299627.31</v>
          </cell>
          <cell r="K616">
            <v>-110444.44</v>
          </cell>
          <cell r="M616">
            <v>-193751.58</v>
          </cell>
          <cell r="N616">
            <v>0</v>
          </cell>
          <cell r="O616">
            <v>-188507.98</v>
          </cell>
          <cell r="Q616">
            <v>-2243733.62</v>
          </cell>
        </row>
        <row r="617">
          <cell r="A617" t="str">
            <v>F93010E</v>
          </cell>
          <cell r="B617" t="str">
            <v>GENERAL ADVERTISING EXPENSES</v>
          </cell>
          <cell r="D617">
            <v>-1437.35</v>
          </cell>
          <cell r="F617">
            <v>1437.09</v>
          </cell>
          <cell r="H617">
            <v>1.1399999999999999</v>
          </cell>
          <cell r="I617">
            <v>0</v>
          </cell>
          <cell r="J617">
            <v>77.569999999999993</v>
          </cell>
          <cell r="K617">
            <v>0.56999999999999995</v>
          </cell>
          <cell r="M617">
            <v>81.010000000000005</v>
          </cell>
          <cell r="N617">
            <v>0</v>
          </cell>
          <cell r="O617">
            <v>715.79</v>
          </cell>
          <cell r="Q617">
            <v>875.81999999999994</v>
          </cell>
        </row>
        <row r="618">
          <cell r="A618" t="str">
            <v>F93010G</v>
          </cell>
          <cell r="B618" t="str">
            <v>GENERAL ADVERTISING EXPENSES</v>
          </cell>
          <cell r="D618">
            <v>-458.74</v>
          </cell>
          <cell r="F618">
            <v>458.66</v>
          </cell>
          <cell r="H618">
            <v>0.36</v>
          </cell>
          <cell r="I618">
            <v>0</v>
          </cell>
          <cell r="J618">
            <v>24.76</v>
          </cell>
          <cell r="K618">
            <v>0.18</v>
          </cell>
          <cell r="M618">
            <v>25.85</v>
          </cell>
          <cell r="N618">
            <v>0</v>
          </cell>
          <cell r="O618">
            <v>1013.31</v>
          </cell>
          <cell r="Q618">
            <v>1064.3799999999999</v>
          </cell>
        </row>
        <row r="619">
          <cell r="A619" t="str">
            <v>F93020C</v>
          </cell>
          <cell r="B619" t="str">
            <v>MISCELLANEOUS GENERAL EXPENSES</v>
          </cell>
          <cell r="I619">
            <v>0</v>
          </cell>
          <cell r="N619">
            <v>0</v>
          </cell>
          <cell r="O619">
            <v>0</v>
          </cell>
          <cell r="Q619">
            <v>0</v>
          </cell>
        </row>
        <row r="620">
          <cell r="A620" t="str">
            <v>F93020E</v>
          </cell>
          <cell r="B620" t="str">
            <v>MISCELLANEOUS GENERAL EXPENSES</v>
          </cell>
          <cell r="D620">
            <v>-291631.49</v>
          </cell>
          <cell r="E620">
            <v>-278363.86</v>
          </cell>
          <cell r="F620">
            <v>4628932.08</v>
          </cell>
          <cell r="G620">
            <v>438430.63</v>
          </cell>
          <cell r="H620">
            <v>201082.34</v>
          </cell>
          <cell r="I620">
            <v>4463999.99</v>
          </cell>
          <cell r="J620">
            <v>552476.81000000006</v>
          </cell>
          <cell r="K620">
            <v>228874.06</v>
          </cell>
          <cell r="L620">
            <v>402479.84</v>
          </cell>
          <cell r="M620">
            <v>4218586.79</v>
          </cell>
          <cell r="N620">
            <v>387607.47</v>
          </cell>
          <cell r="O620">
            <v>8812245.2100000009</v>
          </cell>
          <cell r="Q620">
            <v>23764719.870000005</v>
          </cell>
        </row>
        <row r="621">
          <cell r="A621" t="str">
            <v>F93020G</v>
          </cell>
          <cell r="B621" t="str">
            <v>MISCELLANEOUS GENERAL EXPENSES</v>
          </cell>
          <cell r="D621">
            <v>533786.35</v>
          </cell>
          <cell r="E621">
            <v>96465.27</v>
          </cell>
          <cell r="F621">
            <v>155457.38</v>
          </cell>
          <cell r="G621">
            <v>20869.57</v>
          </cell>
          <cell r="H621">
            <v>76710.240000000005</v>
          </cell>
          <cell r="I621">
            <v>116770.52</v>
          </cell>
          <cell r="J621">
            <v>181743.37</v>
          </cell>
          <cell r="K621">
            <v>95217.88</v>
          </cell>
          <cell r="L621">
            <v>73623.56</v>
          </cell>
          <cell r="M621">
            <v>85575.42</v>
          </cell>
          <cell r="N621">
            <v>109174.48</v>
          </cell>
          <cell r="O621">
            <v>283396.52</v>
          </cell>
          <cell r="Q621">
            <v>1828790.56</v>
          </cell>
        </row>
        <row r="622">
          <cell r="A622" t="str">
            <v>F93021C</v>
          </cell>
          <cell r="B622" t="str">
            <v>MISCELLANEOUS GENERAL EXPENSES - ADJ</v>
          </cell>
          <cell r="I622">
            <v>0</v>
          </cell>
          <cell r="N622">
            <v>0</v>
          </cell>
          <cell r="O622">
            <v>0</v>
          </cell>
          <cell r="Q622">
            <v>0</v>
          </cell>
        </row>
        <row r="623">
          <cell r="A623" t="str">
            <v>F93022C</v>
          </cell>
          <cell r="B623" t="str">
            <v>MISCELLANEOUS GENERAL EXPENSES-V&amp;S ADJUSTMENTS</v>
          </cell>
          <cell r="D623">
            <v>218876.44</v>
          </cell>
          <cell r="E623">
            <v>98162.09</v>
          </cell>
          <cell r="F623">
            <v>74390.52</v>
          </cell>
          <cell r="G623">
            <v>221663.44</v>
          </cell>
          <cell r="H623">
            <v>192782</v>
          </cell>
          <cell r="I623">
            <v>120068.53</v>
          </cell>
          <cell r="J623">
            <v>169050.67</v>
          </cell>
          <cell r="K623">
            <v>104514.67</v>
          </cell>
          <cell r="L623">
            <v>101743.3</v>
          </cell>
          <cell r="M623">
            <v>102997.47</v>
          </cell>
          <cell r="N623">
            <v>181458.13</v>
          </cell>
          <cell r="O623">
            <v>311146.40999999997</v>
          </cell>
          <cell r="Q623">
            <v>1896853.6699999997</v>
          </cell>
        </row>
        <row r="624">
          <cell r="A624" t="str">
            <v>F93022E</v>
          </cell>
          <cell r="B624" t="str">
            <v>MISCELLANEOUS GENERAL EXPENSES</v>
          </cell>
          <cell r="I624">
            <v>0</v>
          </cell>
          <cell r="N624">
            <v>0</v>
          </cell>
          <cell r="O624">
            <v>0</v>
          </cell>
          <cell r="Q624">
            <v>0</v>
          </cell>
        </row>
        <row r="625">
          <cell r="A625" t="str">
            <v>F93022G</v>
          </cell>
          <cell r="B625" t="str">
            <v>MISCELLANEOUS GENERAL EXPENSES</v>
          </cell>
          <cell r="I625">
            <v>0</v>
          </cell>
          <cell r="N625">
            <v>0</v>
          </cell>
          <cell r="O625">
            <v>0</v>
          </cell>
          <cell r="Q625">
            <v>0</v>
          </cell>
        </row>
        <row r="626">
          <cell r="A626" t="str">
            <v>F93030E</v>
          </cell>
          <cell r="B626" t="str">
            <v>MISC GENERAL EXP-AFFIL. BILLING</v>
          </cell>
          <cell r="D626">
            <v>-733.07</v>
          </cell>
          <cell r="E626">
            <v>4380.1000000000004</v>
          </cell>
          <cell r="F626">
            <v>0</v>
          </cell>
          <cell r="G626">
            <v>-7566</v>
          </cell>
          <cell r="H626">
            <v>24147.42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6.3</v>
          </cell>
          <cell r="N626">
            <v>0</v>
          </cell>
          <cell r="O626">
            <v>0</v>
          </cell>
          <cell r="Q626">
            <v>20234.749999999996</v>
          </cell>
        </row>
        <row r="627">
          <cell r="A627" t="str">
            <v>F93031E</v>
          </cell>
          <cell r="B627" t="str">
            <v>INTERCO BILLING - SCG TO SDGE</v>
          </cell>
          <cell r="D627">
            <v>2037272.81</v>
          </cell>
          <cell r="E627">
            <v>-1820632.26</v>
          </cell>
          <cell r="F627">
            <v>15238.72</v>
          </cell>
          <cell r="G627">
            <v>58542.47</v>
          </cell>
          <cell r="H627">
            <v>266067.71000000002</v>
          </cell>
          <cell r="I627">
            <v>-398237.23</v>
          </cell>
          <cell r="L627">
            <v>-72004.62</v>
          </cell>
          <cell r="M627">
            <v>-21355.7</v>
          </cell>
          <cell r="N627">
            <v>53543.199999999997</v>
          </cell>
          <cell r="O627">
            <v>0</v>
          </cell>
          <cell r="Q627">
            <v>118435.10000000009</v>
          </cell>
        </row>
        <row r="628">
          <cell r="A628" t="str">
            <v>F93031G</v>
          </cell>
          <cell r="B628" t="str">
            <v>INTERCO BILLING - SCG TO SDGE</v>
          </cell>
          <cell r="I628">
            <v>0</v>
          </cell>
          <cell r="J628">
            <v>-272958.82</v>
          </cell>
          <cell r="K628">
            <v>150005.54</v>
          </cell>
          <cell r="N628">
            <v>0</v>
          </cell>
          <cell r="O628">
            <v>0</v>
          </cell>
          <cell r="Q628">
            <v>-122953.28</v>
          </cell>
        </row>
        <row r="629">
          <cell r="A629" t="str">
            <v>F93040E</v>
          </cell>
          <cell r="B629" t="str">
            <v>EMERGING BUSINESS ENT. COSTS</v>
          </cell>
          <cell r="I629">
            <v>0</v>
          </cell>
          <cell r="J629">
            <v>129.32</v>
          </cell>
          <cell r="N629">
            <v>0</v>
          </cell>
          <cell r="O629">
            <v>0</v>
          </cell>
          <cell r="Q629">
            <v>129.32</v>
          </cell>
        </row>
        <row r="630">
          <cell r="A630" t="str">
            <v>F93040G</v>
          </cell>
          <cell r="B630" t="str">
            <v>FLEET COSTS</v>
          </cell>
          <cell r="I630">
            <v>0</v>
          </cell>
          <cell r="J630">
            <v>41.28</v>
          </cell>
          <cell r="N630">
            <v>0</v>
          </cell>
          <cell r="O630">
            <v>0</v>
          </cell>
          <cell r="Q630">
            <v>41.28</v>
          </cell>
        </row>
        <row r="631">
          <cell r="A631" t="str">
            <v>F93100C</v>
          </cell>
          <cell r="B631" t="str">
            <v>RENTS</v>
          </cell>
          <cell r="I631">
            <v>0</v>
          </cell>
          <cell r="N631">
            <v>0</v>
          </cell>
          <cell r="O631">
            <v>0</v>
          </cell>
          <cell r="Q631">
            <v>0</v>
          </cell>
        </row>
        <row r="632">
          <cell r="A632" t="str">
            <v>F93100E</v>
          </cell>
          <cell r="B632" t="str">
            <v>RENTS</v>
          </cell>
          <cell r="D632">
            <v>315209.19</v>
          </cell>
          <cell r="E632">
            <v>279742.94</v>
          </cell>
          <cell r="F632">
            <v>310415.34999999998</v>
          </cell>
          <cell r="G632">
            <v>292167.74</v>
          </cell>
          <cell r="H632">
            <v>307718.40000000002</v>
          </cell>
          <cell r="I632">
            <v>295925.23</v>
          </cell>
          <cell r="J632">
            <v>170203.62</v>
          </cell>
          <cell r="K632">
            <v>305053.5</v>
          </cell>
          <cell r="L632">
            <v>45160.27</v>
          </cell>
          <cell r="M632">
            <v>56176.17</v>
          </cell>
          <cell r="N632">
            <v>117251.35</v>
          </cell>
          <cell r="O632">
            <v>41764.31</v>
          </cell>
          <cell r="Q632">
            <v>2536788.0700000003</v>
          </cell>
        </row>
        <row r="633">
          <cell r="A633" t="str">
            <v>F93100G</v>
          </cell>
          <cell r="B633" t="str">
            <v>RENTS</v>
          </cell>
          <cell r="D633">
            <v>101750.56</v>
          </cell>
          <cell r="E633">
            <v>89282.38</v>
          </cell>
          <cell r="F633">
            <v>99072.17</v>
          </cell>
          <cell r="G633">
            <v>93248.06</v>
          </cell>
          <cell r="H633">
            <v>98211.15</v>
          </cell>
          <cell r="I633">
            <v>94447.26</v>
          </cell>
          <cell r="J633">
            <v>54319.95</v>
          </cell>
          <cell r="K633">
            <v>97360.82</v>
          </cell>
          <cell r="L633">
            <v>14409.12</v>
          </cell>
          <cell r="M633">
            <v>17924.95</v>
          </cell>
          <cell r="N633">
            <v>37413.4</v>
          </cell>
          <cell r="O633">
            <v>12566.74</v>
          </cell>
          <cell r="Q633">
            <v>810006.55999999982</v>
          </cell>
        </row>
        <row r="634">
          <cell r="A634" t="str">
            <v>F93500C</v>
          </cell>
          <cell r="B634" t="str">
            <v>MAINTENANCE OF GENERAL PLANT</v>
          </cell>
          <cell r="I634">
            <v>0</v>
          </cell>
          <cell r="N634">
            <v>0</v>
          </cell>
          <cell r="O634">
            <v>0</v>
          </cell>
          <cell r="Q634">
            <v>0</v>
          </cell>
        </row>
        <row r="635">
          <cell r="A635" t="str">
            <v>F93500E</v>
          </cell>
          <cell r="B635" t="str">
            <v>MAINTENANCE OF GENERAL PLANT</v>
          </cell>
          <cell r="D635">
            <v>1195603.18</v>
          </cell>
          <cell r="E635">
            <v>1035988.67</v>
          </cell>
          <cell r="F635">
            <v>1385880.38</v>
          </cell>
          <cell r="G635">
            <v>1043754.33</v>
          </cell>
          <cell r="H635">
            <v>2001320.6</v>
          </cell>
          <cell r="I635">
            <v>1119405.29</v>
          </cell>
          <cell r="J635">
            <v>1411411.35</v>
          </cell>
          <cell r="K635">
            <v>1428052.35</v>
          </cell>
          <cell r="L635">
            <v>1448844.57</v>
          </cell>
          <cell r="M635">
            <v>1623473.19</v>
          </cell>
          <cell r="N635">
            <v>1473771.57</v>
          </cell>
          <cell r="O635">
            <v>1834793.7</v>
          </cell>
          <cell r="Q635">
            <v>17002299.18</v>
          </cell>
        </row>
        <row r="636">
          <cell r="A636" t="str">
            <v>F93500G</v>
          </cell>
          <cell r="B636" t="str">
            <v>MAINTENANCE OF GENERAL PLANT</v>
          </cell>
          <cell r="D636">
            <v>382357.16</v>
          </cell>
          <cell r="E636">
            <v>328070.53000000003</v>
          </cell>
          <cell r="F636">
            <v>442941.23</v>
          </cell>
          <cell r="G636">
            <v>335482.86</v>
          </cell>
          <cell r="H636">
            <v>639269.86</v>
          </cell>
          <cell r="I636">
            <v>358400.42</v>
          </cell>
          <cell r="J636">
            <v>450789.71</v>
          </cell>
          <cell r="K636">
            <v>456375.15</v>
          </cell>
          <cell r="L636">
            <v>409993.53</v>
          </cell>
          <cell r="M636">
            <v>476717.07</v>
          </cell>
          <cell r="N636">
            <v>474697.47</v>
          </cell>
          <cell r="O636">
            <v>541304.65</v>
          </cell>
          <cell r="Q636">
            <v>5296399.6399999997</v>
          </cell>
        </row>
        <row r="637">
          <cell r="A637" t="str">
            <v>F9350AE</v>
          </cell>
          <cell r="B637" t="str">
            <v>MAINTENANCE OF GENERAL PLANT-SEMPRA CHARGES</v>
          </cell>
          <cell r="D637">
            <v>1574446.99</v>
          </cell>
          <cell r="E637">
            <v>2091093.85</v>
          </cell>
          <cell r="F637">
            <v>1807746.79</v>
          </cell>
          <cell r="G637">
            <v>1966576.17</v>
          </cell>
          <cell r="H637">
            <v>1744461.2</v>
          </cell>
          <cell r="I637">
            <v>1739915.97</v>
          </cell>
          <cell r="J637">
            <v>1984624.65</v>
          </cell>
          <cell r="K637">
            <v>1807331.31</v>
          </cell>
          <cell r="L637">
            <v>1872531.17</v>
          </cell>
          <cell r="M637">
            <v>2561779.7200000002</v>
          </cell>
          <cell r="N637">
            <v>2784217.34</v>
          </cell>
          <cell r="O637">
            <v>1907031.59</v>
          </cell>
          <cell r="Q637">
            <v>23841756.75</v>
          </cell>
        </row>
        <row r="638">
          <cell r="A638" t="str">
            <v>F9350AG</v>
          </cell>
          <cell r="B638" t="str">
            <v>MAINTENANCE OF GENERAL PLANT-SEMPRA CHARGES</v>
          </cell>
          <cell r="D638">
            <v>502495.2</v>
          </cell>
          <cell r="E638">
            <v>667387</v>
          </cell>
          <cell r="F638">
            <v>576954.87</v>
          </cell>
          <cell r="G638">
            <v>627646.18999999994</v>
          </cell>
          <cell r="H638">
            <v>556756.72</v>
          </cell>
          <cell r="I638">
            <v>555305.88</v>
          </cell>
          <cell r="J638">
            <v>633406.54</v>
          </cell>
          <cell r="K638">
            <v>576822.26</v>
          </cell>
          <cell r="L638">
            <v>597631.06000000006</v>
          </cell>
          <cell r="M638">
            <v>817609.38</v>
          </cell>
          <cell r="N638">
            <v>888601.96</v>
          </cell>
          <cell r="O638">
            <v>608642.13</v>
          </cell>
          <cell r="Q638">
            <v>7609259.1899999985</v>
          </cell>
        </row>
        <row r="639">
          <cell r="A639" t="str">
            <v>F93510E</v>
          </cell>
          <cell r="B639" t="str">
            <v>MAINT OF GENERAL PLA</v>
          </cell>
          <cell r="D639">
            <v>88995.47</v>
          </cell>
          <cell r="E639">
            <v>73590.06</v>
          </cell>
          <cell r="F639">
            <v>70341.38</v>
          </cell>
          <cell r="G639">
            <v>75034.080000000002</v>
          </cell>
          <cell r="H639">
            <v>89633.64</v>
          </cell>
          <cell r="I639">
            <v>64870.95</v>
          </cell>
          <cell r="J639">
            <v>87790.25</v>
          </cell>
          <cell r="K639">
            <v>77312.73</v>
          </cell>
          <cell r="L639">
            <v>56477.75</v>
          </cell>
          <cell r="M639">
            <v>82303.95</v>
          </cell>
          <cell r="N639">
            <v>103855.23</v>
          </cell>
          <cell r="O639">
            <v>146562.73000000001</v>
          </cell>
          <cell r="Q639">
            <v>1016768.22</v>
          </cell>
        </row>
        <row r="640">
          <cell r="A640" t="str">
            <v>F93510G</v>
          </cell>
          <cell r="B640" t="str">
            <v>MAINT OF GENERAL PLA</v>
          </cell>
          <cell r="D640">
            <v>35358.89</v>
          </cell>
          <cell r="E640">
            <v>30130.9</v>
          </cell>
          <cell r="F640">
            <v>24269.66</v>
          </cell>
          <cell r="G640">
            <v>26818.82</v>
          </cell>
          <cell r="H640">
            <v>32215.23</v>
          </cell>
          <cell r="I640">
            <v>25788.31</v>
          </cell>
          <cell r="J640">
            <v>34254.300000000003</v>
          </cell>
          <cell r="K640">
            <v>29855.47</v>
          </cell>
          <cell r="L640">
            <v>21213.48</v>
          </cell>
          <cell r="M640">
            <v>31942.98</v>
          </cell>
          <cell r="N640">
            <v>31160.36</v>
          </cell>
          <cell r="O640">
            <v>48913.75</v>
          </cell>
          <cell r="Q640">
            <v>371922.14999999997</v>
          </cell>
        </row>
        <row r="641">
          <cell r="A641" t="str">
            <v>F99990C</v>
          </cell>
          <cell r="B641" t="str">
            <v>PROFIT AND LOSS OFFSET ACCOUNT</v>
          </cell>
          <cell r="D641">
            <v>-65802692.390000001</v>
          </cell>
          <cell r="E641">
            <v>-56475969.340000004</v>
          </cell>
          <cell r="F641">
            <v>-61681522.969999999</v>
          </cell>
          <cell r="G641">
            <v>-57600900.140000001</v>
          </cell>
          <cell r="H641">
            <v>-65188421</v>
          </cell>
          <cell r="I641">
            <v>-53334603.219999999</v>
          </cell>
          <cell r="J641">
            <v>-62958587.590000004</v>
          </cell>
          <cell r="K641">
            <v>-56950255.469999999</v>
          </cell>
          <cell r="L641">
            <v>-61410909.310000002</v>
          </cell>
          <cell r="M641">
            <v>-62371151.369999997</v>
          </cell>
          <cell r="N641">
            <v>-58139272.600000001</v>
          </cell>
          <cell r="O641">
            <v>-96608686.739999995</v>
          </cell>
          <cell r="Q641">
            <v>-758522972.1400001</v>
          </cell>
        </row>
        <row r="642">
          <cell r="A642" t="str">
            <v>FERA363</v>
          </cell>
          <cell r="B642" t="str">
            <v>FERC ERRORS - INDICATOR A363</v>
          </cell>
          <cell r="E642">
            <v>273.45999999999998</v>
          </cell>
          <cell r="F642">
            <v>481.59</v>
          </cell>
          <cell r="G642">
            <v>42.39</v>
          </cell>
          <cell r="I642">
            <v>0</v>
          </cell>
          <cell r="N642">
            <v>0</v>
          </cell>
          <cell r="O642">
            <v>0</v>
          </cell>
          <cell r="Q642">
            <v>797.43999999999994</v>
          </cell>
        </row>
        <row r="643">
          <cell r="A643" t="str">
            <v>FERROR1</v>
          </cell>
          <cell r="B643" t="str">
            <v>FERC FLOW OF COSTS TRACE ERRORS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FGMLABR</v>
          </cell>
          <cell r="B644" t="str">
            <v>FERC GEN MAP LABOR COST ELEMENTS</v>
          </cell>
          <cell r="D644">
            <v>2636.32</v>
          </cell>
          <cell r="I644">
            <v>0</v>
          </cell>
          <cell r="N644">
            <v>0</v>
          </cell>
          <cell r="O644">
            <v>0</v>
          </cell>
          <cell r="Q644">
            <v>2636.32</v>
          </cell>
        </row>
        <row r="645">
          <cell r="A645" t="str">
            <v>FSCE17C</v>
          </cell>
          <cell r="B645" t="str">
            <v>FERC SEC CE 9101017 ADJUSTMENT</v>
          </cell>
          <cell r="D645">
            <v>0.43</v>
          </cell>
          <cell r="I645">
            <v>0</v>
          </cell>
          <cell r="N645">
            <v>0</v>
          </cell>
          <cell r="O645">
            <v>0</v>
          </cell>
          <cell r="Q645">
            <v>0.43</v>
          </cell>
        </row>
        <row r="646">
          <cell r="A646" t="str">
            <v>FSDBB01</v>
          </cell>
          <cell r="B646" t="str">
            <v>FERC FLOW OF COSTS TRACE ERRORS-EB19</v>
          </cell>
          <cell r="I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FSDBB02</v>
          </cell>
          <cell r="B647" t="str">
            <v>FERC FLOW OF COSTS TRACE ERRORS-EB07</v>
          </cell>
          <cell r="I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</row>
        <row r="648">
          <cell r="A648" t="str">
            <v>FSDBB03</v>
          </cell>
          <cell r="B648" t="str">
            <v>FERC FLOW OF COSTS TRACE ERRORS-EB14</v>
          </cell>
          <cell r="I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</row>
        <row r="649">
          <cell r="A649" t="str">
            <v>FSDBB04</v>
          </cell>
          <cell r="B649" t="str">
            <v>FERC FLOW OF COSTS TRACE ERRORS-EB08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</row>
        <row r="650">
          <cell r="A650" t="str">
            <v>FSDBB05</v>
          </cell>
          <cell r="B650" t="str">
            <v>FERC FLOW OF COSTS TRACE ERRORS-EB15</v>
          </cell>
          <cell r="I650">
            <v>0</v>
          </cell>
          <cell r="L650">
            <v>-0.02</v>
          </cell>
          <cell r="M650">
            <v>0.03</v>
          </cell>
          <cell r="N650">
            <v>0.04</v>
          </cell>
          <cell r="O650">
            <v>-0.05</v>
          </cell>
          <cell r="Q650">
            <v>0</v>
          </cell>
        </row>
        <row r="651">
          <cell r="A651" t="str">
            <v>FSDBB06</v>
          </cell>
          <cell r="B651" t="str">
            <v>FERC FLOW OF COSTS TRACE ERRORS-EB02</v>
          </cell>
          <cell r="I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</row>
        <row r="652">
          <cell r="A652" t="str">
            <v>FSDBB07</v>
          </cell>
          <cell r="B652" t="str">
            <v>FERC FLOW OF COSTS TRACE ERRORS-EB17</v>
          </cell>
          <cell r="I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</row>
        <row r="653">
          <cell r="A653" t="str">
            <v>FSDBB08</v>
          </cell>
          <cell r="B653" t="str">
            <v>FERC FLOW OF COSTS TRACE ERRORS-EB18</v>
          </cell>
          <cell r="I653">
            <v>0</v>
          </cell>
          <cell r="L653">
            <v>0.01</v>
          </cell>
          <cell r="M653">
            <v>0</v>
          </cell>
          <cell r="N653">
            <v>0.01</v>
          </cell>
          <cell r="O653">
            <v>0</v>
          </cell>
          <cell r="Q653">
            <v>0.02</v>
          </cell>
        </row>
        <row r="654">
          <cell r="A654" t="str">
            <v>FSDBB11</v>
          </cell>
          <cell r="B654" t="str">
            <v>FERC FLOW OF COSTS TRACE ERRORS-EB09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FSDBB12</v>
          </cell>
          <cell r="B655" t="str">
            <v>FERC FLOW OF COSTS TRACE ERRORS-EB10</v>
          </cell>
          <cell r="I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</row>
        <row r="656">
          <cell r="A656" t="str">
            <v>FSDBB13</v>
          </cell>
          <cell r="B656" t="str">
            <v>FERC FLOW OF COSTS TRACE ERRORS-EB11</v>
          </cell>
          <cell r="I656">
            <v>0</v>
          </cell>
          <cell r="L656">
            <v>-0.03</v>
          </cell>
          <cell r="M656">
            <v>0.01</v>
          </cell>
          <cell r="N656">
            <v>0</v>
          </cell>
          <cell r="O656">
            <v>-0.02</v>
          </cell>
          <cell r="Q656">
            <v>-3.9999999999999994E-2</v>
          </cell>
        </row>
        <row r="657">
          <cell r="A657" t="str">
            <v>FSDBB14</v>
          </cell>
          <cell r="B657" t="str">
            <v>FERC FLOW OF COSTS TRACE ERRORS-EB12</v>
          </cell>
          <cell r="I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FSDBB15</v>
          </cell>
          <cell r="B658" t="str">
            <v>FERC FLOW OF COSTS TRACE ERRORS-EB13</v>
          </cell>
          <cell r="I658">
            <v>0</v>
          </cell>
          <cell r="L658">
            <v>0.01</v>
          </cell>
          <cell r="M658">
            <v>0.04</v>
          </cell>
          <cell r="N658">
            <v>-0.01</v>
          </cell>
          <cell r="O658">
            <v>0.01</v>
          </cell>
          <cell r="Q658">
            <v>0.05</v>
          </cell>
        </row>
        <row r="659">
          <cell r="A659" t="str">
            <v>FSDBB17</v>
          </cell>
          <cell r="B659" t="str">
            <v>FERC FLOW OF COSTS TRACE ERRORS-EB01</v>
          </cell>
          <cell r="I659">
            <v>0</v>
          </cell>
          <cell r="L659">
            <v>124.62</v>
          </cell>
          <cell r="M659">
            <v>158.93</v>
          </cell>
          <cell r="N659">
            <v>165.93</v>
          </cell>
          <cell r="O659">
            <v>96.8</v>
          </cell>
          <cell r="Q659">
            <v>546.28</v>
          </cell>
        </row>
        <row r="660">
          <cell r="A660" t="str">
            <v>FSDBB18</v>
          </cell>
          <cell r="B660" t="str">
            <v>FERC FLOW OF COSTS TRACE ERRORS-EB20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FSDBB19</v>
          </cell>
          <cell r="B661" t="str">
            <v>FERC FLOW OF COSTS TRACE ERRORS-EB21</v>
          </cell>
          <cell r="I661">
            <v>0</v>
          </cell>
          <cell r="L661">
            <v>0</v>
          </cell>
          <cell r="M661">
            <v>-0.01</v>
          </cell>
          <cell r="N661">
            <v>0.01</v>
          </cell>
          <cell r="O661">
            <v>0.02</v>
          </cell>
          <cell r="Q661">
            <v>0.02</v>
          </cell>
        </row>
        <row r="662">
          <cell r="A662" t="str">
            <v>FSDBB20</v>
          </cell>
          <cell r="B662" t="str">
            <v>FERC FLOW OF COSTS TRACE ERRORS-EB22</v>
          </cell>
          <cell r="I662">
            <v>0</v>
          </cell>
          <cell r="L662">
            <v>0.01</v>
          </cell>
          <cell r="M662">
            <v>-0.03</v>
          </cell>
          <cell r="N662">
            <v>0.01</v>
          </cell>
          <cell r="O662">
            <v>0.05</v>
          </cell>
          <cell r="Q662">
            <v>4.0000000000000008E-2</v>
          </cell>
        </row>
        <row r="663">
          <cell r="A663" t="str">
            <v>FSDBB21</v>
          </cell>
          <cell r="B663" t="str">
            <v>FERC FLOW OF COSTS TRACE ERRORS-EB23</v>
          </cell>
          <cell r="I663">
            <v>0</v>
          </cell>
          <cell r="L663">
            <v>-0.02</v>
          </cell>
          <cell r="M663">
            <v>0</v>
          </cell>
          <cell r="N663">
            <v>0.01</v>
          </cell>
          <cell r="O663">
            <v>0</v>
          </cell>
          <cell r="Q663">
            <v>-0.01</v>
          </cell>
        </row>
        <row r="664">
          <cell r="A664" t="str">
            <v>FSDBB22</v>
          </cell>
          <cell r="B664" t="str">
            <v>FERC FLOW OF COSTS TRACE ERRORS-EB24</v>
          </cell>
          <cell r="I664">
            <v>0</v>
          </cell>
          <cell r="L664">
            <v>-0.01</v>
          </cell>
          <cell r="M664">
            <v>-0.03</v>
          </cell>
          <cell r="N664">
            <v>0.01</v>
          </cell>
          <cell r="O664">
            <v>0</v>
          </cell>
          <cell r="Q664">
            <v>-0.03</v>
          </cell>
        </row>
        <row r="665">
          <cell r="A665" t="str">
            <v>FSDBB23</v>
          </cell>
          <cell r="B665" t="str">
            <v>FERC FLOW OF COSTS TRACE ERRORS-EB25</v>
          </cell>
          <cell r="I665">
            <v>0</v>
          </cell>
          <cell r="L665">
            <v>0.08</v>
          </cell>
          <cell r="M665">
            <v>0.15</v>
          </cell>
          <cell r="N665">
            <v>-0.06</v>
          </cell>
          <cell r="O665">
            <v>-0.09</v>
          </cell>
          <cell r="Q665">
            <v>7.9999999999999988E-2</v>
          </cell>
        </row>
        <row r="666">
          <cell r="A666" t="str">
            <v>FSDBB24</v>
          </cell>
          <cell r="B666" t="str">
            <v>FERC FLOW OF COSTS TRACE ERRORS-EB26</v>
          </cell>
          <cell r="I666">
            <v>0</v>
          </cell>
          <cell r="L666">
            <v>-0.01</v>
          </cell>
          <cell r="M666">
            <v>-0.01</v>
          </cell>
          <cell r="N666">
            <v>0</v>
          </cell>
          <cell r="O666">
            <v>0</v>
          </cell>
          <cell r="Q666">
            <v>-0.02</v>
          </cell>
        </row>
        <row r="667">
          <cell r="A667" t="str">
            <v>FSDBB25</v>
          </cell>
          <cell r="B667" t="str">
            <v>FERC FLOW OF COSTS TRACE ERRORS-EB27</v>
          </cell>
          <cell r="I667">
            <v>0</v>
          </cell>
          <cell r="L667">
            <v>-0.02</v>
          </cell>
          <cell r="M667">
            <v>-0.02</v>
          </cell>
          <cell r="N667">
            <v>0.01</v>
          </cell>
          <cell r="O667">
            <v>0.02</v>
          </cell>
          <cell r="Q667">
            <v>-9.9999999999999985E-3</v>
          </cell>
        </row>
        <row r="668">
          <cell r="A668" t="str">
            <v>FSDBB26</v>
          </cell>
          <cell r="B668" t="str">
            <v>FERC FLOW OF COSTS TRACE ERRORS-EB28</v>
          </cell>
          <cell r="I668">
            <v>0</v>
          </cell>
          <cell r="L668">
            <v>-0.01</v>
          </cell>
          <cell r="M668">
            <v>-0.02</v>
          </cell>
          <cell r="N668">
            <v>0</v>
          </cell>
          <cell r="O668">
            <v>0</v>
          </cell>
          <cell r="Q668">
            <v>-0.03</v>
          </cell>
        </row>
        <row r="669">
          <cell r="A669" t="str">
            <v>FSDBB27</v>
          </cell>
          <cell r="B669" t="str">
            <v>FERC FLOW OF COSTS TRACE ERRORS-EB29</v>
          </cell>
          <cell r="I669">
            <v>0</v>
          </cell>
          <cell r="L669">
            <v>-0.01</v>
          </cell>
          <cell r="M669">
            <v>-0.03</v>
          </cell>
          <cell r="N669">
            <v>0.01</v>
          </cell>
          <cell r="O669">
            <v>0</v>
          </cell>
          <cell r="Q669">
            <v>-0.03</v>
          </cell>
        </row>
        <row r="670">
          <cell r="A670" t="str">
            <v>FSDBB28</v>
          </cell>
          <cell r="B670" t="str">
            <v>FERC FLOW OF COSTS TRACE ERRORS-EB30</v>
          </cell>
          <cell r="I670">
            <v>0</v>
          </cell>
          <cell r="L670">
            <v>-0.01</v>
          </cell>
          <cell r="M670">
            <v>0</v>
          </cell>
          <cell r="N670">
            <v>0</v>
          </cell>
          <cell r="O670">
            <v>0</v>
          </cell>
          <cell r="Q670">
            <v>-0.01</v>
          </cell>
        </row>
        <row r="671">
          <cell r="A671" t="str">
            <v>FSDBB31</v>
          </cell>
          <cell r="B671" t="str">
            <v>FERC FLOW OF COSTS TRACE ERRORS-EB31</v>
          </cell>
          <cell r="I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</row>
        <row r="672">
          <cell r="A672" t="str">
            <v>FSDBB43</v>
          </cell>
          <cell r="B672" t="str">
            <v>FERC FLOW OF COSTS TRACE ERRORS-EB36</v>
          </cell>
          <cell r="I672">
            <v>0</v>
          </cell>
          <cell r="L672">
            <v>33.770000000000003</v>
          </cell>
          <cell r="M672">
            <v>63.92</v>
          </cell>
          <cell r="N672">
            <v>25.44</v>
          </cell>
          <cell r="O672">
            <v>30.89</v>
          </cell>
          <cell r="Q672">
            <v>154.01999999999998</v>
          </cell>
        </row>
        <row r="673">
          <cell r="A673" t="str">
            <v>FSDBB44</v>
          </cell>
          <cell r="B673" t="str">
            <v>FERC FLOW OF COSTS TRACE ERRORS-EB34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</row>
        <row r="674">
          <cell r="A674" t="str">
            <v>FSDBB45</v>
          </cell>
          <cell r="B674" t="str">
            <v>FERC FLOW OF COSTS TRACE ERRORS-EB03</v>
          </cell>
          <cell r="I674">
            <v>0</v>
          </cell>
          <cell r="L674">
            <v>4.3499999999999996</v>
          </cell>
          <cell r="M674">
            <v>3.5</v>
          </cell>
          <cell r="N674">
            <v>4.99</v>
          </cell>
          <cell r="O674">
            <v>4.4400000000000004</v>
          </cell>
          <cell r="Q674">
            <v>17.28</v>
          </cell>
        </row>
        <row r="675">
          <cell r="A675" t="str">
            <v>FSDBB46</v>
          </cell>
          <cell r="B675" t="str">
            <v>FERC FLOW OF COSTS TRACE ERRORS-EB04</v>
          </cell>
          <cell r="I675">
            <v>0</v>
          </cell>
          <cell r="L675">
            <v>39.58</v>
          </cell>
          <cell r="M675">
            <v>25.07</v>
          </cell>
          <cell r="N675">
            <v>29.4</v>
          </cell>
          <cell r="O675">
            <v>38.28</v>
          </cell>
          <cell r="Q675">
            <v>132.33000000000001</v>
          </cell>
        </row>
        <row r="676">
          <cell r="A676" t="str">
            <v>FSDBB55</v>
          </cell>
          <cell r="B676" t="str">
            <v>FERC FLOW OF COSTS TRACE ERRORS-EB05</v>
          </cell>
          <cell r="I676">
            <v>0</v>
          </cell>
          <cell r="L676">
            <v>0</v>
          </cell>
          <cell r="M676">
            <v>-9.11</v>
          </cell>
          <cell r="N676">
            <v>1355854.41</v>
          </cell>
          <cell r="O676">
            <v>-1.1000000000000001</v>
          </cell>
          <cell r="Q676">
            <v>1355844.1999999997</v>
          </cell>
        </row>
        <row r="677">
          <cell r="A677" t="str">
            <v>FSDBB57</v>
          </cell>
          <cell r="B677" t="str">
            <v>FERC FLOW OF COSTS TRACE ERRORS-EB16</v>
          </cell>
          <cell r="I677">
            <v>0</v>
          </cell>
          <cell r="L677">
            <v>0.02</v>
          </cell>
          <cell r="M677">
            <v>-0.03</v>
          </cell>
          <cell r="N677">
            <v>-0.04</v>
          </cell>
          <cell r="O677">
            <v>0.05</v>
          </cell>
          <cell r="Q677">
            <v>0</v>
          </cell>
        </row>
        <row r="678">
          <cell r="A678" t="str">
            <v>FSDBB58</v>
          </cell>
          <cell r="B678" t="str">
            <v>FERC FLOW OF COSTS TRACE ERRORS-EB37</v>
          </cell>
          <cell r="I678">
            <v>0</v>
          </cell>
          <cell r="L678">
            <v>6.61</v>
          </cell>
          <cell r="M678">
            <v>12.9</v>
          </cell>
          <cell r="N678">
            <v>5.99</v>
          </cell>
          <cell r="O678">
            <v>6.21</v>
          </cell>
          <cell r="Q678">
            <v>31.71</v>
          </cell>
        </row>
        <row r="679">
          <cell r="A679" t="str">
            <v>FSDBB59</v>
          </cell>
          <cell r="B679" t="str">
            <v>FERC FLOW OF COSTS TRACE ERRORS-EB38</v>
          </cell>
          <cell r="I679">
            <v>0</v>
          </cell>
          <cell r="L679">
            <v>0</v>
          </cell>
          <cell r="M679">
            <v>-0.02</v>
          </cell>
          <cell r="N679">
            <v>0.01</v>
          </cell>
          <cell r="O679">
            <v>0</v>
          </cell>
          <cell r="Q679">
            <v>-0.01</v>
          </cell>
        </row>
      </sheetData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view_cis_e0p40_1"/>
      <sheetName val="Sheet1"/>
      <sheetName val="Sheet2"/>
      <sheetName val="Sheet3"/>
    </sheetNames>
    <sheetDataSet>
      <sheetData sheetId="0">
        <row r="2">
          <cell r="A2" t="str">
            <v>0435 City of Huntington Beach</v>
          </cell>
        </row>
      </sheetData>
      <sheetData sheetId="1"/>
      <sheetData sheetId="2">
        <row r="2">
          <cell r="A2" t="str">
            <v>0435 City of Huntington Beach</v>
          </cell>
        </row>
      </sheetData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view_cis_e0p40_1"/>
      <sheetName val="Sheet1"/>
      <sheetName val="Sheet2"/>
      <sheetName val="Sheet3"/>
    </sheetNames>
    <sheetDataSet>
      <sheetData sheetId="0">
        <row r="2">
          <cell r="A2" t="str">
            <v>0435 City of Huntington Beach</v>
          </cell>
        </row>
      </sheetData>
      <sheetData sheetId="1"/>
      <sheetData sheetId="2">
        <row r="2">
          <cell r="A2" t="str">
            <v>0435 City of Huntington Beach</v>
          </cell>
        </row>
      </sheetData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A1:AA17"/>
  <sheetViews>
    <sheetView zoomScale="80" zoomScaleNormal="80" workbookViewId="0">
      <selection sqref="A1:E1"/>
    </sheetView>
  </sheetViews>
  <sheetFormatPr defaultColWidth="8.7109375" defaultRowHeight="15.75"/>
  <cols>
    <col min="1" max="1" width="25.42578125" style="19" bestFit="1" customWidth="1"/>
    <col min="2" max="2" width="18.7109375" style="19" customWidth="1"/>
    <col min="3" max="3" width="39" style="19" customWidth="1"/>
    <col min="4" max="4" width="33" style="19" bestFit="1" customWidth="1"/>
    <col min="5" max="5" width="16.85546875" style="19" customWidth="1"/>
    <col min="6" max="16384" width="8.7109375" style="19"/>
  </cols>
  <sheetData>
    <row r="1" spans="1:27">
      <c r="A1" s="1608" t="s">
        <v>342</v>
      </c>
      <c r="B1" s="1609"/>
      <c r="C1" s="1609"/>
      <c r="D1" s="1609"/>
      <c r="E1" s="1610"/>
    </row>
    <row r="2" spans="1:27">
      <c r="A2" s="1611" t="s">
        <v>343</v>
      </c>
      <c r="B2" s="1612"/>
      <c r="C2" s="1612"/>
      <c r="D2" s="1612"/>
      <c r="E2" s="1613"/>
    </row>
    <row r="3" spans="1:27">
      <c r="A3" s="162" t="s">
        <v>344</v>
      </c>
      <c r="B3" s="162" t="s">
        <v>345</v>
      </c>
      <c r="C3" s="162" t="s">
        <v>346</v>
      </c>
      <c r="D3" s="162" t="s">
        <v>347</v>
      </c>
      <c r="E3" s="162" t="s">
        <v>348</v>
      </c>
    </row>
    <row r="4" spans="1:27">
      <c r="A4" s="163" t="s">
        <v>349</v>
      </c>
      <c r="B4" s="163" t="s">
        <v>274</v>
      </c>
      <c r="C4" s="163" t="s">
        <v>350</v>
      </c>
      <c r="D4" s="163" t="s">
        <v>351</v>
      </c>
      <c r="E4" s="163" t="s">
        <v>675</v>
      </c>
    </row>
    <row r="5" spans="1:27" ht="18.75" customHeight="1">
      <c r="A5" s="19">
        <v>5</v>
      </c>
      <c r="B5" s="4" t="s">
        <v>725</v>
      </c>
      <c r="C5" s="19" t="s">
        <v>352</v>
      </c>
      <c r="D5" s="1359" t="str">
        <f>CONCATENATE(Automation!$B$6,12)</f>
        <v>201812</v>
      </c>
      <c r="E5" s="1360">
        <f>'Summary of Cost Components'!C11*1000</f>
        <v>0</v>
      </c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</row>
    <row r="6" spans="1:27" ht="18.75" customHeight="1">
      <c r="A6" s="19">
        <v>5</v>
      </c>
      <c r="B6" s="4" t="s">
        <v>725</v>
      </c>
      <c r="C6" s="19" t="s">
        <v>353</v>
      </c>
      <c r="D6" s="164" t="str">
        <f>D5</f>
        <v>201812</v>
      </c>
      <c r="E6" s="1360">
        <f>'Summary of Cost Components'!C13*1000</f>
        <v>823052.797669539</v>
      </c>
    </row>
    <row r="7" spans="1:27" ht="18.75" customHeight="1">
      <c r="A7" s="19">
        <v>5</v>
      </c>
      <c r="B7" s="4" t="s">
        <v>725</v>
      </c>
      <c r="C7" s="19" t="s">
        <v>354</v>
      </c>
      <c r="D7" s="164" t="str">
        <f>D5</f>
        <v>201812</v>
      </c>
      <c r="E7" s="1360">
        <f>'Summary of Cost Components'!C15*1000</f>
        <v>86807.849169599998</v>
      </c>
    </row>
    <row r="8" spans="1:27" ht="18.75" customHeight="1">
      <c r="A8" s="19">
        <v>5</v>
      </c>
      <c r="B8" s="4" t="s">
        <v>725</v>
      </c>
      <c r="C8" s="19" t="s">
        <v>355</v>
      </c>
      <c r="D8" s="164" t="str">
        <f>D5</f>
        <v>201812</v>
      </c>
      <c r="E8" s="1360">
        <f>'Summary of Cost Components'!C19*1000</f>
        <v>0</v>
      </c>
    </row>
    <row r="9" spans="1:27" ht="18.75" customHeight="1">
      <c r="A9" s="19">
        <v>5</v>
      </c>
      <c r="B9" s="4" t="s">
        <v>725</v>
      </c>
      <c r="C9" s="19" t="s">
        <v>356</v>
      </c>
      <c r="D9" s="164" t="str">
        <f>D5</f>
        <v>201812</v>
      </c>
      <c r="E9" s="1360">
        <f>'Summary of Cost Components'!C21*1000</f>
        <v>0</v>
      </c>
    </row>
    <row r="10" spans="1:27" ht="18.75" customHeight="1">
      <c r="A10" s="19">
        <v>5</v>
      </c>
      <c r="B10" s="19" t="s">
        <v>725</v>
      </c>
      <c r="C10" s="19" t="s">
        <v>977</v>
      </c>
      <c r="D10" s="164" t="str">
        <f>D5</f>
        <v>201812</v>
      </c>
      <c r="E10" s="1360">
        <f>'Summary of Cost Components'!C25*1000</f>
        <v>0</v>
      </c>
    </row>
    <row r="11" spans="1:27" ht="18.75" customHeight="1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</row>
    <row r="12" spans="1:27" ht="18.75" customHeight="1"/>
    <row r="13" spans="1:27" ht="18.75" customHeight="1"/>
    <row r="14" spans="1:27" ht="18.75" customHeight="1"/>
    <row r="15" spans="1:27" ht="18.75" customHeight="1"/>
    <row r="16" spans="1:27" ht="18.75" customHeight="1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</row>
    <row r="17" ht="18.75" customHeight="1"/>
  </sheetData>
  <mergeCells count="2">
    <mergeCell ref="A1:E1"/>
    <mergeCell ref="A2:E2"/>
  </mergeCells>
  <printOptions horizontalCentered="1"/>
  <pageMargins left="0.5" right="0.5" top="0.5" bottom="0.5" header="0.25" footer="0.25"/>
  <pageSetup scale="72" orientation="portrait" r:id="rId1"/>
  <headerFooter scaleWithDoc="0">
    <oddFooter>&amp;C&amp;"Times New Roman,Regular"&amp;10External Source Import Tool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77"/>
  <sheetViews>
    <sheetView zoomScale="80" zoomScaleNormal="80" zoomScalePageLayoutView="80" workbookViewId="0"/>
  </sheetViews>
  <sheetFormatPr defaultColWidth="8.85546875" defaultRowHeight="15.75"/>
  <cols>
    <col min="1" max="1" width="5.28515625" style="932" bestFit="1" customWidth="1"/>
    <col min="2" max="2" width="55.85546875" style="232" customWidth="1"/>
    <col min="3" max="3" width="24" style="192" customWidth="1"/>
    <col min="4" max="4" width="1.5703125" style="232" customWidth="1"/>
    <col min="5" max="5" width="16.8554687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16.85546875" style="232" customWidth="1"/>
    <col min="10" max="10" width="1.5703125" style="232" customWidth="1"/>
    <col min="11" max="11" width="34.5703125" style="252" customWidth="1"/>
    <col min="12" max="12" width="5.28515625" style="932" bestFit="1" customWidth="1"/>
    <col min="13" max="13" width="8.85546875" style="232"/>
    <col min="14" max="14" width="38.140625" style="232" customWidth="1"/>
    <col min="15" max="16384" width="8.85546875" style="232"/>
  </cols>
  <sheetData>
    <row r="1" spans="1:14">
      <c r="A1" s="932" t="s">
        <v>10</v>
      </c>
    </row>
    <row r="2" spans="1:14">
      <c r="A2" s="930"/>
      <c r="B2" s="1634" t="s">
        <v>18</v>
      </c>
      <c r="C2" s="1634"/>
      <c r="D2" s="1634"/>
      <c r="E2" s="1634"/>
      <c r="F2" s="1634"/>
      <c r="G2" s="1634"/>
      <c r="H2" s="1634"/>
      <c r="I2" s="1634"/>
      <c r="J2" s="1634"/>
      <c r="K2" s="1634"/>
      <c r="N2" s="732"/>
    </row>
    <row r="3" spans="1:14">
      <c r="A3" s="930"/>
      <c r="B3" s="1634" t="s">
        <v>1</v>
      </c>
      <c r="C3" s="1634"/>
      <c r="D3" s="1634"/>
      <c r="E3" s="1634"/>
      <c r="F3" s="1634"/>
      <c r="G3" s="1634"/>
      <c r="H3" s="1635"/>
      <c r="I3" s="1635"/>
      <c r="J3" s="1635"/>
      <c r="K3" s="1635"/>
      <c r="N3" s="732"/>
    </row>
    <row r="4" spans="1:14">
      <c r="A4" s="930"/>
      <c r="B4" s="1634" t="s">
        <v>2</v>
      </c>
      <c r="C4" s="1634"/>
      <c r="D4" s="1634"/>
      <c r="E4" s="1634"/>
      <c r="F4" s="1634"/>
      <c r="G4" s="1634"/>
      <c r="H4" s="1636"/>
      <c r="I4" s="1636"/>
      <c r="J4" s="1636"/>
      <c r="K4" s="1636"/>
    </row>
    <row r="5" spans="1:14">
      <c r="A5" s="593"/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  <c r="H5" s="1638"/>
      <c r="I5" s="1638"/>
      <c r="J5" s="1638"/>
      <c r="K5" s="1638"/>
      <c r="L5" s="593"/>
      <c r="N5" s="175"/>
    </row>
    <row r="6" spans="1:14">
      <c r="A6" s="593"/>
      <c r="B6" s="1639" t="s">
        <v>3</v>
      </c>
      <c r="C6" s="1636"/>
      <c r="D6" s="1636"/>
      <c r="E6" s="1636"/>
      <c r="F6" s="1636"/>
      <c r="G6" s="1636"/>
      <c r="H6" s="1636"/>
      <c r="I6" s="1636"/>
      <c r="J6" s="1636"/>
      <c r="K6" s="1636"/>
      <c r="L6" s="593"/>
      <c r="N6" s="732"/>
    </row>
    <row r="7" spans="1:14">
      <c r="A7" s="593"/>
      <c r="B7" s="692"/>
      <c r="C7" s="174"/>
      <c r="D7" s="175"/>
      <c r="E7" s="175"/>
      <c r="F7" s="175"/>
      <c r="G7" s="175"/>
      <c r="H7" s="175"/>
      <c r="I7" s="175"/>
      <c r="J7" s="175"/>
      <c r="K7" s="175"/>
      <c r="L7" s="593"/>
      <c r="N7" s="732"/>
    </row>
    <row r="8" spans="1:14">
      <c r="A8" s="593" t="s">
        <v>4</v>
      </c>
      <c r="B8" s="613"/>
      <c r="C8" s="596" t="s">
        <v>511</v>
      </c>
      <c r="D8" s="613"/>
      <c r="E8" s="670" t="s">
        <v>5</v>
      </c>
      <c r="F8" s="593"/>
      <c r="G8" s="670" t="s">
        <v>6</v>
      </c>
      <c r="H8" s="593"/>
      <c r="I8" s="670" t="s">
        <v>7</v>
      </c>
      <c r="J8" s="613"/>
      <c r="L8" s="593" t="s">
        <v>4</v>
      </c>
    </row>
    <row r="9" spans="1:14">
      <c r="A9" s="597" t="s">
        <v>25</v>
      </c>
      <c r="B9" s="613"/>
      <c r="C9" s="598" t="s">
        <v>512</v>
      </c>
      <c r="D9" s="613"/>
      <c r="E9" s="733" t="str">
        <f>"31-Dec-"&amp;RIGHT(Automation!$B$6-1,2)</f>
        <v>31-Dec-17</v>
      </c>
      <c r="F9" s="613"/>
      <c r="G9" s="734" t="str">
        <f>"31-Dec-"&amp;RIGHT(Automation!$B$6,2)</f>
        <v>31-Dec-18</v>
      </c>
      <c r="H9" s="613"/>
      <c r="I9" s="614" t="s">
        <v>8</v>
      </c>
      <c r="J9" s="613"/>
      <c r="K9" s="735" t="s">
        <v>9</v>
      </c>
      <c r="L9" s="597" t="s">
        <v>25</v>
      </c>
      <c r="M9" s="358"/>
      <c r="N9" s="408"/>
    </row>
    <row r="10" spans="1:14">
      <c r="A10" s="593"/>
      <c r="B10" s="668"/>
      <c r="E10" s="736"/>
      <c r="G10" s="736"/>
      <c r="H10" s="736"/>
      <c r="I10" s="736"/>
      <c r="J10" s="736"/>
      <c r="K10" s="737"/>
      <c r="L10" s="593"/>
    </row>
    <row r="11" spans="1:14" ht="18.75">
      <c r="A11" s="593">
        <v>1</v>
      </c>
      <c r="B11" s="1128" t="s">
        <v>727</v>
      </c>
      <c r="C11" s="303" t="s">
        <v>716</v>
      </c>
      <c r="E11" s="629"/>
      <c r="G11" s="629"/>
      <c r="H11" s="726"/>
      <c r="I11" s="682">
        <f>'AD-1'!E31</f>
        <v>545863.13696307701</v>
      </c>
      <c r="J11" s="616"/>
      <c r="K11" s="738" t="str">
        <f>"AD-1; Line "&amp;'AD-1'!A31</f>
        <v>AD-1; Line 18</v>
      </c>
      <c r="L11" s="593">
        <f>A11</f>
        <v>1</v>
      </c>
    </row>
    <row r="12" spans="1:14">
      <c r="A12" s="593">
        <f t="shared" ref="A12:A45" si="0">+A11+1</f>
        <v>2</v>
      </c>
      <c r="B12" s="1128" t="s">
        <v>10</v>
      </c>
      <c r="C12" s="303"/>
      <c r="E12" s="629"/>
      <c r="G12" s="629"/>
      <c r="H12" s="620"/>
      <c r="I12" s="629"/>
      <c r="J12" s="620"/>
      <c r="K12" s="738"/>
      <c r="L12" s="593">
        <f t="shared" ref="L12:L45" si="1">+L11+1</f>
        <v>2</v>
      </c>
    </row>
    <row r="13" spans="1:14" ht="18.75">
      <c r="A13" s="593">
        <f t="shared" si="0"/>
        <v>3</v>
      </c>
      <c r="B13" s="1128" t="s">
        <v>728</v>
      </c>
      <c r="C13" s="303" t="s">
        <v>716</v>
      </c>
      <c r="E13" s="629"/>
      <c r="G13" s="629"/>
      <c r="H13" s="726"/>
      <c r="I13" s="685">
        <f>'AD-2'!E31</f>
        <v>0</v>
      </c>
      <c r="J13" s="616"/>
      <c r="K13" s="738" t="str">
        <f>"AD-2; Line "&amp;'AD-2'!A31</f>
        <v>AD-2; Line 18</v>
      </c>
      <c r="L13" s="593">
        <f t="shared" si="1"/>
        <v>3</v>
      </c>
    </row>
    <row r="14" spans="1:14">
      <c r="A14" s="593">
        <f t="shared" si="0"/>
        <v>4</v>
      </c>
      <c r="B14" s="1128"/>
      <c r="C14" s="303"/>
      <c r="E14" s="629"/>
      <c r="F14" s="175"/>
      <c r="G14" s="629"/>
      <c r="H14" s="620"/>
      <c r="I14" s="629"/>
      <c r="J14" s="620"/>
      <c r="K14" s="738"/>
      <c r="L14" s="593">
        <f t="shared" si="1"/>
        <v>4</v>
      </c>
    </row>
    <row r="15" spans="1:14" ht="18.75">
      <c r="A15" s="593">
        <f t="shared" si="0"/>
        <v>5</v>
      </c>
      <c r="B15" s="1128" t="s">
        <v>729</v>
      </c>
      <c r="C15" s="303"/>
      <c r="E15" s="629"/>
      <c r="F15" s="175"/>
      <c r="G15" s="629"/>
      <c r="H15" s="726"/>
      <c r="I15" s="685">
        <f>'AD-3'!E31</f>
        <v>0</v>
      </c>
      <c r="J15" s="620"/>
      <c r="K15" s="738" t="str">
        <f>"AD-3; Line "&amp;'AD-3'!A31</f>
        <v>AD-3; Line 18</v>
      </c>
      <c r="L15" s="593">
        <f t="shared" si="1"/>
        <v>5</v>
      </c>
    </row>
    <row r="16" spans="1:14">
      <c r="A16" s="593">
        <f t="shared" si="0"/>
        <v>6</v>
      </c>
      <c r="B16" s="1128"/>
      <c r="C16" s="303"/>
      <c r="E16" s="629"/>
      <c r="F16" s="175"/>
      <c r="G16" s="629"/>
      <c r="H16" s="620"/>
      <c r="I16" s="629"/>
      <c r="J16" s="620"/>
      <c r="K16" s="738"/>
      <c r="L16" s="593">
        <f t="shared" si="1"/>
        <v>6</v>
      </c>
    </row>
    <row r="17" spans="1:13" ht="18.75">
      <c r="A17" s="593">
        <f t="shared" si="0"/>
        <v>7</v>
      </c>
      <c r="B17" s="1128" t="s">
        <v>730</v>
      </c>
      <c r="C17" s="303" t="s">
        <v>716</v>
      </c>
      <c r="E17" s="628"/>
      <c r="F17" s="211"/>
      <c r="G17" s="628"/>
      <c r="H17" s="721"/>
      <c r="I17" s="672">
        <f>'AD-4'!E31</f>
        <v>518972.08884384617</v>
      </c>
      <c r="J17" s="616"/>
      <c r="K17" s="738" t="str">
        <f>"AD-4; Line "&amp;'AD-4'!A31</f>
        <v>AD-4; Line 18</v>
      </c>
      <c r="L17" s="593">
        <f t="shared" si="1"/>
        <v>7</v>
      </c>
    </row>
    <row r="18" spans="1:13">
      <c r="A18" s="593">
        <f t="shared" si="0"/>
        <v>8</v>
      </c>
      <c r="B18" s="1128"/>
      <c r="C18" s="303"/>
      <c r="E18" s="628"/>
      <c r="F18" s="175"/>
      <c r="G18" s="628"/>
      <c r="H18" s="669"/>
      <c r="I18" s="628"/>
      <c r="J18" s="669"/>
      <c r="K18" s="738"/>
      <c r="L18" s="593">
        <f t="shared" si="1"/>
        <v>8</v>
      </c>
    </row>
    <row r="19" spans="1:13" ht="18.75">
      <c r="A19" s="593">
        <f>+A18+1</f>
        <v>9</v>
      </c>
      <c r="B19" s="1128" t="s">
        <v>731</v>
      </c>
      <c r="C19" s="303" t="s">
        <v>716</v>
      </c>
      <c r="E19" s="724">
        <f>'AD-5'!E15</f>
        <v>6494386.2876000004</v>
      </c>
      <c r="F19" s="554"/>
      <c r="G19" s="724">
        <f>'AD-5'!E17</f>
        <v>6940409.5028999997</v>
      </c>
      <c r="H19" s="721"/>
      <c r="I19" s="628">
        <f>(E19+G19)/2</f>
        <v>6717397.8952500001</v>
      </c>
      <c r="J19" s="620"/>
      <c r="K19" s="739" t="str">
        <f>"AD-5; Line "&amp;'AD-5'!A20</f>
        <v>AD-5; Line 6</v>
      </c>
      <c r="L19" s="593">
        <f>+L18+1</f>
        <v>9</v>
      </c>
    </row>
    <row r="20" spans="1:13">
      <c r="A20" s="597">
        <f t="shared" si="0"/>
        <v>10</v>
      </c>
      <c r="B20" s="278"/>
      <c r="C20" s="740"/>
      <c r="D20" s="278"/>
      <c r="E20" s="628"/>
      <c r="F20" s="278"/>
      <c r="G20" s="628"/>
      <c r="H20" s="669"/>
      <c r="I20" s="628"/>
      <c r="J20" s="669"/>
      <c r="K20" s="741"/>
      <c r="L20" s="597">
        <f t="shared" si="1"/>
        <v>10</v>
      </c>
    </row>
    <row r="21" spans="1:13" ht="18.75">
      <c r="A21" s="597">
        <f t="shared" si="0"/>
        <v>11</v>
      </c>
      <c r="B21" s="278" t="s">
        <v>732</v>
      </c>
      <c r="C21" s="303" t="s">
        <v>716</v>
      </c>
      <c r="D21" s="278"/>
      <c r="E21" s="721"/>
      <c r="F21" s="278"/>
      <c r="G21" s="721"/>
      <c r="H21" s="721"/>
      <c r="I21" s="674">
        <f>'AD-6'!E36</f>
        <v>5678390.0500223078</v>
      </c>
      <c r="J21" s="616"/>
      <c r="K21" s="739" t="str">
        <f>"AD-6; Line "&amp;'AD-6'!A36</f>
        <v>AD-6; Line 23</v>
      </c>
      <c r="L21" s="597">
        <f t="shared" si="1"/>
        <v>11</v>
      </c>
    </row>
    <row r="22" spans="1:13" s="1356" customFormat="1">
      <c r="A22" s="597">
        <f t="shared" si="0"/>
        <v>12</v>
      </c>
      <c r="B22" s="278"/>
      <c r="C22" s="303"/>
      <c r="D22" s="278"/>
      <c r="E22" s="721"/>
      <c r="F22" s="278"/>
      <c r="G22" s="721"/>
      <c r="H22" s="721"/>
      <c r="I22" s="649"/>
      <c r="J22" s="616"/>
      <c r="K22" s="739"/>
      <c r="L22" s="597">
        <f t="shared" si="1"/>
        <v>12</v>
      </c>
    </row>
    <row r="23" spans="1:13" s="1356" customFormat="1" ht="18.75">
      <c r="A23" s="597">
        <f t="shared" si="0"/>
        <v>13</v>
      </c>
      <c r="B23" s="278" t="s">
        <v>973</v>
      </c>
      <c r="C23" s="303"/>
      <c r="D23" s="278"/>
      <c r="E23" s="721"/>
      <c r="F23" s="278"/>
      <c r="G23" s="721"/>
      <c r="H23" s="721"/>
      <c r="I23" s="674">
        <f>'AD-7'!E32</f>
        <v>0</v>
      </c>
      <c r="J23" s="616"/>
      <c r="K23" s="742" t="str">
        <f>"AD-7; Line "&amp;'AD-7'!A32</f>
        <v>AD-7; Line 18</v>
      </c>
      <c r="L23" s="597">
        <f t="shared" si="1"/>
        <v>13</v>
      </c>
    </row>
    <row r="24" spans="1:13">
      <c r="A24" s="597">
        <f t="shared" si="0"/>
        <v>14</v>
      </c>
      <c r="B24" s="278"/>
      <c r="C24" s="740"/>
      <c r="D24" s="278"/>
      <c r="E24" s="628"/>
      <c r="F24" s="278"/>
      <c r="G24" s="628"/>
      <c r="H24" s="669"/>
      <c r="I24" s="628"/>
      <c r="J24" s="669"/>
      <c r="K24" s="741"/>
      <c r="L24" s="597">
        <f t="shared" si="1"/>
        <v>14</v>
      </c>
    </row>
    <row r="25" spans="1:13" ht="18.75">
      <c r="A25" s="597">
        <f t="shared" si="0"/>
        <v>15</v>
      </c>
      <c r="B25" s="1128" t="s">
        <v>733</v>
      </c>
      <c r="C25" s="303" t="s">
        <v>716</v>
      </c>
      <c r="D25" s="357"/>
      <c r="E25" s="672">
        <f>'AD-8'!C14</f>
        <v>174135.17361000003</v>
      </c>
      <c r="F25" s="211"/>
      <c r="G25" s="672">
        <f>'AD-8'!C16</f>
        <v>180374.36829000001</v>
      </c>
      <c r="H25" s="620"/>
      <c r="I25" s="628">
        <f>(E25+G25)/2</f>
        <v>177254.77095000003</v>
      </c>
      <c r="J25" s="676"/>
      <c r="K25" s="742" t="str">
        <f>"AD-8; Line "&amp;'AD-8'!A19</f>
        <v>AD-8; Line 6</v>
      </c>
      <c r="L25" s="597">
        <f t="shared" si="1"/>
        <v>15</v>
      </c>
    </row>
    <row r="26" spans="1:13">
      <c r="A26" s="597">
        <f t="shared" si="0"/>
        <v>16</v>
      </c>
      <c r="B26" s="278"/>
      <c r="C26" s="740"/>
      <c r="D26" s="278"/>
      <c r="E26" s="628"/>
      <c r="F26" s="278"/>
      <c r="G26" s="628"/>
      <c r="H26" s="669"/>
      <c r="I26" s="628"/>
      <c r="J26" s="669"/>
      <c r="K26" s="741"/>
      <c r="L26" s="597">
        <f t="shared" si="1"/>
        <v>16</v>
      </c>
    </row>
    <row r="27" spans="1:13" ht="18.75">
      <c r="A27" s="597">
        <f t="shared" si="0"/>
        <v>17</v>
      </c>
      <c r="B27" s="1128" t="s">
        <v>678</v>
      </c>
      <c r="C27" s="303" t="s">
        <v>716</v>
      </c>
      <c r="E27" s="672">
        <f>'AD-9'!C14</f>
        <v>383134.48669000005</v>
      </c>
      <c r="F27" s="211"/>
      <c r="G27" s="672">
        <f>'AD-9'!C16</f>
        <v>429248.65587999998</v>
      </c>
      <c r="H27" s="721"/>
      <c r="I27" s="628">
        <f>(E27+G27)/2</f>
        <v>406191.57128500001</v>
      </c>
      <c r="J27" s="620"/>
      <c r="K27" s="739" t="str">
        <f>"AD-9; Line "&amp;'AD-9'!A19</f>
        <v>AD-9; Line 6</v>
      </c>
      <c r="L27" s="597">
        <f t="shared" si="1"/>
        <v>17</v>
      </c>
    </row>
    <row r="28" spans="1:13">
      <c r="A28" s="597">
        <f t="shared" si="0"/>
        <v>18</v>
      </c>
      <c r="B28" s="1128"/>
      <c r="E28" s="629"/>
      <c r="F28" s="175"/>
      <c r="G28" s="629"/>
      <c r="H28" s="620"/>
      <c r="I28" s="629"/>
      <c r="J28" s="620"/>
      <c r="K28" s="739"/>
      <c r="L28" s="597">
        <f t="shared" si="1"/>
        <v>18</v>
      </c>
    </row>
    <row r="29" spans="1:13" ht="18.75">
      <c r="A29" s="597">
        <f t="shared" si="0"/>
        <v>19</v>
      </c>
      <c r="B29" s="1128" t="s">
        <v>679</v>
      </c>
      <c r="E29" s="672">
        <f>'AD-10'!D15</f>
        <v>809141.96628392395</v>
      </c>
      <c r="F29" s="211"/>
      <c r="G29" s="672">
        <f>'AD-10'!D19</f>
        <v>1020298.9728827999</v>
      </c>
      <c r="H29" s="721"/>
      <c r="I29" s="743">
        <f>(E29+G29)/2</f>
        <v>914720.46958336188</v>
      </c>
      <c r="J29" s="669"/>
      <c r="K29" s="739" t="str">
        <f>"AD-10; Line "&amp;'AD-10'!A22</f>
        <v>AD-10; Line 10</v>
      </c>
      <c r="L29" s="597">
        <f t="shared" si="1"/>
        <v>19</v>
      </c>
    </row>
    <row r="30" spans="1:13">
      <c r="A30" s="597">
        <f t="shared" si="0"/>
        <v>20</v>
      </c>
      <c r="B30" s="1128"/>
      <c r="E30" s="628"/>
      <c r="F30" s="175"/>
      <c r="G30" s="628"/>
      <c r="H30" s="669"/>
      <c r="I30" s="628"/>
      <c r="J30" s="669"/>
      <c r="K30" s="738"/>
      <c r="L30" s="597">
        <f t="shared" si="1"/>
        <v>20</v>
      </c>
    </row>
    <row r="31" spans="1:13" ht="16.5" thickBot="1">
      <c r="A31" s="597">
        <f t="shared" si="0"/>
        <v>21</v>
      </c>
      <c r="B31" s="1128" t="s">
        <v>11</v>
      </c>
      <c r="E31" s="608"/>
      <c r="F31" s="744"/>
      <c r="G31" s="608"/>
      <c r="H31" s="606"/>
      <c r="I31" s="607">
        <f>I11+I13+I15+I17+I19+I21+I23+I25+I27+I29</f>
        <v>14958789.982897595</v>
      </c>
      <c r="J31" s="616"/>
      <c r="K31" s="738" t="str">
        <f>"Sum Lines "&amp;A11&amp;" thru "&amp;A29</f>
        <v>Sum Lines 1 thru 19</v>
      </c>
      <c r="L31" s="597">
        <f t="shared" si="1"/>
        <v>21</v>
      </c>
      <c r="M31" s="745"/>
    </row>
    <row r="32" spans="1:13" ht="16.5" thickTop="1">
      <c r="A32" s="597">
        <f t="shared" si="0"/>
        <v>22</v>
      </c>
      <c r="B32" s="1128"/>
      <c r="E32" s="746"/>
      <c r="G32" s="746"/>
      <c r="H32" s="618"/>
      <c r="I32" s="746"/>
      <c r="J32" s="618"/>
      <c r="K32" s="738" t="s">
        <v>10</v>
      </c>
      <c r="L32" s="597">
        <f t="shared" si="1"/>
        <v>22</v>
      </c>
    </row>
    <row r="33" spans="1:13">
      <c r="A33" s="597">
        <f t="shared" si="0"/>
        <v>23</v>
      </c>
      <c r="B33" s="1128" t="s">
        <v>12</v>
      </c>
      <c r="E33" s="747"/>
      <c r="G33" s="747"/>
      <c r="H33" s="618"/>
      <c r="I33" s="653">
        <f>'Stmt AI'!E27</f>
        <v>0.10079320306870226</v>
      </c>
      <c r="J33" s="618"/>
      <c r="K33" s="738" t="str">
        <f>"Statement AI; Line "&amp;'Stmt AI'!A27</f>
        <v>Statement AI; Line 17</v>
      </c>
      <c r="L33" s="597">
        <f t="shared" si="1"/>
        <v>23</v>
      </c>
    </row>
    <row r="34" spans="1:13">
      <c r="A34" s="597">
        <f t="shared" si="0"/>
        <v>24</v>
      </c>
      <c r="B34" s="1128"/>
      <c r="E34" s="746"/>
      <c r="G34" s="746"/>
      <c r="H34" s="618"/>
      <c r="I34" s="746"/>
      <c r="J34" s="618"/>
      <c r="K34" s="738"/>
      <c r="L34" s="597">
        <f t="shared" si="1"/>
        <v>24</v>
      </c>
    </row>
    <row r="35" spans="1:13">
      <c r="A35" s="597">
        <f t="shared" si="0"/>
        <v>25</v>
      </c>
      <c r="B35" s="278" t="s">
        <v>935</v>
      </c>
      <c r="C35" s="277"/>
      <c r="D35" s="278"/>
      <c r="E35" s="337"/>
      <c r="F35" s="337"/>
      <c r="G35" s="337"/>
      <c r="H35" s="748"/>
      <c r="I35" s="635">
        <f>I21+I23</f>
        <v>5678390.0500223078</v>
      </c>
      <c r="J35" s="616"/>
      <c r="K35" s="749" t="str">
        <f>"Line "&amp;A21&amp;" + Line "&amp;A23</f>
        <v>Line 11 + Line 13</v>
      </c>
      <c r="L35" s="597">
        <f t="shared" si="1"/>
        <v>25</v>
      </c>
    </row>
    <row r="36" spans="1:13">
      <c r="A36" s="597">
        <f t="shared" si="0"/>
        <v>26</v>
      </c>
      <c r="B36" s="1128"/>
      <c r="E36" s="746"/>
      <c r="G36" s="746"/>
      <c r="H36" s="618"/>
      <c r="I36" s="750"/>
      <c r="J36" s="618"/>
      <c r="K36" s="738"/>
      <c r="L36" s="597">
        <f t="shared" si="1"/>
        <v>26</v>
      </c>
    </row>
    <row r="37" spans="1:13">
      <c r="A37" s="597">
        <f t="shared" si="0"/>
        <v>27</v>
      </c>
      <c r="B37" s="1128" t="s">
        <v>13</v>
      </c>
      <c r="E37" s="343"/>
      <c r="G37" s="343"/>
      <c r="H37" s="618"/>
      <c r="I37" s="751">
        <f>I25*I33</f>
        <v>17866.07612325966</v>
      </c>
      <c r="J37" s="616"/>
      <c r="K37" s="749" t="str">
        <f>"Line "&amp;A25&amp;" x Line "&amp;A33</f>
        <v>Line 15 x Line 23</v>
      </c>
      <c r="L37" s="597">
        <f t="shared" si="1"/>
        <v>27</v>
      </c>
      <c r="M37" s="745"/>
    </row>
    <row r="38" spans="1:13">
      <c r="A38" s="597">
        <f t="shared" si="0"/>
        <v>28</v>
      </c>
      <c r="B38" s="1128"/>
      <c r="E38" s="746"/>
      <c r="G38" s="746"/>
      <c r="H38" s="618"/>
      <c r="I38" s="752"/>
      <c r="J38" s="618"/>
      <c r="K38" s="738"/>
      <c r="L38" s="597">
        <f t="shared" si="1"/>
        <v>28</v>
      </c>
    </row>
    <row r="39" spans="1:13">
      <c r="A39" s="597">
        <f t="shared" si="0"/>
        <v>29</v>
      </c>
      <c r="B39" s="1128" t="s">
        <v>14</v>
      </c>
      <c r="E39" s="343"/>
      <c r="G39" s="343"/>
      <c r="H39" s="618"/>
      <c r="I39" s="751">
        <f>I27*I33</f>
        <v>40941.349529324259</v>
      </c>
      <c r="J39" s="618"/>
      <c r="K39" s="749" t="str">
        <f>"Line "&amp;A27&amp;" x Line "&amp;A33</f>
        <v>Line 17 x Line 23</v>
      </c>
      <c r="L39" s="597">
        <f t="shared" si="1"/>
        <v>29</v>
      </c>
      <c r="M39" s="745"/>
    </row>
    <row r="40" spans="1:13">
      <c r="A40" s="597">
        <f t="shared" si="0"/>
        <v>30</v>
      </c>
      <c r="B40" s="1128"/>
      <c r="E40" s="343"/>
      <c r="G40" s="343"/>
      <c r="H40" s="618"/>
      <c r="I40" s="753"/>
      <c r="J40" s="618"/>
      <c r="K40" s="738"/>
      <c r="L40" s="597">
        <f t="shared" si="1"/>
        <v>30</v>
      </c>
      <c r="M40" s="745"/>
    </row>
    <row r="41" spans="1:13">
      <c r="A41" s="597">
        <f t="shared" si="0"/>
        <v>31</v>
      </c>
      <c r="B41" s="1128" t="s">
        <v>15</v>
      </c>
      <c r="E41" s="343"/>
      <c r="G41" s="343"/>
      <c r="H41" s="618"/>
      <c r="I41" s="754">
        <f>I29*I33</f>
        <v>92197.606041814492</v>
      </c>
      <c r="J41" s="618"/>
      <c r="K41" s="749" t="str">
        <f>"Line "&amp;A29&amp;" x Line "&amp;A33</f>
        <v>Line 19 x Line 23</v>
      </c>
      <c r="L41" s="597">
        <f t="shared" si="1"/>
        <v>31</v>
      </c>
      <c r="M41" s="745"/>
    </row>
    <row r="42" spans="1:13">
      <c r="A42" s="597">
        <f t="shared" si="0"/>
        <v>32</v>
      </c>
      <c r="B42" s="1128" t="s">
        <v>10</v>
      </c>
      <c r="C42" s="593"/>
      <c r="D42" s="668"/>
      <c r="E42" s="755"/>
      <c r="F42" s="668"/>
      <c r="G42" s="755"/>
      <c r="H42" s="756"/>
      <c r="I42" s="757"/>
      <c r="J42" s="756"/>
      <c r="K42" s="738"/>
      <c r="L42" s="597">
        <f t="shared" si="1"/>
        <v>32</v>
      </c>
    </row>
    <row r="43" spans="1:13" ht="16.5" thickBot="1">
      <c r="A43" s="597">
        <f t="shared" si="0"/>
        <v>33</v>
      </c>
      <c r="B43" s="1128" t="s">
        <v>16</v>
      </c>
      <c r="C43" s="593"/>
      <c r="D43" s="668"/>
      <c r="E43" s="343"/>
      <c r="G43" s="343"/>
      <c r="H43" s="758"/>
      <c r="I43" s="759">
        <f>I35+I37+I39+I41</f>
        <v>5829395.081716706</v>
      </c>
      <c r="J43" s="616"/>
      <c r="K43" s="749" t="str">
        <f>"Sum Lines "&amp;A35&amp;" thru "&amp;A41</f>
        <v>Sum Lines 25 thru 31</v>
      </c>
      <c r="L43" s="597">
        <f t="shared" si="1"/>
        <v>33</v>
      </c>
      <c r="M43" s="745"/>
    </row>
    <row r="44" spans="1:13" ht="16.5" thickTop="1">
      <c r="A44" s="597">
        <f t="shared" si="0"/>
        <v>34</v>
      </c>
      <c r="B44" s="1128"/>
      <c r="C44" s="593"/>
      <c r="D44" s="668"/>
      <c r="E44" s="760"/>
      <c r="F44" s="668"/>
      <c r="G44" s="760"/>
      <c r="H44" s="758"/>
      <c r="I44" s="761"/>
      <c r="J44" s="758"/>
      <c r="K44" s="738"/>
      <c r="L44" s="597">
        <f t="shared" si="1"/>
        <v>34</v>
      </c>
    </row>
    <row r="45" spans="1:13" ht="19.5" thickBot="1">
      <c r="A45" s="597">
        <f t="shared" si="0"/>
        <v>35</v>
      </c>
      <c r="B45" s="1128" t="s">
        <v>680</v>
      </c>
      <c r="C45" s="593"/>
      <c r="D45" s="668"/>
      <c r="E45" s="762"/>
      <c r="F45" s="668"/>
      <c r="G45" s="762"/>
      <c r="H45" s="758"/>
      <c r="I45" s="763">
        <f>I43/I31</f>
        <v>0.38969696669192239</v>
      </c>
      <c r="J45" s="616"/>
      <c r="K45" s="749" t="str">
        <f>"Line "&amp;A43&amp;" / Line "&amp;A31</f>
        <v>Line 33 / Line 21</v>
      </c>
      <c r="L45" s="597">
        <f t="shared" si="1"/>
        <v>35</v>
      </c>
      <c r="M45" s="745"/>
    </row>
    <row r="46" spans="1:13" ht="16.5" thickTop="1">
      <c r="A46" s="593"/>
      <c r="E46" s="174"/>
      <c r="G46" s="764"/>
      <c r="H46" s="567"/>
      <c r="I46" s="567"/>
      <c r="J46" s="567"/>
      <c r="K46" s="765"/>
      <c r="L46" s="593"/>
    </row>
    <row r="47" spans="1:13">
      <c r="A47" s="593"/>
      <c r="E47" s="174"/>
      <c r="G47" s="764"/>
      <c r="H47" s="567"/>
      <c r="I47" s="567"/>
      <c r="J47" s="567"/>
      <c r="K47" s="765"/>
      <c r="L47" s="593"/>
    </row>
    <row r="48" spans="1:13" ht="18.75">
      <c r="A48" s="646">
        <v>1</v>
      </c>
      <c r="B48" s="109" t="s">
        <v>974</v>
      </c>
      <c r="E48" s="174"/>
      <c r="G48" s="764"/>
      <c r="H48" s="567"/>
      <c r="I48" s="567"/>
      <c r="J48" s="567"/>
      <c r="K48" s="765"/>
      <c r="L48" s="593"/>
    </row>
    <row r="49" spans="1:12" ht="18.75">
      <c r="A49" s="231">
        <v>2</v>
      </c>
      <c r="B49" s="109" t="s">
        <v>537</v>
      </c>
      <c r="E49" s="174"/>
      <c r="G49" s="764"/>
      <c r="H49" s="567"/>
      <c r="I49" s="567"/>
      <c r="J49" s="567"/>
      <c r="K49" s="765"/>
      <c r="L49" s="593"/>
    </row>
    <row r="50" spans="1:12" ht="18.75">
      <c r="A50" s="609">
        <v>3</v>
      </c>
      <c r="B50" s="109" t="s">
        <v>618</v>
      </c>
    </row>
    <row r="51" spans="1:12" ht="18.75">
      <c r="A51" s="609">
        <v>4</v>
      </c>
      <c r="B51" s="127" t="s">
        <v>619</v>
      </c>
    </row>
    <row r="52" spans="1:12" ht="18.75">
      <c r="A52" s="609">
        <v>5</v>
      </c>
      <c r="B52" s="107" t="s">
        <v>17</v>
      </c>
    </row>
    <row r="53" spans="1:12" ht="18.75">
      <c r="A53" s="609"/>
    </row>
    <row r="54" spans="1:12" ht="18.75">
      <c r="A54" s="609"/>
      <c r="B54" s="925"/>
    </row>
    <row r="55" spans="1:12" ht="18.75">
      <c r="A55" s="609"/>
      <c r="B55" s="1001"/>
    </row>
    <row r="56" spans="1:12">
      <c r="B56" s="1001"/>
    </row>
    <row r="57" spans="1:12">
      <c r="B57" s="1001"/>
    </row>
    <row r="58" spans="1:12">
      <c r="B58" s="1001"/>
    </row>
    <row r="77" spans="7:7">
      <c r="G77" s="91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Z47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28515625" style="175" customWidth="1"/>
    <col min="3" max="3" width="18.5703125" style="181" customWidth="1"/>
    <col min="4" max="4" width="25.140625" style="182" customWidth="1"/>
    <col min="5" max="5" width="18.5703125" style="175" customWidth="1"/>
    <col min="6" max="6" width="62.5703125" style="183" customWidth="1"/>
    <col min="7" max="7" width="5.28515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9">
      <c r="B2" s="1635" t="s">
        <v>18</v>
      </c>
      <c r="C2" s="1635"/>
      <c r="D2" s="1635"/>
      <c r="E2" s="1635"/>
      <c r="F2" s="1635"/>
    </row>
    <row r="3" spans="1:9">
      <c r="B3" s="1635" t="s">
        <v>19</v>
      </c>
      <c r="C3" s="1635"/>
      <c r="D3" s="1635"/>
      <c r="E3" s="1635"/>
      <c r="F3" s="1635"/>
    </row>
    <row r="4" spans="1:9">
      <c r="B4" s="1635" t="s">
        <v>20</v>
      </c>
      <c r="C4" s="1635"/>
      <c r="D4" s="1635"/>
      <c r="E4" s="1635"/>
      <c r="F4" s="1635"/>
    </row>
    <row r="5" spans="1:9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9">
      <c r="B6" s="1640" t="s">
        <v>3</v>
      </c>
      <c r="C6" s="1640"/>
      <c r="D6" s="1640"/>
      <c r="E6" s="1640"/>
      <c r="F6" s="1640"/>
    </row>
    <row r="7" spans="1:9">
      <c r="B7" s="177"/>
      <c r="C7" s="178"/>
      <c r="D7" s="179"/>
      <c r="E7" s="177"/>
      <c r="F7" s="180"/>
    </row>
    <row r="8" spans="1:9">
      <c r="B8" s="1635" t="s">
        <v>28</v>
      </c>
      <c r="C8" s="1635"/>
      <c r="D8" s="1635"/>
      <c r="E8" s="1635"/>
      <c r="F8" s="1635"/>
    </row>
    <row r="10" spans="1:9">
      <c r="B10" s="184"/>
      <c r="C10" s="185" t="s">
        <v>31</v>
      </c>
      <c r="D10" s="186"/>
      <c r="E10" s="185"/>
      <c r="F10" s="186"/>
    </row>
    <row r="11" spans="1:9">
      <c r="B11" s="187"/>
      <c r="C11" s="188" t="s">
        <v>32</v>
      </c>
      <c r="D11" s="189"/>
      <c r="E11" s="190" t="s">
        <v>32</v>
      </c>
      <c r="F11" s="191"/>
    </row>
    <row r="12" spans="1:9">
      <c r="A12" s="192" t="s">
        <v>4</v>
      </c>
      <c r="B12" s="194"/>
      <c r="C12" s="188" t="s">
        <v>33</v>
      </c>
      <c r="D12" s="189"/>
      <c r="E12" s="195" t="s">
        <v>33</v>
      </c>
      <c r="F12" s="191"/>
      <c r="G12" s="932" t="s">
        <v>4</v>
      </c>
    </row>
    <row r="13" spans="1:9" ht="18.75">
      <c r="A13" s="192" t="s">
        <v>25</v>
      </c>
      <c r="B13" s="196" t="s">
        <v>23</v>
      </c>
      <c r="C13" s="197" t="s">
        <v>35</v>
      </c>
      <c r="D13" s="198" t="s">
        <v>9</v>
      </c>
      <c r="E13" s="199" t="s">
        <v>441</v>
      </c>
      <c r="F13" s="198" t="s">
        <v>9</v>
      </c>
      <c r="G13" s="932" t="s">
        <v>25</v>
      </c>
    </row>
    <row r="14" spans="1:9">
      <c r="A14" s="192">
        <v>1</v>
      </c>
      <c r="B14" s="200" t="str">
        <f>"Dec-"&amp;RIGHT(Automation!$B$6-1,2)</f>
        <v>Dec-17</v>
      </c>
      <c r="C14" s="201">
        <v>556888.21002</v>
      </c>
      <c r="D14" s="202" t="s">
        <v>442</v>
      </c>
      <c r="E14" s="203">
        <v>572066.95504000003</v>
      </c>
      <c r="F14" s="202" t="s">
        <v>715</v>
      </c>
      <c r="G14" s="932">
        <f>A14</f>
        <v>1</v>
      </c>
      <c r="H14" s="204"/>
      <c r="I14" s="205"/>
    </row>
    <row r="15" spans="1:9">
      <c r="A15" s="192">
        <f>A14+1</f>
        <v>2</v>
      </c>
      <c r="B15" s="200" t="str">
        <f>"Jan-"&amp;RIGHT(Automation!$B$6,2)</f>
        <v>Jan-18</v>
      </c>
      <c r="C15" s="206">
        <v>528699.73482000001</v>
      </c>
      <c r="D15" s="207"/>
      <c r="E15" s="208">
        <v>543878.47984000004</v>
      </c>
      <c r="F15" s="209"/>
      <c r="G15" s="932">
        <f>G14+1</f>
        <v>2</v>
      </c>
      <c r="H15" s="210"/>
    </row>
    <row r="16" spans="1:9">
      <c r="A16" s="192">
        <f t="shared" ref="A16:A32" si="0">A15+1</f>
        <v>3</v>
      </c>
      <c r="B16" s="200" t="s">
        <v>36</v>
      </c>
      <c r="C16" s="206">
        <v>528756.27104999998</v>
      </c>
      <c r="D16" s="207"/>
      <c r="E16" s="208">
        <v>543935.01607000001</v>
      </c>
      <c r="F16" s="209"/>
      <c r="G16" s="932">
        <f t="shared" ref="G16:G32" si="1">G15+1</f>
        <v>3</v>
      </c>
      <c r="H16" s="210"/>
    </row>
    <row r="17" spans="1:26">
      <c r="A17" s="192">
        <f t="shared" si="0"/>
        <v>4</v>
      </c>
      <c r="B17" s="200" t="s">
        <v>37</v>
      </c>
      <c r="C17" s="206">
        <v>528844.7537</v>
      </c>
      <c r="D17" s="207"/>
      <c r="E17" s="208">
        <v>544023.49872000003</v>
      </c>
      <c r="F17" s="209"/>
      <c r="G17" s="932">
        <f t="shared" si="1"/>
        <v>4</v>
      </c>
      <c r="H17" s="210"/>
    </row>
    <row r="18" spans="1:26">
      <c r="A18" s="192">
        <f t="shared" si="0"/>
        <v>5</v>
      </c>
      <c r="B18" s="200" t="s">
        <v>38</v>
      </c>
      <c r="C18" s="206">
        <v>528871.19392999995</v>
      </c>
      <c r="D18" s="207"/>
      <c r="E18" s="208">
        <v>544049.93894999998</v>
      </c>
      <c r="F18" s="209"/>
      <c r="G18" s="932">
        <f t="shared" si="1"/>
        <v>5</v>
      </c>
      <c r="H18" s="210"/>
    </row>
    <row r="19" spans="1:26">
      <c r="A19" s="192">
        <f t="shared" si="0"/>
        <v>6</v>
      </c>
      <c r="B19" s="200" t="s">
        <v>39</v>
      </c>
      <c r="C19" s="206">
        <v>528978.26063999999</v>
      </c>
      <c r="D19" s="207"/>
      <c r="E19" s="208">
        <v>543803.43906</v>
      </c>
      <c r="F19" s="209"/>
      <c r="G19" s="932">
        <f t="shared" si="1"/>
        <v>6</v>
      </c>
      <c r="H19" s="210"/>
    </row>
    <row r="20" spans="1:26">
      <c r="A20" s="192">
        <f>A19+1</f>
        <v>7</v>
      </c>
      <c r="B20" s="200" t="s">
        <v>40</v>
      </c>
      <c r="C20" s="206">
        <v>527354.73974999995</v>
      </c>
      <c r="D20" s="207"/>
      <c r="E20" s="208">
        <v>542179.91816999996</v>
      </c>
      <c r="F20" s="209"/>
      <c r="G20" s="932">
        <f>G19+1</f>
        <v>7</v>
      </c>
      <c r="H20" s="210"/>
    </row>
    <row r="21" spans="1:26">
      <c r="A21" s="192">
        <f t="shared" si="0"/>
        <v>8</v>
      </c>
      <c r="B21" s="200" t="s">
        <v>41</v>
      </c>
      <c r="C21" s="206">
        <v>527766.46447999997</v>
      </c>
      <c r="D21" s="207"/>
      <c r="E21" s="208">
        <v>542591.64289999998</v>
      </c>
      <c r="F21" s="209"/>
      <c r="G21" s="932">
        <f t="shared" si="1"/>
        <v>8</v>
      </c>
      <c r="H21" s="210"/>
    </row>
    <row r="22" spans="1:26">
      <c r="A22" s="192">
        <f t="shared" si="0"/>
        <v>9</v>
      </c>
      <c r="B22" s="200" t="s">
        <v>42</v>
      </c>
      <c r="C22" s="206">
        <v>528965.63786999998</v>
      </c>
      <c r="D22" s="207"/>
      <c r="E22" s="208">
        <v>543790.81628999999</v>
      </c>
      <c r="F22" s="209"/>
      <c r="G22" s="932">
        <f t="shared" si="1"/>
        <v>9</v>
      </c>
      <c r="H22" s="210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06">
        <v>528620.40642999997</v>
      </c>
      <c r="D23" s="207"/>
      <c r="E23" s="208">
        <v>543445.58484999998</v>
      </c>
      <c r="F23" s="209"/>
      <c r="G23" s="932">
        <f t="shared" si="1"/>
        <v>10</v>
      </c>
      <c r="H23" s="210"/>
    </row>
    <row r="24" spans="1:26">
      <c r="A24" s="192">
        <f t="shared" si="0"/>
        <v>11</v>
      </c>
      <c r="B24" s="200" t="s">
        <v>44</v>
      </c>
      <c r="C24" s="206">
        <v>528613.41330000001</v>
      </c>
      <c r="D24" s="207"/>
      <c r="E24" s="208">
        <v>543438.59172000003</v>
      </c>
      <c r="F24" s="209"/>
      <c r="G24" s="932">
        <f t="shared" si="1"/>
        <v>11</v>
      </c>
      <c r="H24" s="210"/>
    </row>
    <row r="25" spans="1:26">
      <c r="A25" s="192">
        <f t="shared" si="0"/>
        <v>12</v>
      </c>
      <c r="B25" s="200" t="s">
        <v>45</v>
      </c>
      <c r="C25" s="206">
        <v>528617.59314000001</v>
      </c>
      <c r="D25" s="207"/>
      <c r="E25" s="208">
        <v>543442.77156000002</v>
      </c>
      <c r="F25" s="209"/>
      <c r="G25" s="932">
        <f t="shared" si="1"/>
        <v>12</v>
      </c>
      <c r="H25" s="210"/>
    </row>
    <row r="26" spans="1:26">
      <c r="A26" s="192">
        <f t="shared" si="0"/>
        <v>13</v>
      </c>
      <c r="B26" s="212" t="str">
        <f>"Dec-"&amp;RIGHT(Automation!$B$6,2)</f>
        <v>Dec-18</v>
      </c>
      <c r="C26" s="213">
        <v>530748.94892999995</v>
      </c>
      <c r="D26" s="202" t="s">
        <v>442</v>
      </c>
      <c r="E26" s="213">
        <v>545574.12734999997</v>
      </c>
      <c r="F26" s="202" t="s">
        <v>713</v>
      </c>
      <c r="G26" s="932">
        <f t="shared" si="1"/>
        <v>13</v>
      </c>
      <c r="H26" s="210"/>
      <c r="I26" s="205"/>
    </row>
    <row r="27" spans="1:26">
      <c r="A27" s="192">
        <f t="shared" si="0"/>
        <v>14</v>
      </c>
      <c r="B27" s="214"/>
      <c r="C27" s="215"/>
      <c r="D27" s="216"/>
      <c r="E27" s="217"/>
      <c r="F27" s="218"/>
      <c r="G27" s="932">
        <f t="shared" si="1"/>
        <v>14</v>
      </c>
      <c r="H27" s="210"/>
    </row>
    <row r="28" spans="1:26">
      <c r="A28" s="192">
        <f t="shared" si="0"/>
        <v>15</v>
      </c>
      <c r="B28" s="214" t="s">
        <v>46</v>
      </c>
      <c r="C28" s="219">
        <f>SUM(C14:C26)</f>
        <v>6901725.6280599991</v>
      </c>
      <c r="D28" s="871" t="str">
        <f>"Sum Lines "&amp;A14&amp;" thru "&amp;A26</f>
        <v>Sum Lines 1 thru 13</v>
      </c>
      <c r="E28" s="219">
        <f>SUM(E14:E26)</f>
        <v>7096220.7805200005</v>
      </c>
      <c r="F28" s="872" t="str">
        <f>"Sum Lines "&amp;A14&amp;" thru "&amp;A26</f>
        <v>Sum Lines 1 thru 13</v>
      </c>
      <c r="G28" s="932">
        <f t="shared" si="1"/>
        <v>15</v>
      </c>
      <c r="H28" s="210"/>
    </row>
    <row r="29" spans="1:26">
      <c r="A29" s="192">
        <f t="shared" si="0"/>
        <v>16</v>
      </c>
      <c r="B29" s="221"/>
      <c r="C29" s="222"/>
      <c r="D29" s="223"/>
      <c r="E29" s="222"/>
      <c r="F29" s="224"/>
      <c r="G29" s="932">
        <f t="shared" si="1"/>
        <v>16</v>
      </c>
      <c r="H29" s="210"/>
    </row>
    <row r="30" spans="1:26">
      <c r="A30" s="192">
        <f t="shared" si="0"/>
        <v>17</v>
      </c>
      <c r="B30" s="214"/>
      <c r="C30" s="219"/>
      <c r="D30" s="225"/>
      <c r="E30" s="219"/>
      <c r="F30" s="226"/>
      <c r="G30" s="932">
        <f t="shared" si="1"/>
        <v>17</v>
      </c>
      <c r="H30" s="210"/>
    </row>
    <row r="31" spans="1:26">
      <c r="A31" s="192">
        <f t="shared" si="0"/>
        <v>18</v>
      </c>
      <c r="B31" s="214" t="s">
        <v>47</v>
      </c>
      <c r="C31" s="219">
        <f>C28/13</f>
        <v>530901.97138923069</v>
      </c>
      <c r="D31" s="871" t="str">
        <f>"Average of Lines "&amp;A14&amp;" thru "&amp;A26</f>
        <v>Average of Lines 1 thru 13</v>
      </c>
      <c r="E31" s="219">
        <f>E28/13</f>
        <v>545863.13696307701</v>
      </c>
      <c r="F31" s="202" t="s">
        <v>714</v>
      </c>
      <c r="G31" s="932">
        <f t="shared" si="1"/>
        <v>18</v>
      </c>
      <c r="H31" s="204"/>
      <c r="I31" s="205"/>
    </row>
    <row r="32" spans="1:26">
      <c r="A32" s="192">
        <f t="shared" si="0"/>
        <v>19</v>
      </c>
      <c r="B32" s="221"/>
      <c r="C32" s="227"/>
      <c r="D32" s="224"/>
      <c r="E32" s="227"/>
      <c r="F32" s="224"/>
      <c r="G32" s="932">
        <f t="shared" si="1"/>
        <v>19</v>
      </c>
    </row>
    <row r="33" spans="1:6">
      <c r="A33" s="192"/>
      <c r="B33" s="211"/>
      <c r="C33" s="228"/>
      <c r="D33" s="229"/>
      <c r="E33" s="228"/>
      <c r="F33" s="229"/>
    </row>
    <row r="34" spans="1:6">
      <c r="C34" s="230"/>
      <c r="D34" s="229"/>
      <c r="E34" s="230"/>
    </row>
    <row r="35" spans="1:6" ht="18.75">
      <c r="A35" s="231">
        <v>1</v>
      </c>
      <c r="B35" s="1128" t="s">
        <v>443</v>
      </c>
      <c r="C35" s="230"/>
      <c r="D35" s="183"/>
      <c r="E35" s="230"/>
    </row>
    <row r="36" spans="1:6">
      <c r="B36" s="1128" t="s">
        <v>444</v>
      </c>
      <c r="C36" s="230"/>
      <c r="D36" s="183"/>
      <c r="E36" s="230"/>
    </row>
    <row r="37" spans="1:6">
      <c r="C37" s="230"/>
      <c r="D37" s="183"/>
      <c r="E37" s="230"/>
    </row>
    <row r="38" spans="1:6">
      <c r="C38" s="230"/>
      <c r="D38" s="183"/>
      <c r="E38" s="230"/>
    </row>
    <row r="39" spans="1:6">
      <c r="C39" s="233"/>
      <c r="E39" s="230"/>
    </row>
    <row r="40" spans="1:6">
      <c r="C40" s="233"/>
      <c r="E40" s="230"/>
    </row>
    <row r="41" spans="1:6">
      <c r="C41" s="233"/>
      <c r="E41" s="230"/>
    </row>
    <row r="42" spans="1:6">
      <c r="C42" s="233"/>
      <c r="E42" s="230"/>
    </row>
    <row r="43" spans="1:6">
      <c r="C43" s="233"/>
      <c r="E43" s="230"/>
    </row>
    <row r="44" spans="1:6">
      <c r="C44" s="233"/>
      <c r="E44" s="230"/>
    </row>
    <row r="45" spans="1:6">
      <c r="C45" s="233"/>
      <c r="E45" s="230"/>
    </row>
    <row r="46" spans="1:6">
      <c r="C46" s="233"/>
      <c r="E46" s="230"/>
    </row>
    <row r="47" spans="1:6">
      <c r="C47" s="233"/>
      <c r="E47" s="23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Z39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140625" style="175" customWidth="1"/>
    <col min="3" max="3" width="18.5703125" style="181" customWidth="1"/>
    <col min="4" max="4" width="25.28515625" style="182" customWidth="1"/>
    <col min="5" max="5" width="18.5703125" style="175" customWidth="1"/>
    <col min="6" max="6" width="62.5703125" style="183" customWidth="1"/>
    <col min="7" max="7" width="5.28515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8">
      <c r="B2" s="1635" t="s">
        <v>18</v>
      </c>
      <c r="C2" s="1635"/>
      <c r="D2" s="1635"/>
      <c r="E2" s="1635"/>
      <c r="F2" s="1635"/>
    </row>
    <row r="3" spans="1:8">
      <c r="B3" s="1635" t="s">
        <v>19</v>
      </c>
      <c r="C3" s="1635"/>
      <c r="D3" s="1635"/>
      <c r="E3" s="1635"/>
      <c r="F3" s="1635"/>
    </row>
    <row r="4" spans="1:8">
      <c r="B4" s="1635" t="s">
        <v>20</v>
      </c>
      <c r="C4" s="1635"/>
      <c r="D4" s="1635"/>
      <c r="E4" s="1635"/>
      <c r="F4" s="1635"/>
    </row>
    <row r="5" spans="1:8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8">
      <c r="B6" s="1640" t="s">
        <v>3</v>
      </c>
      <c r="C6" s="1640"/>
      <c r="D6" s="1640"/>
      <c r="E6" s="1640"/>
      <c r="F6" s="1640"/>
    </row>
    <row r="7" spans="1:8">
      <c r="B7" s="177"/>
      <c r="C7" s="178"/>
      <c r="D7" s="179"/>
      <c r="E7" s="177"/>
      <c r="F7" s="180"/>
    </row>
    <row r="8" spans="1:8">
      <c r="B8" s="1635" t="s">
        <v>48</v>
      </c>
      <c r="C8" s="1635"/>
      <c r="D8" s="1635"/>
      <c r="E8" s="1635"/>
      <c r="F8" s="1635"/>
    </row>
    <row r="10" spans="1:8">
      <c r="B10" s="184"/>
      <c r="C10" s="185" t="s">
        <v>31</v>
      </c>
      <c r="D10" s="186"/>
      <c r="E10" s="185"/>
      <c r="F10" s="186"/>
    </row>
    <row r="11" spans="1:8">
      <c r="B11" s="187"/>
      <c r="C11" s="195" t="s">
        <v>49</v>
      </c>
      <c r="D11" s="189"/>
      <c r="E11" s="195" t="s">
        <v>49</v>
      </c>
      <c r="F11" s="189"/>
      <c r="H11" s="242"/>
    </row>
    <row r="12" spans="1:8">
      <c r="A12" s="192" t="s">
        <v>4</v>
      </c>
      <c r="B12" s="194"/>
      <c r="C12" s="188" t="s">
        <v>33</v>
      </c>
      <c r="D12" s="189"/>
      <c r="E12" s="195" t="s">
        <v>33</v>
      </c>
      <c r="F12" s="189"/>
      <c r="G12" s="932" t="s">
        <v>4</v>
      </c>
      <c r="H12" s="242"/>
    </row>
    <row r="13" spans="1:8" ht="18.75">
      <c r="A13" s="192" t="s">
        <v>25</v>
      </c>
      <c r="B13" s="196" t="s">
        <v>23</v>
      </c>
      <c r="C13" s="197" t="s">
        <v>35</v>
      </c>
      <c r="D13" s="198" t="s">
        <v>9</v>
      </c>
      <c r="E13" s="199" t="s">
        <v>441</v>
      </c>
      <c r="F13" s="920" t="s">
        <v>9</v>
      </c>
      <c r="G13" s="932" t="s">
        <v>25</v>
      </c>
      <c r="H13" s="242"/>
    </row>
    <row r="14" spans="1:8">
      <c r="A14" s="192">
        <v>1</v>
      </c>
      <c r="B14" s="200" t="str">
        <f>"Dec-"&amp;RIGHT(Automation!$B$6-1,2)</f>
        <v>Dec-17</v>
      </c>
      <c r="C14" s="244">
        <v>0</v>
      </c>
      <c r="D14" s="202" t="s">
        <v>442</v>
      </c>
      <c r="E14" s="244">
        <v>0</v>
      </c>
      <c r="F14" s="202" t="s">
        <v>715</v>
      </c>
      <c r="G14" s="932">
        <f>A14</f>
        <v>1</v>
      </c>
      <c r="H14" s="205"/>
    </row>
    <row r="15" spans="1:8">
      <c r="A15" s="192">
        <f>A14+1</f>
        <v>2</v>
      </c>
      <c r="B15" s="200" t="str">
        <f>"Jan-"&amp;RIGHT(Automation!$B$6,2)</f>
        <v>Jan-18</v>
      </c>
      <c r="C15" s="245">
        <v>0</v>
      </c>
      <c r="D15" s="209"/>
      <c r="E15" s="245">
        <v>0</v>
      </c>
      <c r="F15" s="207"/>
      <c r="G15" s="932">
        <f>G14+1</f>
        <v>2</v>
      </c>
    </row>
    <row r="16" spans="1:8">
      <c r="A16" s="192">
        <f t="shared" ref="A16:A32" si="0">A15+1</f>
        <v>3</v>
      </c>
      <c r="B16" s="200" t="s">
        <v>36</v>
      </c>
      <c r="C16" s="245">
        <v>0</v>
      </c>
      <c r="D16" s="209"/>
      <c r="E16" s="245">
        <v>0</v>
      </c>
      <c r="F16" s="207"/>
      <c r="G16" s="932">
        <f t="shared" ref="G16:G32" si="1">G15+1</f>
        <v>3</v>
      </c>
    </row>
    <row r="17" spans="1:26">
      <c r="A17" s="192">
        <f t="shared" si="0"/>
        <v>4</v>
      </c>
      <c r="B17" s="200" t="s">
        <v>37</v>
      </c>
      <c r="C17" s="245">
        <v>0</v>
      </c>
      <c r="D17" s="209"/>
      <c r="E17" s="245">
        <v>0</v>
      </c>
      <c r="F17" s="207"/>
      <c r="G17" s="932">
        <f t="shared" si="1"/>
        <v>4</v>
      </c>
    </row>
    <row r="18" spans="1:26">
      <c r="A18" s="192">
        <f t="shared" si="0"/>
        <v>5</v>
      </c>
      <c r="B18" s="200" t="s">
        <v>38</v>
      </c>
      <c r="C18" s="245">
        <v>0</v>
      </c>
      <c r="D18" s="209"/>
      <c r="E18" s="245">
        <v>0</v>
      </c>
      <c r="F18" s="207"/>
      <c r="G18" s="932">
        <f t="shared" si="1"/>
        <v>5</v>
      </c>
    </row>
    <row r="19" spans="1:26">
      <c r="A19" s="192">
        <f t="shared" si="0"/>
        <v>6</v>
      </c>
      <c r="B19" s="200" t="s">
        <v>39</v>
      </c>
      <c r="C19" s="245">
        <v>0</v>
      </c>
      <c r="D19" s="209"/>
      <c r="E19" s="245">
        <v>0</v>
      </c>
      <c r="F19" s="207"/>
      <c r="G19" s="932">
        <f t="shared" si="1"/>
        <v>6</v>
      </c>
    </row>
    <row r="20" spans="1:26">
      <c r="A20" s="192">
        <f>A19+1</f>
        <v>7</v>
      </c>
      <c r="B20" s="200" t="s">
        <v>40</v>
      </c>
      <c r="C20" s="245">
        <v>0</v>
      </c>
      <c r="D20" s="209"/>
      <c r="E20" s="245">
        <v>0</v>
      </c>
      <c r="F20" s="207"/>
      <c r="G20" s="932">
        <f>G19+1</f>
        <v>7</v>
      </c>
    </row>
    <row r="21" spans="1:26">
      <c r="A21" s="192">
        <f t="shared" si="0"/>
        <v>8</v>
      </c>
      <c r="B21" s="200" t="s">
        <v>41</v>
      </c>
      <c r="C21" s="245">
        <v>0</v>
      </c>
      <c r="D21" s="209"/>
      <c r="E21" s="245">
        <v>0</v>
      </c>
      <c r="F21" s="207"/>
      <c r="G21" s="932">
        <f t="shared" si="1"/>
        <v>8</v>
      </c>
    </row>
    <row r="22" spans="1:26">
      <c r="A22" s="192">
        <f t="shared" si="0"/>
        <v>9</v>
      </c>
      <c r="B22" s="200" t="s">
        <v>42</v>
      </c>
      <c r="C22" s="245">
        <v>0</v>
      </c>
      <c r="D22" s="209"/>
      <c r="E22" s="245">
        <v>0</v>
      </c>
      <c r="F22" s="207"/>
      <c r="G22" s="932">
        <f t="shared" si="1"/>
        <v>9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45">
        <v>0</v>
      </c>
      <c r="D23" s="209"/>
      <c r="E23" s="245">
        <v>0</v>
      </c>
      <c r="F23" s="207"/>
      <c r="G23" s="932">
        <f t="shared" si="1"/>
        <v>10</v>
      </c>
    </row>
    <row r="24" spans="1:26">
      <c r="A24" s="192">
        <f t="shared" si="0"/>
        <v>11</v>
      </c>
      <c r="B24" s="200" t="s">
        <v>44</v>
      </c>
      <c r="C24" s="245">
        <v>0</v>
      </c>
      <c r="D24" s="209"/>
      <c r="E24" s="245">
        <v>0</v>
      </c>
      <c r="F24" s="207"/>
      <c r="G24" s="932">
        <f t="shared" si="1"/>
        <v>11</v>
      </c>
    </row>
    <row r="25" spans="1:26">
      <c r="A25" s="192">
        <f t="shared" si="0"/>
        <v>12</v>
      </c>
      <c r="B25" s="200" t="s">
        <v>45</v>
      </c>
      <c r="C25" s="245">
        <v>0</v>
      </c>
      <c r="D25" s="209"/>
      <c r="E25" s="245">
        <v>0</v>
      </c>
      <c r="F25" s="207"/>
      <c r="G25" s="932">
        <f t="shared" si="1"/>
        <v>12</v>
      </c>
    </row>
    <row r="26" spans="1:26">
      <c r="A26" s="192">
        <f t="shared" si="0"/>
        <v>13</v>
      </c>
      <c r="B26" s="212" t="str">
        <f>"Dec-"&amp;RIGHT(Automation!$B$6,2)</f>
        <v>Dec-18</v>
      </c>
      <c r="C26" s="245">
        <v>0</v>
      </c>
      <c r="D26" s="246" t="s">
        <v>442</v>
      </c>
      <c r="E26" s="255">
        <v>0</v>
      </c>
      <c r="F26" s="202" t="s">
        <v>713</v>
      </c>
      <c r="G26" s="932">
        <f t="shared" si="1"/>
        <v>13</v>
      </c>
      <c r="H26" s="205"/>
    </row>
    <row r="27" spans="1:26">
      <c r="A27" s="192">
        <f t="shared" si="0"/>
        <v>14</v>
      </c>
      <c r="B27" s="214"/>
      <c r="C27" s="247"/>
      <c r="D27" s="225"/>
      <c r="E27" s="248"/>
      <c r="F27" s="216"/>
      <c r="G27" s="932">
        <f t="shared" si="1"/>
        <v>14</v>
      </c>
    </row>
    <row r="28" spans="1:26">
      <c r="A28" s="192">
        <f t="shared" si="0"/>
        <v>15</v>
      </c>
      <c r="B28" s="214" t="s">
        <v>46</v>
      </c>
      <c r="C28" s="249">
        <f>SUM(C14:C26)</f>
        <v>0</v>
      </c>
      <c r="D28" s="871" t="str">
        <f>"Sum Lines "&amp;A14&amp;" thru "&amp;A26</f>
        <v>Sum Lines 1 thru 13</v>
      </c>
      <c r="E28" s="249">
        <f>SUM(E14:E26)</f>
        <v>0</v>
      </c>
      <c r="F28" s="871" t="str">
        <f>"Sum Lines "&amp;A14&amp;" thru "&amp;A26</f>
        <v>Sum Lines 1 thru 13</v>
      </c>
      <c r="G28" s="932">
        <f t="shared" si="1"/>
        <v>15</v>
      </c>
    </row>
    <row r="29" spans="1:26">
      <c r="A29" s="192">
        <f t="shared" si="0"/>
        <v>16</v>
      </c>
      <c r="B29" s="221"/>
      <c r="C29" s="222"/>
      <c r="D29" s="223"/>
      <c r="E29" s="222"/>
      <c r="F29" s="223"/>
      <c r="G29" s="932">
        <f t="shared" si="1"/>
        <v>16</v>
      </c>
    </row>
    <row r="30" spans="1:26">
      <c r="A30" s="192">
        <f t="shared" si="0"/>
        <v>17</v>
      </c>
      <c r="B30" s="214"/>
      <c r="C30" s="248"/>
      <c r="D30" s="225"/>
      <c r="E30" s="248"/>
      <c r="F30" s="225"/>
      <c r="G30" s="932">
        <f t="shared" si="1"/>
        <v>17</v>
      </c>
    </row>
    <row r="31" spans="1:26">
      <c r="A31" s="192">
        <f t="shared" si="0"/>
        <v>18</v>
      </c>
      <c r="B31" s="214" t="s">
        <v>47</v>
      </c>
      <c r="C31" s="249">
        <f>C28/13</f>
        <v>0</v>
      </c>
      <c r="D31" s="871" t="str">
        <f>"Average of Lines "&amp;A14&amp;" thru "&amp;A26</f>
        <v>Average of Lines 1 thru 13</v>
      </c>
      <c r="E31" s="249">
        <f>E28/13</f>
        <v>0</v>
      </c>
      <c r="F31" s="202" t="s">
        <v>714</v>
      </c>
      <c r="G31" s="932">
        <f t="shared" si="1"/>
        <v>18</v>
      </c>
      <c r="H31" s="205"/>
    </row>
    <row r="32" spans="1:26">
      <c r="A32" s="192">
        <f t="shared" si="0"/>
        <v>19</v>
      </c>
      <c r="B32" s="221"/>
      <c r="C32" s="250"/>
      <c r="D32" s="224"/>
      <c r="E32" s="250"/>
      <c r="F32" s="224"/>
      <c r="G32" s="932">
        <f t="shared" si="1"/>
        <v>19</v>
      </c>
      <c r="H32" s="210"/>
    </row>
    <row r="33" spans="1:8">
      <c r="B33" s="232"/>
      <c r="C33" s="251"/>
      <c r="D33" s="252"/>
      <c r="E33" s="251"/>
      <c r="F33" s="252"/>
      <c r="G33" s="988"/>
      <c r="H33" s="210"/>
    </row>
    <row r="34" spans="1:8">
      <c r="C34" s="251"/>
      <c r="D34" s="252"/>
      <c r="E34" s="251"/>
      <c r="F34" s="252"/>
      <c r="G34" s="988"/>
      <c r="H34" s="210"/>
    </row>
    <row r="35" spans="1:8" ht="18.75">
      <c r="A35" s="231">
        <v>1</v>
      </c>
      <c r="B35" s="232" t="s">
        <v>443</v>
      </c>
      <c r="C35" s="253"/>
      <c r="D35" s="252"/>
      <c r="E35" s="253"/>
      <c r="F35" s="252"/>
      <c r="G35" s="988"/>
      <c r="H35" s="210"/>
    </row>
    <row r="36" spans="1:8">
      <c r="B36" s="232" t="s">
        <v>444</v>
      </c>
      <c r="C36" s="253"/>
      <c r="D36" s="252"/>
      <c r="E36" s="253"/>
      <c r="F36" s="252"/>
      <c r="G36" s="988"/>
      <c r="H36" s="210"/>
    </row>
    <row r="37" spans="1:8">
      <c r="C37" s="253"/>
      <c r="D37" s="252"/>
      <c r="E37" s="253"/>
      <c r="F37" s="252"/>
      <c r="G37" s="988"/>
      <c r="H37" s="210"/>
    </row>
    <row r="38" spans="1:8">
      <c r="C38" s="253"/>
      <c r="D38" s="252"/>
      <c r="E38" s="253"/>
      <c r="F38" s="252"/>
      <c r="G38" s="988"/>
    </row>
    <row r="39" spans="1:8">
      <c r="C39" s="254"/>
      <c r="E39" s="242"/>
      <c r="G39" s="988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Z38"/>
  <sheetViews>
    <sheetView zoomScale="80" zoomScaleNormal="80" workbookViewId="0"/>
  </sheetViews>
  <sheetFormatPr defaultColWidth="9.28515625" defaultRowHeight="15.75"/>
  <cols>
    <col min="1" max="1" width="5.28515625" style="174" customWidth="1"/>
    <col min="2" max="2" width="35.28515625" style="175" customWidth="1"/>
    <col min="3" max="3" width="18.5703125" style="181" customWidth="1"/>
    <col min="4" max="4" width="25.28515625" style="181" customWidth="1"/>
    <col min="5" max="5" width="18.5703125" style="175" customWidth="1"/>
    <col min="6" max="6" width="62.5703125" style="175" customWidth="1"/>
    <col min="7" max="7" width="5.28515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28515625" style="175"/>
  </cols>
  <sheetData>
    <row r="2" spans="1:9">
      <c r="B2" s="1635" t="s">
        <v>18</v>
      </c>
      <c r="C2" s="1635"/>
      <c r="D2" s="1635"/>
      <c r="E2" s="1635"/>
      <c r="F2" s="1635"/>
    </row>
    <row r="3" spans="1:9">
      <c r="B3" s="1635" t="s">
        <v>19</v>
      </c>
      <c r="C3" s="1635"/>
      <c r="D3" s="1635"/>
      <c r="E3" s="1635"/>
      <c r="F3" s="1635"/>
    </row>
    <row r="4" spans="1:9">
      <c r="B4" s="1635" t="s">
        <v>20</v>
      </c>
      <c r="C4" s="1635"/>
      <c r="D4" s="1635"/>
      <c r="E4" s="1635"/>
      <c r="F4" s="1635"/>
    </row>
    <row r="5" spans="1:9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9">
      <c r="B6" s="1640" t="s">
        <v>3</v>
      </c>
      <c r="C6" s="1640"/>
      <c r="D6" s="1640"/>
      <c r="E6" s="1640"/>
      <c r="F6" s="1640"/>
    </row>
    <row r="7" spans="1:9">
      <c r="B7" s="177"/>
      <c r="C7" s="178"/>
      <c r="D7" s="178"/>
      <c r="E7" s="177"/>
      <c r="F7" s="177"/>
    </row>
    <row r="8" spans="1:9">
      <c r="B8" s="1635" t="s">
        <v>51</v>
      </c>
      <c r="C8" s="1635"/>
      <c r="D8" s="1635"/>
      <c r="E8" s="1635"/>
      <c r="F8" s="1635"/>
    </row>
    <row r="10" spans="1:9">
      <c r="B10" s="184"/>
      <c r="C10" s="185" t="s">
        <v>31</v>
      </c>
      <c r="D10" s="256"/>
      <c r="E10" s="185"/>
      <c r="F10" s="256"/>
    </row>
    <row r="11" spans="1:9">
      <c r="B11" s="187"/>
      <c r="C11" s="195" t="s">
        <v>52</v>
      </c>
      <c r="D11" s="187"/>
      <c r="E11" s="195" t="s">
        <v>52</v>
      </c>
      <c r="F11" s="187"/>
    </row>
    <row r="12" spans="1:9">
      <c r="A12" s="192" t="s">
        <v>4</v>
      </c>
      <c r="B12" s="194"/>
      <c r="C12" s="188" t="s">
        <v>33</v>
      </c>
      <c r="D12" s="187"/>
      <c r="E12" s="195" t="s">
        <v>33</v>
      </c>
      <c r="F12" s="187"/>
      <c r="G12" s="932" t="s">
        <v>4</v>
      </c>
    </row>
    <row r="13" spans="1:9" ht="18.75">
      <c r="A13" s="192" t="s">
        <v>25</v>
      </c>
      <c r="B13" s="196" t="s">
        <v>23</v>
      </c>
      <c r="C13" s="197" t="s">
        <v>35</v>
      </c>
      <c r="D13" s="196" t="s">
        <v>9</v>
      </c>
      <c r="E13" s="199" t="s">
        <v>441</v>
      </c>
      <c r="F13" s="196" t="s">
        <v>9</v>
      </c>
      <c r="G13" s="932" t="s">
        <v>25</v>
      </c>
      <c r="H13" s="242"/>
    </row>
    <row r="14" spans="1:9">
      <c r="A14" s="192">
        <v>1</v>
      </c>
      <c r="B14" s="200" t="str">
        <f>"Dec-"&amp;RIGHT(Automation!$B$6-1,2)</f>
        <v>Dec-17</v>
      </c>
      <c r="C14" s="244">
        <v>0</v>
      </c>
      <c r="D14" s="202" t="s">
        <v>442</v>
      </c>
      <c r="E14" s="244">
        <v>0</v>
      </c>
      <c r="F14" s="202" t="s">
        <v>442</v>
      </c>
      <c r="G14" s="932">
        <f>A14</f>
        <v>1</v>
      </c>
      <c r="H14" s="258"/>
      <c r="I14" s="258"/>
    </row>
    <row r="15" spans="1:9">
      <c r="A15" s="192">
        <f>A14+1</f>
        <v>2</v>
      </c>
      <c r="B15" s="200" t="str">
        <f>"Jan-"&amp;RIGHT(Automation!$B$6,2)</f>
        <v>Jan-18</v>
      </c>
      <c r="C15" s="245">
        <v>0</v>
      </c>
      <c r="D15" s="209"/>
      <c r="E15" s="245">
        <v>0</v>
      </c>
      <c r="F15" s="209"/>
      <c r="G15" s="932">
        <f>G14+1</f>
        <v>2</v>
      </c>
      <c r="H15" s="258"/>
      <c r="I15" s="210"/>
    </row>
    <row r="16" spans="1:9">
      <c r="A16" s="192">
        <f t="shared" ref="A16:A32" si="0">A15+1</f>
        <v>3</v>
      </c>
      <c r="B16" s="200" t="s">
        <v>36</v>
      </c>
      <c r="C16" s="245">
        <v>0</v>
      </c>
      <c r="D16" s="209"/>
      <c r="E16" s="245">
        <v>0</v>
      </c>
      <c r="F16" s="209"/>
      <c r="G16" s="932">
        <f t="shared" ref="G16:G32" si="1">G15+1</f>
        <v>3</v>
      </c>
      <c r="H16" s="242"/>
    </row>
    <row r="17" spans="1:26">
      <c r="A17" s="192">
        <f t="shared" si="0"/>
        <v>4</v>
      </c>
      <c r="B17" s="200" t="s">
        <v>37</v>
      </c>
      <c r="C17" s="245">
        <v>0</v>
      </c>
      <c r="D17" s="209"/>
      <c r="E17" s="245">
        <v>0</v>
      </c>
      <c r="F17" s="209"/>
      <c r="G17" s="932">
        <f t="shared" si="1"/>
        <v>4</v>
      </c>
      <c r="H17" s="242"/>
    </row>
    <row r="18" spans="1:26">
      <c r="A18" s="192">
        <f t="shared" si="0"/>
        <v>5</v>
      </c>
      <c r="B18" s="200" t="s">
        <v>38</v>
      </c>
      <c r="C18" s="245">
        <v>0</v>
      </c>
      <c r="D18" s="209"/>
      <c r="E18" s="245">
        <v>0</v>
      </c>
      <c r="F18" s="209"/>
      <c r="G18" s="932">
        <f t="shared" si="1"/>
        <v>5</v>
      </c>
      <c r="H18" s="242"/>
    </row>
    <row r="19" spans="1:26">
      <c r="A19" s="192">
        <f t="shared" si="0"/>
        <v>6</v>
      </c>
      <c r="B19" s="200" t="s">
        <v>39</v>
      </c>
      <c r="C19" s="245">
        <v>0</v>
      </c>
      <c r="D19" s="209"/>
      <c r="E19" s="245">
        <v>0</v>
      </c>
      <c r="F19" s="209"/>
      <c r="G19" s="932">
        <f t="shared" si="1"/>
        <v>6</v>
      </c>
      <c r="H19" s="242"/>
    </row>
    <row r="20" spans="1:26">
      <c r="A20" s="192">
        <f>A19+1</f>
        <v>7</v>
      </c>
      <c r="B20" s="200" t="s">
        <v>40</v>
      </c>
      <c r="C20" s="245">
        <v>0</v>
      </c>
      <c r="D20" s="209"/>
      <c r="E20" s="245">
        <v>0</v>
      </c>
      <c r="F20" s="209"/>
      <c r="G20" s="932">
        <f>G19+1</f>
        <v>7</v>
      </c>
      <c r="H20" s="242"/>
    </row>
    <row r="21" spans="1:26">
      <c r="A21" s="192">
        <f t="shared" si="0"/>
        <v>8</v>
      </c>
      <c r="B21" s="200" t="s">
        <v>41</v>
      </c>
      <c r="C21" s="245">
        <v>0</v>
      </c>
      <c r="D21" s="209"/>
      <c r="E21" s="245">
        <v>0</v>
      </c>
      <c r="F21" s="209"/>
      <c r="G21" s="932">
        <f t="shared" si="1"/>
        <v>8</v>
      </c>
    </row>
    <row r="22" spans="1:26">
      <c r="A22" s="192">
        <f t="shared" si="0"/>
        <v>9</v>
      </c>
      <c r="B22" s="200" t="s">
        <v>42</v>
      </c>
      <c r="C22" s="245">
        <v>0</v>
      </c>
      <c r="D22" s="209"/>
      <c r="E22" s="245">
        <v>0</v>
      </c>
      <c r="F22" s="209"/>
      <c r="G22" s="932">
        <f t="shared" si="1"/>
        <v>9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45">
        <v>0</v>
      </c>
      <c r="D23" s="209"/>
      <c r="E23" s="245">
        <v>0</v>
      </c>
      <c r="F23" s="209"/>
      <c r="G23" s="932">
        <f t="shared" si="1"/>
        <v>10</v>
      </c>
    </row>
    <row r="24" spans="1:26">
      <c r="A24" s="192">
        <f t="shared" si="0"/>
        <v>11</v>
      </c>
      <c r="B24" s="200" t="s">
        <v>44</v>
      </c>
      <c r="C24" s="245">
        <v>0</v>
      </c>
      <c r="D24" s="209"/>
      <c r="E24" s="245">
        <v>0</v>
      </c>
      <c r="F24" s="209"/>
      <c r="G24" s="932">
        <f t="shared" si="1"/>
        <v>11</v>
      </c>
    </row>
    <row r="25" spans="1:26">
      <c r="A25" s="192">
        <f t="shared" si="0"/>
        <v>12</v>
      </c>
      <c r="B25" s="200" t="s">
        <v>45</v>
      </c>
      <c r="C25" s="245">
        <v>0</v>
      </c>
      <c r="D25" s="209"/>
      <c r="E25" s="245">
        <v>0</v>
      </c>
      <c r="F25" s="209"/>
      <c r="G25" s="932">
        <f t="shared" si="1"/>
        <v>12</v>
      </c>
      <c r="I25" s="210"/>
    </row>
    <row r="26" spans="1:26">
      <c r="A26" s="192">
        <f t="shared" si="0"/>
        <v>13</v>
      </c>
      <c r="B26" s="212" t="str">
        <f>"Dec-"&amp;RIGHT(Automation!$B$6,2)</f>
        <v>Dec-18</v>
      </c>
      <c r="C26" s="245">
        <v>0</v>
      </c>
      <c r="D26" s="246" t="s">
        <v>442</v>
      </c>
      <c r="E26" s="255">
        <v>0</v>
      </c>
      <c r="F26" s="246" t="s">
        <v>442</v>
      </c>
      <c r="G26" s="932">
        <f t="shared" si="1"/>
        <v>13</v>
      </c>
      <c r="H26" s="210"/>
      <c r="I26" s="258"/>
    </row>
    <row r="27" spans="1:26">
      <c r="A27" s="192">
        <f t="shared" si="0"/>
        <v>14</v>
      </c>
      <c r="B27" s="214"/>
      <c r="C27" s="247"/>
      <c r="D27" s="259"/>
      <c r="E27" s="248"/>
      <c r="F27" s="260"/>
      <c r="G27" s="932">
        <f t="shared" si="1"/>
        <v>14</v>
      </c>
      <c r="H27" s="210"/>
      <c r="I27" s="210"/>
    </row>
    <row r="28" spans="1:26">
      <c r="A28" s="192">
        <f t="shared" si="0"/>
        <v>15</v>
      </c>
      <c r="B28" s="214" t="s">
        <v>46</v>
      </c>
      <c r="C28" s="249">
        <f>SUM(C14:C26)</f>
        <v>0</v>
      </c>
      <c r="D28" s="870" t="str">
        <f>"Sum Lines "&amp;A14&amp;" thru "&amp;A26</f>
        <v>Sum Lines 1 thru 13</v>
      </c>
      <c r="E28" s="249">
        <f>SUM(E14:E26)</f>
        <v>0</v>
      </c>
      <c r="F28" s="869" t="str">
        <f>"Sum Lines "&amp;A14&amp;" thru "&amp;A26</f>
        <v>Sum Lines 1 thru 13</v>
      </c>
      <c r="G28" s="932">
        <f t="shared" si="1"/>
        <v>15</v>
      </c>
      <c r="H28" s="210"/>
      <c r="I28" s="210"/>
    </row>
    <row r="29" spans="1:26">
      <c r="A29" s="192">
        <f t="shared" si="0"/>
        <v>16</v>
      </c>
      <c r="B29" s="221"/>
      <c r="C29" s="250"/>
      <c r="D29" s="262"/>
      <c r="E29" s="250"/>
      <c r="F29" s="263"/>
      <c r="G29" s="932">
        <f t="shared" si="1"/>
        <v>16</v>
      </c>
      <c r="H29" s="210"/>
      <c r="I29" s="210"/>
    </row>
    <row r="30" spans="1:26">
      <c r="A30" s="192">
        <f t="shared" si="0"/>
        <v>17</v>
      </c>
      <c r="B30" s="214"/>
      <c r="C30" s="248"/>
      <c r="D30" s="261"/>
      <c r="E30" s="248"/>
      <c r="F30" s="264"/>
      <c r="G30" s="932">
        <f t="shared" si="1"/>
        <v>17</v>
      </c>
      <c r="H30" s="210"/>
      <c r="I30" s="210"/>
    </row>
    <row r="31" spans="1:26">
      <c r="A31" s="192">
        <f t="shared" si="0"/>
        <v>18</v>
      </c>
      <c r="B31" s="214" t="s">
        <v>47</v>
      </c>
      <c r="C31" s="265">
        <f>C28/13</f>
        <v>0</v>
      </c>
      <c r="D31" s="870" t="str">
        <f>"Average of Lines "&amp;A14&amp;" thru "&amp;A26</f>
        <v>Average of Lines 1 thru 13</v>
      </c>
      <c r="E31" s="265">
        <f>E28/13</f>
        <v>0</v>
      </c>
      <c r="F31" s="869" t="str">
        <f>"Average of Lines "&amp;A14&amp;" thru "&amp;A26</f>
        <v>Average of Lines 1 thru 13</v>
      </c>
      <c r="G31" s="932">
        <f t="shared" si="1"/>
        <v>18</v>
      </c>
      <c r="H31" s="210"/>
      <c r="I31" s="258"/>
    </row>
    <row r="32" spans="1:26">
      <c r="A32" s="192">
        <f t="shared" si="0"/>
        <v>19</v>
      </c>
      <c r="B32" s="221"/>
      <c r="C32" s="250"/>
      <c r="D32" s="266"/>
      <c r="E32" s="250"/>
      <c r="F32" s="263"/>
      <c r="G32" s="932">
        <f t="shared" si="1"/>
        <v>19</v>
      </c>
      <c r="H32" s="210"/>
    </row>
    <row r="33" spans="1:7">
      <c r="A33" s="192"/>
      <c r="B33" s="232"/>
      <c r="C33" s="251"/>
      <c r="D33" s="251"/>
      <c r="E33" s="251"/>
      <c r="F33" s="253"/>
      <c r="G33" s="988"/>
    </row>
    <row r="34" spans="1:7">
      <c r="A34" s="192"/>
      <c r="C34" s="253"/>
      <c r="D34" s="253"/>
      <c r="E34" s="253"/>
      <c r="F34" s="253"/>
      <c r="G34" s="988"/>
    </row>
    <row r="35" spans="1:7" ht="18.75">
      <c r="A35" s="231">
        <v>1</v>
      </c>
      <c r="B35" s="232" t="s">
        <v>443</v>
      </c>
      <c r="C35" s="253"/>
      <c r="D35" s="253"/>
      <c r="E35" s="253"/>
      <c r="F35" s="253"/>
      <c r="G35" s="988"/>
    </row>
    <row r="36" spans="1:7">
      <c r="B36" s="232" t="s">
        <v>444</v>
      </c>
      <c r="C36" s="253"/>
      <c r="D36" s="253"/>
      <c r="E36" s="253"/>
      <c r="F36" s="253"/>
      <c r="G36" s="988"/>
    </row>
    <row r="37" spans="1:7">
      <c r="C37" s="253"/>
      <c r="D37" s="253"/>
      <c r="E37" s="253"/>
      <c r="F37" s="253"/>
      <c r="G37" s="988"/>
    </row>
    <row r="38" spans="1:7">
      <c r="C38" s="254"/>
      <c r="D38" s="254"/>
      <c r="E38" s="242"/>
      <c r="F38" s="242"/>
      <c r="G38" s="988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Z44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140625" style="175" customWidth="1"/>
    <col min="3" max="3" width="18.5703125" style="181" customWidth="1"/>
    <col min="4" max="4" width="25.28515625" style="268" customWidth="1"/>
    <col min="5" max="5" width="18.5703125" style="175" customWidth="1"/>
    <col min="6" max="6" width="62.5703125" style="183" customWidth="1"/>
    <col min="7" max="7" width="5.140625" style="928" customWidth="1"/>
    <col min="8" max="8" width="24" style="210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8">
      <c r="B2" s="1635" t="s">
        <v>18</v>
      </c>
      <c r="C2" s="1635"/>
      <c r="D2" s="1635"/>
      <c r="E2" s="1635"/>
      <c r="F2" s="1635"/>
    </row>
    <row r="3" spans="1:8">
      <c r="B3" s="1635" t="s">
        <v>19</v>
      </c>
      <c r="C3" s="1635"/>
      <c r="D3" s="1635"/>
      <c r="E3" s="1635"/>
      <c r="F3" s="1635"/>
    </row>
    <row r="4" spans="1:8">
      <c r="B4" s="1635" t="s">
        <v>20</v>
      </c>
      <c r="C4" s="1635"/>
      <c r="D4" s="1635"/>
      <c r="E4" s="1635"/>
      <c r="F4" s="1635"/>
    </row>
    <row r="5" spans="1:8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8">
      <c r="B6" s="1640" t="s">
        <v>3</v>
      </c>
      <c r="C6" s="1640"/>
      <c r="D6" s="1640"/>
      <c r="E6" s="1640"/>
      <c r="F6" s="1640"/>
    </row>
    <row r="7" spans="1:8">
      <c r="B7" s="177"/>
      <c r="C7" s="178"/>
      <c r="D7" s="267"/>
      <c r="E7" s="177"/>
      <c r="F7" s="180"/>
    </row>
    <row r="8" spans="1:8">
      <c r="B8" s="1635" t="s">
        <v>53</v>
      </c>
      <c r="C8" s="1635"/>
      <c r="D8" s="1635"/>
      <c r="E8" s="1635"/>
      <c r="F8" s="1635"/>
    </row>
    <row r="10" spans="1:8">
      <c r="B10" s="184"/>
      <c r="C10" s="185" t="s">
        <v>31</v>
      </c>
      <c r="D10" s="269"/>
      <c r="E10" s="185"/>
      <c r="F10" s="186"/>
    </row>
    <row r="11" spans="1:8">
      <c r="A11" s="192"/>
      <c r="B11" s="187"/>
      <c r="C11" s="188" t="s">
        <v>54</v>
      </c>
      <c r="D11" s="270"/>
      <c r="E11" s="195" t="s">
        <v>54</v>
      </c>
      <c r="F11" s="189"/>
    </row>
    <row r="12" spans="1:8">
      <c r="A12" s="192" t="s">
        <v>4</v>
      </c>
      <c r="B12" s="194"/>
      <c r="C12" s="188" t="s">
        <v>33</v>
      </c>
      <c r="D12" s="189"/>
      <c r="E12" s="195" t="s">
        <v>33</v>
      </c>
      <c r="F12" s="189"/>
      <c r="G12" s="932" t="s">
        <v>4</v>
      </c>
    </row>
    <row r="13" spans="1:8" ht="18.75">
      <c r="A13" s="192" t="s">
        <v>25</v>
      </c>
      <c r="B13" s="196" t="s">
        <v>23</v>
      </c>
      <c r="C13" s="197" t="s">
        <v>35</v>
      </c>
      <c r="D13" s="198" t="s">
        <v>9</v>
      </c>
      <c r="E13" s="199" t="s">
        <v>441</v>
      </c>
      <c r="F13" s="198" t="s">
        <v>9</v>
      </c>
      <c r="G13" s="932" t="s">
        <v>25</v>
      </c>
    </row>
    <row r="14" spans="1:8">
      <c r="A14" s="192">
        <v>1</v>
      </c>
      <c r="B14" s="200" t="str">
        <f>"Dec-"&amp;RIGHT(Automation!$B$6-1,2)</f>
        <v>Dec-17</v>
      </c>
      <c r="C14" s="201">
        <v>559500.36330999993</v>
      </c>
      <c r="D14" s="202" t="s">
        <v>442</v>
      </c>
      <c r="E14" s="201">
        <v>518147.67080999987</v>
      </c>
      <c r="F14" s="202" t="s">
        <v>715</v>
      </c>
      <c r="G14" s="932">
        <f>A14</f>
        <v>1</v>
      </c>
      <c r="H14" s="205"/>
    </row>
    <row r="15" spans="1:8">
      <c r="A15" s="192">
        <f>A14+1</f>
        <v>2</v>
      </c>
      <c r="B15" s="200" t="str">
        <f>"Jan-"&amp;RIGHT(Automation!$B$6,2)</f>
        <v>Jan-18</v>
      </c>
      <c r="C15" s="206">
        <v>559501.65710000007</v>
      </c>
      <c r="D15" s="207"/>
      <c r="E15" s="206">
        <v>518148.96460000006</v>
      </c>
      <c r="F15" s="207"/>
      <c r="G15" s="932">
        <f>G14+1</f>
        <v>2</v>
      </c>
      <c r="H15" s="175"/>
    </row>
    <row r="16" spans="1:8">
      <c r="A16" s="192">
        <f t="shared" ref="A16:A32" si="0">A15+1</f>
        <v>3</v>
      </c>
      <c r="B16" s="200" t="s">
        <v>36</v>
      </c>
      <c r="C16" s="206">
        <v>559317.60811000003</v>
      </c>
      <c r="D16" s="207"/>
      <c r="E16" s="206">
        <v>517964.91561000003</v>
      </c>
      <c r="F16" s="207"/>
      <c r="G16" s="932">
        <f t="shared" ref="G16:G32" si="1">G15+1</f>
        <v>3</v>
      </c>
      <c r="H16" s="175"/>
    </row>
    <row r="17" spans="1:26">
      <c r="A17" s="192">
        <f t="shared" si="0"/>
        <v>4</v>
      </c>
      <c r="B17" s="200" t="s">
        <v>37</v>
      </c>
      <c r="C17" s="206">
        <v>559318.99405999994</v>
      </c>
      <c r="D17" s="207"/>
      <c r="E17" s="206">
        <v>517966.30155999993</v>
      </c>
      <c r="F17" s="207"/>
      <c r="G17" s="932">
        <f t="shared" si="1"/>
        <v>4</v>
      </c>
      <c r="H17" s="175"/>
    </row>
    <row r="18" spans="1:26">
      <c r="A18" s="192">
        <f t="shared" si="0"/>
        <v>5</v>
      </c>
      <c r="B18" s="200" t="s">
        <v>38</v>
      </c>
      <c r="C18" s="206">
        <v>559319.76783999999</v>
      </c>
      <c r="D18" s="207"/>
      <c r="E18" s="206">
        <v>517967.07533999998</v>
      </c>
      <c r="F18" s="207"/>
      <c r="G18" s="932">
        <f t="shared" si="1"/>
        <v>5</v>
      </c>
      <c r="H18" s="175"/>
    </row>
    <row r="19" spans="1:26">
      <c r="A19" s="192">
        <f t="shared" si="0"/>
        <v>6</v>
      </c>
      <c r="B19" s="200" t="s">
        <v>39</v>
      </c>
      <c r="C19" s="206">
        <v>559319.76807000011</v>
      </c>
      <c r="D19" s="207"/>
      <c r="E19" s="206">
        <v>517967.0755700001</v>
      </c>
      <c r="F19" s="207"/>
      <c r="G19" s="932">
        <f t="shared" si="1"/>
        <v>6</v>
      </c>
      <c r="H19" s="175"/>
    </row>
    <row r="20" spans="1:26">
      <c r="A20" s="192">
        <f>A19+1</f>
        <v>7</v>
      </c>
      <c r="B20" s="200" t="s">
        <v>40</v>
      </c>
      <c r="C20" s="206">
        <v>559319.79587000003</v>
      </c>
      <c r="D20" s="207"/>
      <c r="E20" s="206">
        <v>517967.10337000003</v>
      </c>
      <c r="F20" s="207"/>
      <c r="G20" s="932">
        <f>G19+1</f>
        <v>7</v>
      </c>
      <c r="H20" s="175"/>
    </row>
    <row r="21" spans="1:26">
      <c r="A21" s="192">
        <f t="shared" si="0"/>
        <v>8</v>
      </c>
      <c r="B21" s="200" t="s">
        <v>41</v>
      </c>
      <c r="C21" s="206">
        <v>559319.8269199999</v>
      </c>
      <c r="D21" s="207"/>
      <c r="E21" s="206">
        <v>517967.1344199999</v>
      </c>
      <c r="F21" s="207"/>
      <c r="G21" s="932">
        <f t="shared" si="1"/>
        <v>8</v>
      </c>
      <c r="H21" s="175"/>
    </row>
    <row r="22" spans="1:26">
      <c r="A22" s="192">
        <f t="shared" si="0"/>
        <v>9</v>
      </c>
      <c r="B22" s="200" t="s">
        <v>42</v>
      </c>
      <c r="C22" s="206">
        <v>560978.66376000002</v>
      </c>
      <c r="D22" s="207"/>
      <c r="E22" s="206">
        <v>519625.97126000002</v>
      </c>
      <c r="F22" s="207"/>
      <c r="G22" s="932">
        <f t="shared" si="1"/>
        <v>9</v>
      </c>
      <c r="H22" s="175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06">
        <v>561377.00869000005</v>
      </c>
      <c r="D23" s="207"/>
      <c r="E23" s="206">
        <v>520024.31619000004</v>
      </c>
      <c r="F23" s="207"/>
      <c r="G23" s="932">
        <f t="shared" si="1"/>
        <v>10</v>
      </c>
      <c r="H23" s="175"/>
    </row>
    <row r="24" spans="1:26">
      <c r="A24" s="192">
        <f t="shared" si="0"/>
        <v>11</v>
      </c>
      <c r="B24" s="200" t="s">
        <v>44</v>
      </c>
      <c r="C24" s="206">
        <v>561384.89369000006</v>
      </c>
      <c r="D24" s="207"/>
      <c r="E24" s="206">
        <v>520032.20119000005</v>
      </c>
      <c r="F24" s="207"/>
      <c r="G24" s="932">
        <f t="shared" si="1"/>
        <v>11</v>
      </c>
      <c r="H24" s="175"/>
    </row>
    <row r="25" spans="1:26">
      <c r="A25" s="192">
        <f t="shared" si="0"/>
        <v>12</v>
      </c>
      <c r="B25" s="200" t="s">
        <v>45</v>
      </c>
      <c r="C25" s="206">
        <v>561697.18362999998</v>
      </c>
      <c r="D25" s="207"/>
      <c r="E25" s="206">
        <v>520344.49112999998</v>
      </c>
      <c r="F25" s="207"/>
      <c r="G25" s="932">
        <f t="shared" si="1"/>
        <v>12</v>
      </c>
      <c r="H25" s="175"/>
    </row>
    <row r="26" spans="1:26">
      <c r="A26" s="192">
        <f t="shared" si="0"/>
        <v>13</v>
      </c>
      <c r="B26" s="212" t="str">
        <f>"Dec-"&amp;RIGHT(Automation!$B$6,2)</f>
        <v>Dec-18</v>
      </c>
      <c r="C26" s="206">
        <v>564511.32339999999</v>
      </c>
      <c r="D26" s="246" t="s">
        <v>442</v>
      </c>
      <c r="E26" s="276">
        <v>522513.93391999998</v>
      </c>
      <c r="F26" s="202" t="s">
        <v>713</v>
      </c>
      <c r="G26" s="932">
        <f t="shared" si="1"/>
        <v>13</v>
      </c>
      <c r="H26" s="205"/>
    </row>
    <row r="27" spans="1:26">
      <c r="A27" s="192">
        <f>A26+1</f>
        <v>14</v>
      </c>
      <c r="B27" s="214"/>
      <c r="C27" s="247"/>
      <c r="D27" s="225"/>
      <c r="E27" s="248"/>
      <c r="F27" s="216"/>
      <c r="G27" s="932">
        <f>G26+1</f>
        <v>14</v>
      </c>
      <c r="H27" s="175"/>
    </row>
    <row r="28" spans="1:26">
      <c r="A28" s="192">
        <f t="shared" si="0"/>
        <v>15</v>
      </c>
      <c r="B28" s="214" t="s">
        <v>46</v>
      </c>
      <c r="C28" s="219">
        <f>SUM(C14:C26)</f>
        <v>7284866.8544500005</v>
      </c>
      <c r="D28" s="871" t="str">
        <f>"Sum Lines "&amp;A14&amp;" thru "&amp;A26</f>
        <v>Sum Lines 1 thru 13</v>
      </c>
      <c r="E28" s="219">
        <f>SUM(E14:E26)</f>
        <v>6746637.1549700005</v>
      </c>
      <c r="F28" s="871" t="str">
        <f>"Sum Lines "&amp;A14&amp;" thru "&amp;A26</f>
        <v>Sum Lines 1 thru 13</v>
      </c>
      <c r="G28" s="932">
        <f t="shared" si="1"/>
        <v>15</v>
      </c>
      <c r="H28" s="175"/>
    </row>
    <row r="29" spans="1:26">
      <c r="A29" s="192">
        <f t="shared" si="0"/>
        <v>16</v>
      </c>
      <c r="B29" s="221"/>
      <c r="C29" s="222"/>
      <c r="D29" s="271"/>
      <c r="E29" s="222"/>
      <c r="F29" s="271"/>
      <c r="G29" s="932">
        <f t="shared" si="1"/>
        <v>16</v>
      </c>
      <c r="H29" s="175"/>
    </row>
    <row r="30" spans="1:26">
      <c r="A30" s="192">
        <f t="shared" si="0"/>
        <v>17</v>
      </c>
      <c r="B30" s="214"/>
      <c r="C30" s="219"/>
      <c r="D30" s="220"/>
      <c r="E30" s="219"/>
      <c r="F30" s="220"/>
      <c r="G30" s="932">
        <f t="shared" si="1"/>
        <v>17</v>
      </c>
      <c r="H30" s="175"/>
    </row>
    <row r="31" spans="1:26">
      <c r="A31" s="192">
        <f t="shared" si="0"/>
        <v>18</v>
      </c>
      <c r="B31" s="214" t="s">
        <v>47</v>
      </c>
      <c r="C31" s="219">
        <f>C28/13</f>
        <v>560374.3734192308</v>
      </c>
      <c r="D31" s="871" t="str">
        <f>"Average of Lines "&amp;A14&amp;" thru "&amp;A26</f>
        <v>Average of Lines 1 thru 13</v>
      </c>
      <c r="E31" s="219">
        <f>E28/13</f>
        <v>518972.08884384617</v>
      </c>
      <c r="F31" s="202" t="s">
        <v>714</v>
      </c>
      <c r="G31" s="932">
        <f t="shared" si="1"/>
        <v>18</v>
      </c>
      <c r="H31" s="205"/>
    </row>
    <row r="32" spans="1:26">
      <c r="A32" s="192">
        <f t="shared" si="0"/>
        <v>19</v>
      </c>
      <c r="B32" s="221"/>
      <c r="C32" s="250"/>
      <c r="D32" s="223"/>
      <c r="E32" s="250"/>
      <c r="F32" s="223"/>
      <c r="G32" s="932">
        <f t="shared" si="1"/>
        <v>19</v>
      </c>
      <c r="H32" s="175"/>
    </row>
    <row r="33" spans="1:8">
      <c r="B33" s="232"/>
      <c r="C33" s="251"/>
      <c r="D33" s="272"/>
      <c r="E33" s="251"/>
      <c r="F33" s="252"/>
      <c r="H33" s="175"/>
    </row>
    <row r="34" spans="1:8">
      <c r="C34" s="251"/>
      <c r="D34" s="272"/>
      <c r="E34" s="251"/>
      <c r="F34" s="252"/>
      <c r="H34" s="175"/>
    </row>
    <row r="35" spans="1:8" ht="18.75">
      <c r="A35" s="231">
        <v>1</v>
      </c>
      <c r="B35" s="232" t="s">
        <v>443</v>
      </c>
      <c r="C35" s="251"/>
      <c r="D35" s="272"/>
      <c r="E35" s="251"/>
      <c r="F35" s="252"/>
    </row>
    <row r="36" spans="1:8">
      <c r="B36" s="232" t="s">
        <v>444</v>
      </c>
      <c r="C36" s="251"/>
      <c r="D36" s="272"/>
      <c r="E36" s="251"/>
      <c r="F36" s="252"/>
    </row>
    <row r="37" spans="1:8">
      <c r="C37" s="251"/>
      <c r="D37" s="272"/>
      <c r="E37" s="251"/>
      <c r="F37" s="252"/>
    </row>
    <row r="38" spans="1:8">
      <c r="C38" s="251"/>
      <c r="D38" s="272"/>
      <c r="E38" s="251"/>
      <c r="F38" s="252"/>
    </row>
    <row r="39" spans="1:8">
      <c r="C39" s="273"/>
      <c r="D39" s="273"/>
      <c r="E39" s="273"/>
      <c r="F39" s="273"/>
      <c r="G39" s="989"/>
    </row>
    <row r="40" spans="1:8">
      <c r="E40" s="274"/>
    </row>
    <row r="41" spans="1:8">
      <c r="E41" s="274"/>
    </row>
    <row r="42" spans="1:8">
      <c r="E42" s="274"/>
    </row>
    <row r="43" spans="1:8">
      <c r="E43" s="275"/>
    </row>
    <row r="44" spans="1:8">
      <c r="E44" s="274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27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140625" style="175" customWidth="1"/>
    <col min="3" max="3" width="18.5703125" style="181" customWidth="1"/>
    <col min="4" max="4" width="29.28515625" style="181" bestFit="1" customWidth="1"/>
    <col min="5" max="5" width="18.5703125" style="175" customWidth="1"/>
    <col min="6" max="6" width="62.5703125" style="175" customWidth="1"/>
    <col min="7" max="7" width="5.140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9">
      <c r="B2" s="1635" t="s">
        <v>18</v>
      </c>
      <c r="C2" s="1635"/>
      <c r="D2" s="1635"/>
      <c r="E2" s="1635"/>
      <c r="F2" s="1635"/>
    </row>
    <row r="3" spans="1:9">
      <c r="B3" s="1635" t="s">
        <v>19</v>
      </c>
      <c r="C3" s="1635"/>
      <c r="D3" s="1635"/>
      <c r="E3" s="1635"/>
      <c r="F3" s="1635"/>
    </row>
    <row r="4" spans="1:9">
      <c r="B4" s="1635" t="s">
        <v>20</v>
      </c>
      <c r="C4" s="1635"/>
      <c r="D4" s="1635"/>
      <c r="E4" s="1635"/>
      <c r="F4" s="1635"/>
    </row>
    <row r="5" spans="1:9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9">
      <c r="B6" s="1640" t="s">
        <v>3</v>
      </c>
      <c r="C6" s="1640"/>
      <c r="D6" s="1640"/>
      <c r="E6" s="1640"/>
      <c r="F6" s="1640"/>
    </row>
    <row r="7" spans="1:9">
      <c r="B7" s="177"/>
      <c r="C7" s="178"/>
      <c r="D7" s="178"/>
      <c r="E7" s="177"/>
      <c r="F7" s="177"/>
    </row>
    <row r="8" spans="1:9">
      <c r="B8" s="1635" t="s">
        <v>55</v>
      </c>
      <c r="C8" s="1635"/>
      <c r="D8" s="1635"/>
      <c r="E8" s="1635"/>
      <c r="F8" s="1635"/>
    </row>
    <row r="9" spans="1:9">
      <c r="G9" s="932"/>
    </row>
    <row r="10" spans="1:9">
      <c r="B10" s="184"/>
      <c r="C10" s="185" t="s">
        <v>31</v>
      </c>
      <c r="D10" s="256"/>
      <c r="E10" s="185"/>
      <c r="F10" s="256"/>
      <c r="G10" s="932"/>
    </row>
    <row r="11" spans="1:9">
      <c r="B11" s="187"/>
      <c r="C11" s="188" t="s">
        <v>56</v>
      </c>
      <c r="D11" s="270"/>
      <c r="E11" s="195" t="s">
        <v>56</v>
      </c>
      <c r="F11" s="270"/>
      <c r="G11" s="932"/>
    </row>
    <row r="12" spans="1:9">
      <c r="A12" s="192" t="s">
        <v>4</v>
      </c>
      <c r="B12" s="194"/>
      <c r="C12" s="188" t="s">
        <v>57</v>
      </c>
      <c r="D12" s="189"/>
      <c r="E12" s="195" t="s">
        <v>57</v>
      </c>
      <c r="F12" s="189"/>
      <c r="G12" s="932" t="s">
        <v>4</v>
      </c>
    </row>
    <row r="13" spans="1:9" ht="18.75">
      <c r="A13" s="192" t="s">
        <v>25</v>
      </c>
      <c r="B13" s="196" t="s">
        <v>23</v>
      </c>
      <c r="C13" s="197" t="s">
        <v>35</v>
      </c>
      <c r="D13" s="198" t="s">
        <v>9</v>
      </c>
      <c r="E13" s="199" t="s">
        <v>441</v>
      </c>
      <c r="F13" s="198" t="s">
        <v>9</v>
      </c>
      <c r="G13" s="932" t="s">
        <v>25</v>
      </c>
    </row>
    <row r="14" spans="1:9">
      <c r="A14" s="277"/>
      <c r="B14" s="279"/>
      <c r="C14" s="280"/>
      <c r="D14" s="187"/>
      <c r="E14" s="195"/>
      <c r="F14" s="187"/>
      <c r="G14" s="277"/>
    </row>
    <row r="15" spans="1:9">
      <c r="A15" s="192">
        <v>1</v>
      </c>
      <c r="B15" s="200" t="str">
        <f>"Dec-"&amp;RIGHT(Automation!$B$6-1,2)</f>
        <v>Dec-17</v>
      </c>
      <c r="C15" s="201">
        <v>6397449.2669799998</v>
      </c>
      <c r="D15" s="281" t="s">
        <v>442</v>
      </c>
      <c r="E15" s="203">
        <v>6494386.2876000004</v>
      </c>
      <c r="F15" s="281" t="s">
        <v>715</v>
      </c>
      <c r="G15" s="932">
        <f>A15</f>
        <v>1</v>
      </c>
      <c r="H15" s="210"/>
      <c r="I15" s="205"/>
    </row>
    <row r="16" spans="1:9">
      <c r="A16" s="192">
        <f>A15+1</f>
        <v>2</v>
      </c>
      <c r="B16" s="200"/>
      <c r="C16" s="206"/>
      <c r="D16" s="281"/>
      <c r="E16" s="208"/>
      <c r="F16" s="281"/>
      <c r="G16" s="932">
        <f>G15+1</f>
        <v>2</v>
      </c>
      <c r="H16" s="210"/>
    </row>
    <row r="17" spans="1:9" ht="15.6" customHeight="1">
      <c r="A17" s="192">
        <f t="shared" ref="A17:A21" si="0">A16+1</f>
        <v>3</v>
      </c>
      <c r="B17" s="200" t="str">
        <f>"Dec-"&amp;RIGHT(Automation!$B$6,2)</f>
        <v>Dec-18</v>
      </c>
      <c r="C17" s="282">
        <v>6832320.6945699994</v>
      </c>
      <c r="D17" s="281" t="s">
        <v>442</v>
      </c>
      <c r="E17" s="282">
        <v>6940409.5028999997</v>
      </c>
      <c r="F17" s="281" t="s">
        <v>713</v>
      </c>
      <c r="G17" s="932">
        <f t="shared" ref="G17:G21" si="1">G16+1</f>
        <v>3</v>
      </c>
      <c r="H17" s="210"/>
      <c r="I17" s="205"/>
    </row>
    <row r="18" spans="1:9">
      <c r="A18" s="192">
        <f t="shared" si="0"/>
        <v>4</v>
      </c>
      <c r="B18" s="283"/>
      <c r="C18" s="284"/>
      <c r="D18" s="285"/>
      <c r="E18" s="284"/>
      <c r="F18" s="285"/>
      <c r="G18" s="932">
        <f t="shared" si="1"/>
        <v>4</v>
      </c>
      <c r="H18" s="210"/>
    </row>
    <row r="19" spans="1:9">
      <c r="A19" s="192">
        <f>A18+1</f>
        <v>5</v>
      </c>
      <c r="B19" s="214"/>
      <c r="C19" s="248"/>
      <c r="D19" s="214"/>
      <c r="E19" s="248"/>
      <c r="F19" s="214"/>
      <c r="G19" s="932">
        <f>G18+1</f>
        <v>5</v>
      </c>
    </row>
    <row r="20" spans="1:9">
      <c r="A20" s="192">
        <f t="shared" si="0"/>
        <v>6</v>
      </c>
      <c r="B20" s="214" t="s">
        <v>27</v>
      </c>
      <c r="C20" s="219">
        <f>(C15+C17)/2</f>
        <v>6614884.9807749996</v>
      </c>
      <c r="D20" s="387" t="str">
        <f>"Average of Line "&amp;A15&amp;" and Line "&amp;A17</f>
        <v>Average of Line 1 and Line 3</v>
      </c>
      <c r="E20" s="219">
        <f>(E15+E17)/2</f>
        <v>6717397.8952500001</v>
      </c>
      <c r="F20" s="286" t="str">
        <f>"Average of Line "&amp;A15&amp;" and Line "&amp;A17</f>
        <v>Average of Line 1 and Line 3</v>
      </c>
      <c r="G20" s="932">
        <f t="shared" si="1"/>
        <v>6</v>
      </c>
    </row>
    <row r="21" spans="1:9">
      <c r="A21" s="192">
        <f t="shared" si="0"/>
        <v>7</v>
      </c>
      <c r="B21" s="221"/>
      <c r="C21" s="222"/>
      <c r="D21" s="287"/>
      <c r="E21" s="222"/>
      <c r="F21" s="288"/>
      <c r="G21" s="932">
        <f t="shared" si="1"/>
        <v>7</v>
      </c>
    </row>
    <row r="22" spans="1:9">
      <c r="B22" s="232"/>
      <c r="C22" s="232"/>
      <c r="D22" s="278"/>
      <c r="E22" s="232"/>
      <c r="F22" s="232"/>
    </row>
    <row r="23" spans="1:9">
      <c r="C23" s="232"/>
      <c r="D23" s="232"/>
      <c r="E23" s="289"/>
      <c r="F23" s="232"/>
    </row>
    <row r="24" spans="1:9" ht="18.75">
      <c r="A24" s="231">
        <v>1</v>
      </c>
      <c r="B24" s="232" t="s">
        <v>443</v>
      </c>
      <c r="C24" s="232"/>
      <c r="D24" s="232"/>
      <c r="E24" s="232"/>
      <c r="F24" s="232"/>
    </row>
    <row r="25" spans="1:9">
      <c r="B25" s="232" t="s">
        <v>444</v>
      </c>
      <c r="C25" s="232"/>
      <c r="D25" s="232"/>
      <c r="E25" s="232"/>
      <c r="F25" s="232"/>
    </row>
    <row r="26" spans="1:9">
      <c r="C26" s="232"/>
      <c r="D26" s="232"/>
      <c r="E26" s="232"/>
      <c r="F26" s="232"/>
    </row>
    <row r="27" spans="1:9">
      <c r="C27" s="232"/>
      <c r="D27" s="232"/>
      <c r="E27" s="232"/>
      <c r="F27" s="23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3" orientation="landscape" r:id="rId1"/>
  <headerFooter scaleWithDoc="0">
    <oddFooter>&amp;C&amp;"Times New Roman,Regular"&amp;10&amp;A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Z46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28515625" style="175" customWidth="1"/>
    <col min="3" max="3" width="18.5703125" style="181" customWidth="1"/>
    <col min="4" max="4" width="25.28515625" style="181" customWidth="1"/>
    <col min="5" max="5" width="18.5703125" style="175" customWidth="1"/>
    <col min="6" max="6" width="62.5703125" style="175" customWidth="1"/>
    <col min="7" max="7" width="5.140625" style="928" customWidth="1"/>
    <col min="8" max="8" width="24" style="175" customWidth="1"/>
    <col min="9" max="9" width="11" style="175" customWidth="1"/>
    <col min="10" max="10" width="9.8554687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11">
      <c r="B2" s="1635" t="s">
        <v>18</v>
      </c>
      <c r="C2" s="1635"/>
      <c r="D2" s="1635"/>
      <c r="E2" s="1635"/>
      <c r="F2" s="1635"/>
    </row>
    <row r="3" spans="1:11">
      <c r="B3" s="1635" t="s">
        <v>19</v>
      </c>
      <c r="C3" s="1635"/>
      <c r="D3" s="1635"/>
      <c r="E3" s="1635"/>
      <c r="F3" s="1635"/>
    </row>
    <row r="4" spans="1:11">
      <c r="B4" s="1635" t="s">
        <v>20</v>
      </c>
      <c r="C4" s="1635"/>
      <c r="D4" s="1635"/>
      <c r="E4" s="1635"/>
      <c r="F4" s="1635"/>
    </row>
    <row r="5" spans="1:11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11">
      <c r="B6" s="1640" t="s">
        <v>3</v>
      </c>
      <c r="C6" s="1640"/>
      <c r="D6" s="1640"/>
      <c r="E6" s="1640"/>
      <c r="F6" s="1640"/>
    </row>
    <row r="7" spans="1:11">
      <c r="B7" s="177"/>
      <c r="C7" s="178"/>
      <c r="D7" s="178"/>
      <c r="E7" s="177"/>
      <c r="F7" s="177"/>
    </row>
    <row r="8" spans="1:11">
      <c r="B8" s="1635" t="s">
        <v>58</v>
      </c>
      <c r="C8" s="1635"/>
      <c r="D8" s="1635"/>
      <c r="E8" s="1635"/>
      <c r="F8" s="1635"/>
    </row>
    <row r="10" spans="1:11">
      <c r="B10" s="184"/>
      <c r="C10" s="185" t="s">
        <v>31</v>
      </c>
      <c r="D10" s="256"/>
      <c r="E10" s="185"/>
      <c r="F10" s="256"/>
    </row>
    <row r="11" spans="1:11">
      <c r="B11" s="187"/>
      <c r="C11" s="195" t="s">
        <v>59</v>
      </c>
      <c r="D11" s="270"/>
      <c r="E11" s="195" t="s">
        <v>59</v>
      </c>
      <c r="F11" s="270"/>
      <c r="G11" s="932"/>
    </row>
    <row r="12" spans="1:11">
      <c r="A12" s="192" t="s">
        <v>4</v>
      </c>
      <c r="B12" s="194"/>
      <c r="C12" s="195" t="s">
        <v>57</v>
      </c>
      <c r="D12" s="189"/>
      <c r="E12" s="195" t="s">
        <v>57</v>
      </c>
      <c r="F12" s="270"/>
      <c r="G12" s="932" t="s">
        <v>4</v>
      </c>
    </row>
    <row r="13" spans="1:11" ht="18.75">
      <c r="A13" s="192" t="s">
        <v>25</v>
      </c>
      <c r="B13" s="196" t="s">
        <v>23</v>
      </c>
      <c r="C13" s="199" t="s">
        <v>35</v>
      </c>
      <c r="D13" s="198" t="s">
        <v>9</v>
      </c>
      <c r="E13" s="199" t="s">
        <v>441</v>
      </c>
      <c r="F13" s="920" t="s">
        <v>9</v>
      </c>
      <c r="G13" s="932" t="s">
        <v>25</v>
      </c>
    </row>
    <row r="14" spans="1:11">
      <c r="A14" s="192">
        <v>1</v>
      </c>
      <c r="B14" s="200" t="str">
        <f>"Dec-"&amp;RIGHT(Automation!$B$6-1,2)</f>
        <v>Dec-17</v>
      </c>
      <c r="C14" s="201">
        <v>5533771.9222300006</v>
      </c>
      <c r="D14" s="281" t="s">
        <v>442</v>
      </c>
      <c r="E14" s="203">
        <v>5463231.6904500006</v>
      </c>
      <c r="F14" s="281" t="s">
        <v>715</v>
      </c>
      <c r="G14" s="932">
        <f>A14</f>
        <v>1</v>
      </c>
      <c r="H14" s="205"/>
      <c r="K14" s="274"/>
    </row>
    <row r="15" spans="1:11">
      <c r="A15" s="192">
        <f>A14+1</f>
        <v>2</v>
      </c>
      <c r="B15" s="200" t="str">
        <f>"Jan-"&amp;RIGHT(Automation!$B$6,2)</f>
        <v>Jan-18</v>
      </c>
      <c r="C15" s="206">
        <v>5542345.9587899996</v>
      </c>
      <c r="D15" s="291"/>
      <c r="E15" s="208">
        <v>5471772.0877499999</v>
      </c>
      <c r="F15" s="291"/>
      <c r="G15" s="932">
        <f>G14+1</f>
        <v>2</v>
      </c>
      <c r="H15" s="274"/>
      <c r="K15" s="274"/>
    </row>
    <row r="16" spans="1:11">
      <c r="A16" s="192">
        <f t="shared" ref="A16:A36" si="0">A15+1</f>
        <v>3</v>
      </c>
      <c r="B16" s="200" t="s">
        <v>36</v>
      </c>
      <c r="C16" s="206">
        <v>5547379.3992600003</v>
      </c>
      <c r="D16" s="291"/>
      <c r="E16" s="208">
        <v>5474525.1965300003</v>
      </c>
      <c r="F16" s="291"/>
      <c r="G16" s="932">
        <f t="shared" ref="G16:G36" si="1">G15+1</f>
        <v>3</v>
      </c>
      <c r="H16" s="274"/>
      <c r="K16" s="274"/>
    </row>
    <row r="17" spans="1:26">
      <c r="A17" s="192">
        <f t="shared" si="0"/>
        <v>4</v>
      </c>
      <c r="B17" s="200" t="s">
        <v>37</v>
      </c>
      <c r="C17" s="206">
        <v>5566681.7892399998</v>
      </c>
      <c r="D17" s="291"/>
      <c r="E17" s="208">
        <v>5493827.5654699998</v>
      </c>
      <c r="F17" s="291"/>
      <c r="G17" s="932">
        <f t="shared" si="1"/>
        <v>4</v>
      </c>
      <c r="H17" s="274"/>
      <c r="K17" s="274"/>
    </row>
    <row r="18" spans="1:26">
      <c r="A18" s="192">
        <f t="shared" si="0"/>
        <v>5</v>
      </c>
      <c r="B18" s="200" t="s">
        <v>38</v>
      </c>
      <c r="C18" s="206">
        <v>5576532.24144</v>
      </c>
      <c r="D18" s="291"/>
      <c r="E18" s="208">
        <v>5497817.5142700002</v>
      </c>
      <c r="F18" s="291"/>
      <c r="G18" s="932">
        <f t="shared" si="1"/>
        <v>5</v>
      </c>
      <c r="H18" s="274"/>
      <c r="K18" s="274"/>
    </row>
    <row r="19" spans="1:26">
      <c r="A19" s="192">
        <f t="shared" si="0"/>
        <v>6</v>
      </c>
      <c r="B19" s="200" t="s">
        <v>39</v>
      </c>
      <c r="C19" s="206">
        <v>5624739.7207899997</v>
      </c>
      <c r="D19" s="291"/>
      <c r="E19" s="208">
        <v>5543910.0086199995</v>
      </c>
      <c r="F19" s="291"/>
      <c r="G19" s="932">
        <f t="shared" si="1"/>
        <v>6</v>
      </c>
      <c r="H19" s="274"/>
      <c r="K19" s="274"/>
    </row>
    <row r="20" spans="1:26">
      <c r="A20" s="192">
        <f>A19+1</f>
        <v>7</v>
      </c>
      <c r="B20" s="200" t="s">
        <v>40</v>
      </c>
      <c r="C20" s="206">
        <v>5635125.4808999998</v>
      </c>
      <c r="D20" s="291"/>
      <c r="E20" s="208">
        <v>5554296.5903899996</v>
      </c>
      <c r="F20" s="291"/>
      <c r="G20" s="932">
        <f>G19+1</f>
        <v>7</v>
      </c>
      <c r="H20" s="274"/>
      <c r="K20" s="274"/>
    </row>
    <row r="21" spans="1:26">
      <c r="A21" s="192">
        <f t="shared" si="0"/>
        <v>8</v>
      </c>
      <c r="B21" s="200" t="s">
        <v>41</v>
      </c>
      <c r="C21" s="206">
        <v>5651272.8235400002</v>
      </c>
      <c r="D21" s="291"/>
      <c r="E21" s="208">
        <v>5570443.8878199998</v>
      </c>
      <c r="F21" s="291"/>
      <c r="G21" s="932">
        <f t="shared" si="1"/>
        <v>8</v>
      </c>
      <c r="H21" s="274"/>
      <c r="K21" s="274"/>
    </row>
    <row r="22" spans="1:26">
      <c r="A22" s="192">
        <f t="shared" si="0"/>
        <v>9</v>
      </c>
      <c r="B22" s="200" t="s">
        <v>42</v>
      </c>
      <c r="C22" s="206">
        <v>5901113.1565899998</v>
      </c>
      <c r="D22" s="291"/>
      <c r="E22" s="208">
        <v>5820311.1331799999</v>
      </c>
      <c r="F22" s="291"/>
      <c r="G22" s="932">
        <f t="shared" si="1"/>
        <v>9</v>
      </c>
      <c r="H22" s="274"/>
      <c r="K22" s="274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06">
        <v>5938153.9115600009</v>
      </c>
      <c r="D23" s="291"/>
      <c r="E23" s="208">
        <v>5857446.0809500013</v>
      </c>
      <c r="F23" s="291"/>
      <c r="G23" s="932">
        <f t="shared" si="1"/>
        <v>10</v>
      </c>
      <c r="H23" s="274"/>
      <c r="K23" s="274"/>
    </row>
    <row r="24" spans="1:26">
      <c r="A24" s="192">
        <f t="shared" si="0"/>
        <v>11</v>
      </c>
      <c r="B24" s="200" t="s">
        <v>44</v>
      </c>
      <c r="C24" s="206">
        <v>6080682.1568200001</v>
      </c>
      <c r="D24" s="291"/>
      <c r="E24" s="208">
        <v>5999974.2764600003</v>
      </c>
      <c r="F24" s="291"/>
      <c r="G24" s="932">
        <f t="shared" si="1"/>
        <v>11</v>
      </c>
      <c r="H24" s="274"/>
      <c r="K24" s="274"/>
    </row>
    <row r="25" spans="1:26">
      <c r="A25" s="192">
        <f t="shared" si="0"/>
        <v>12</v>
      </c>
      <c r="B25" s="200" t="s">
        <v>45</v>
      </c>
      <c r="C25" s="206">
        <v>6100901.6427100003</v>
      </c>
      <c r="D25" s="291"/>
      <c r="E25" s="208">
        <v>6020202.77061</v>
      </c>
      <c r="F25" s="291"/>
      <c r="G25" s="932">
        <f t="shared" si="1"/>
        <v>12</v>
      </c>
      <c r="H25" s="274"/>
      <c r="K25" s="274"/>
    </row>
    <row r="26" spans="1:26">
      <c r="A26" s="192">
        <f t="shared" si="0"/>
        <v>13</v>
      </c>
      <c r="B26" s="212" t="str">
        <f>"Dec-"&amp;RIGHT(Automation!$B$6,2)</f>
        <v>Dec-18</v>
      </c>
      <c r="C26" s="276">
        <v>6132005.6036999999</v>
      </c>
      <c r="D26" s="292" t="s">
        <v>442</v>
      </c>
      <c r="E26" s="302">
        <v>6051311.84779</v>
      </c>
      <c r="F26" s="281" t="s">
        <v>713</v>
      </c>
      <c r="G26" s="932">
        <f t="shared" si="1"/>
        <v>13</v>
      </c>
      <c r="H26" s="205"/>
      <c r="K26" s="274"/>
    </row>
    <row r="27" spans="1:26">
      <c r="A27" s="192">
        <f t="shared" si="0"/>
        <v>14</v>
      </c>
      <c r="B27" s="214"/>
      <c r="C27" s="247"/>
      <c r="D27" s="293"/>
      <c r="E27" s="248"/>
      <c r="F27" s="396"/>
      <c r="G27" s="932">
        <f t="shared" si="1"/>
        <v>14</v>
      </c>
    </row>
    <row r="28" spans="1:26">
      <c r="A28" s="192">
        <f t="shared" si="0"/>
        <v>15</v>
      </c>
      <c r="B28" s="214" t="s">
        <v>46</v>
      </c>
      <c r="C28" s="219">
        <f>SUM(C14:C26)</f>
        <v>74830705.807569996</v>
      </c>
      <c r="D28" s="391" t="str">
        <f>"Sum Lines "&amp;A14&amp;" thru "&amp;A26</f>
        <v>Sum Lines 1 thru 13</v>
      </c>
      <c r="E28" s="219">
        <f>SUM(E14:E26)</f>
        <v>73819070.650289997</v>
      </c>
      <c r="F28" s="391" t="str">
        <f>"Sum Lines "&amp;A14&amp;" thru "&amp;A26</f>
        <v>Sum Lines 1 thru 13</v>
      </c>
      <c r="G28" s="932">
        <f t="shared" si="1"/>
        <v>15</v>
      </c>
    </row>
    <row r="29" spans="1:26">
      <c r="A29" s="192">
        <f t="shared" si="0"/>
        <v>16</v>
      </c>
      <c r="B29" s="221"/>
      <c r="C29" s="222"/>
      <c r="D29" s="295"/>
      <c r="E29" s="222"/>
      <c r="F29" s="295"/>
      <c r="G29" s="932">
        <f t="shared" si="1"/>
        <v>16</v>
      </c>
    </row>
    <row r="30" spans="1:26">
      <c r="A30" s="192">
        <f t="shared" si="0"/>
        <v>17</v>
      </c>
      <c r="B30" s="214"/>
      <c r="C30" s="248"/>
      <c r="D30" s="294"/>
      <c r="E30" s="248"/>
      <c r="F30" s="294"/>
      <c r="G30" s="932">
        <f t="shared" si="1"/>
        <v>17</v>
      </c>
    </row>
    <row r="31" spans="1:26">
      <c r="A31" s="192">
        <f t="shared" si="0"/>
        <v>18</v>
      </c>
      <c r="B31" s="214" t="s">
        <v>47</v>
      </c>
      <c r="C31" s="219">
        <f>C28/13</f>
        <v>5756208.1390438462</v>
      </c>
      <c r="D31" s="391" t="str">
        <f>"Average of Lines "&amp;A14&amp;" thru "&amp;A26</f>
        <v>Average of Lines 1 thru 13</v>
      </c>
      <c r="E31" s="219">
        <f>E28/13</f>
        <v>5678390.0500223078</v>
      </c>
      <c r="F31" s="281" t="s">
        <v>714</v>
      </c>
      <c r="G31" s="932">
        <f t="shared" si="1"/>
        <v>18</v>
      </c>
      <c r="H31" s="205"/>
    </row>
    <row r="32" spans="1:26">
      <c r="A32" s="192">
        <f t="shared" si="0"/>
        <v>19</v>
      </c>
      <c r="B32" s="221"/>
      <c r="C32" s="227"/>
      <c r="D32" s="297"/>
      <c r="E32" s="227"/>
      <c r="F32" s="297"/>
      <c r="G32" s="932">
        <f t="shared" si="1"/>
        <v>19</v>
      </c>
    </row>
    <row r="33" spans="1:8">
      <c r="A33" s="192">
        <f t="shared" si="0"/>
        <v>20</v>
      </c>
      <c r="B33" s="232"/>
      <c r="C33" s="232"/>
      <c r="D33" s="278"/>
      <c r="E33" s="232"/>
      <c r="F33" s="232"/>
      <c r="G33" s="932">
        <f t="shared" si="1"/>
        <v>20</v>
      </c>
    </row>
    <row r="34" spans="1:8" ht="18.75">
      <c r="A34" s="192">
        <f t="shared" si="0"/>
        <v>21</v>
      </c>
      <c r="B34" s="1356" t="s">
        <v>930</v>
      </c>
      <c r="C34" s="232"/>
      <c r="D34" s="278"/>
      <c r="E34" s="1120">
        <v>0</v>
      </c>
      <c r="F34" s="303" t="s">
        <v>291</v>
      </c>
      <c r="G34" s="932">
        <f t="shared" si="1"/>
        <v>21</v>
      </c>
    </row>
    <row r="35" spans="1:8">
      <c r="A35" s="192">
        <f t="shared" si="0"/>
        <v>22</v>
      </c>
      <c r="B35" s="232"/>
      <c r="C35" s="232"/>
      <c r="D35" s="278"/>
      <c r="E35" s="232"/>
      <c r="F35" s="232"/>
      <c r="G35" s="932">
        <f t="shared" si="1"/>
        <v>22</v>
      </c>
    </row>
    <row r="36" spans="1:8" ht="16.5" thickBot="1">
      <c r="A36" s="192">
        <f t="shared" si="0"/>
        <v>23</v>
      </c>
      <c r="B36" s="175" t="s">
        <v>282</v>
      </c>
      <c r="C36" s="232"/>
      <c r="D36" s="278"/>
      <c r="E36" s="553">
        <f>E31+E34</f>
        <v>5678390.0500223078</v>
      </c>
      <c r="F36" s="192" t="str">
        <f>"Line "&amp;A31&amp;" + Line "&amp;A34</f>
        <v>Line 18 + Line 21</v>
      </c>
      <c r="G36" s="932">
        <f t="shared" si="1"/>
        <v>23</v>
      </c>
    </row>
    <row r="37" spans="1:8" ht="16.5" thickTop="1">
      <c r="A37" s="192"/>
      <c r="B37" s="232"/>
      <c r="C37" s="232"/>
      <c r="D37" s="278"/>
      <c r="E37" s="232"/>
      <c r="F37" s="232"/>
    </row>
    <row r="38" spans="1:8">
      <c r="D38" s="232"/>
      <c r="E38" s="289"/>
      <c r="F38" s="232"/>
    </row>
    <row r="39" spans="1:8" ht="18.75">
      <c r="A39" s="231">
        <v>1</v>
      </c>
      <c r="B39" s="232" t="s">
        <v>443</v>
      </c>
      <c r="C39" s="232"/>
      <c r="D39" s="232"/>
      <c r="E39" s="232"/>
      <c r="F39" s="232"/>
    </row>
    <row r="40" spans="1:8">
      <c r="B40" s="232" t="s">
        <v>444</v>
      </c>
      <c r="C40" s="298"/>
      <c r="D40" s="232"/>
      <c r="E40" s="232"/>
      <c r="F40" s="232"/>
    </row>
    <row r="41" spans="1:8" ht="18.75">
      <c r="A41" s="231">
        <v>2</v>
      </c>
      <c r="B41" s="1356" t="s">
        <v>851</v>
      </c>
      <c r="C41" s="232"/>
      <c r="D41" s="232"/>
      <c r="E41" s="232"/>
      <c r="F41" s="232"/>
      <c r="H41" s="210"/>
    </row>
    <row r="42" spans="1:8">
      <c r="B42" s="1356" t="s">
        <v>875</v>
      </c>
      <c r="C42" s="232"/>
      <c r="D42" s="232"/>
      <c r="E42" s="232"/>
      <c r="F42" s="232"/>
      <c r="H42" s="210"/>
    </row>
    <row r="43" spans="1:8">
      <c r="A43" s="290"/>
      <c r="B43" s="595"/>
      <c r="C43" s="232"/>
      <c r="D43" s="175"/>
      <c r="H43" s="210"/>
    </row>
    <row r="44" spans="1:8">
      <c r="B44" s="358"/>
      <c r="H44" s="210"/>
    </row>
    <row r="45" spans="1:8">
      <c r="B45" s="595"/>
    </row>
    <row r="46" spans="1:8">
      <c r="A46" s="29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/>
  </sheetViews>
  <sheetFormatPr defaultColWidth="9.140625" defaultRowHeight="15.75"/>
  <cols>
    <col min="1" max="1" width="5.140625" style="932" customWidth="1"/>
    <col min="2" max="2" width="11.140625" style="192" customWidth="1"/>
    <col min="3" max="3" width="32.42578125" style="232" customWidth="1"/>
    <col min="4" max="10" width="18.5703125" style="343" customWidth="1"/>
    <col min="11" max="11" width="18.5703125" style="232" customWidth="1"/>
    <col min="12" max="12" width="24" style="232" customWidth="1"/>
    <col min="13" max="13" width="5.140625" style="932" customWidth="1"/>
    <col min="14" max="14" width="11.85546875" style="232" bestFit="1" customWidth="1"/>
    <col min="15" max="15" width="13.140625" style="232" customWidth="1"/>
    <col min="16" max="16384" width="9.140625" style="232"/>
  </cols>
  <sheetData>
    <row r="1" spans="1:13">
      <c r="C1" s="192"/>
    </row>
    <row r="2" spans="1:13" s="175" customFormat="1">
      <c r="A2" s="928"/>
      <c r="B2" s="1635" t="s">
        <v>18</v>
      </c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928"/>
    </row>
    <row r="3" spans="1:13" s="175" customFormat="1">
      <c r="A3" s="928"/>
      <c r="B3" s="1635" t="s">
        <v>60</v>
      </c>
      <c r="C3" s="1635"/>
      <c r="D3" s="1635"/>
      <c r="E3" s="1635"/>
      <c r="F3" s="1635"/>
      <c r="G3" s="1635"/>
      <c r="H3" s="1635"/>
      <c r="I3" s="1635"/>
      <c r="J3" s="1635"/>
      <c r="K3" s="1635"/>
      <c r="L3" s="1635"/>
      <c r="M3" s="928"/>
    </row>
    <row r="4" spans="1:13">
      <c r="B4" s="1635" t="s">
        <v>61</v>
      </c>
      <c r="C4" s="1635"/>
      <c r="D4" s="1635"/>
      <c r="E4" s="1635"/>
      <c r="F4" s="1635"/>
      <c r="G4" s="1635"/>
      <c r="H4" s="1635"/>
      <c r="I4" s="1635"/>
      <c r="J4" s="1635"/>
      <c r="K4" s="1635"/>
      <c r="L4" s="1635"/>
    </row>
    <row r="5" spans="1:13">
      <c r="B5" s="1640" t="str">
        <f>"BALANCES AS OF 12/31/"&amp;Automation!$B$6-1</f>
        <v>BALANCES AS OF 12/31/2017</v>
      </c>
      <c r="C5" s="1640"/>
      <c r="D5" s="1640"/>
      <c r="E5" s="1640"/>
      <c r="F5" s="1640"/>
      <c r="G5" s="1640"/>
      <c r="H5" s="1640"/>
      <c r="I5" s="1640"/>
      <c r="J5" s="1640"/>
      <c r="K5" s="1640"/>
      <c r="L5" s="1640"/>
    </row>
    <row r="6" spans="1:13">
      <c r="B6" s="1640" t="s">
        <v>3</v>
      </c>
      <c r="C6" s="1635"/>
      <c r="D6" s="1635"/>
      <c r="E6" s="1635"/>
      <c r="F6" s="1635"/>
      <c r="G6" s="1635"/>
      <c r="H6" s="1635"/>
      <c r="I6" s="1635"/>
      <c r="J6" s="1635"/>
      <c r="K6" s="1635"/>
      <c r="L6" s="1635"/>
    </row>
    <row r="7" spans="1:13">
      <c r="C7" s="177"/>
      <c r="D7" s="178"/>
      <c r="E7" s="304"/>
      <c r="F7" s="304"/>
      <c r="G7" s="304"/>
      <c r="H7" s="304"/>
      <c r="I7" s="304"/>
      <c r="J7" s="304"/>
    </row>
    <row r="8" spans="1:13" s="174" customFormat="1">
      <c r="A8" s="928"/>
      <c r="B8" s="256"/>
      <c r="C8" s="305"/>
      <c r="D8" s="306" t="s">
        <v>29</v>
      </c>
      <c r="E8" s="307" t="s">
        <v>30</v>
      </c>
      <c r="F8" s="307" t="s">
        <v>62</v>
      </c>
      <c r="G8" s="307" t="s">
        <v>63</v>
      </c>
      <c r="H8" s="307" t="s">
        <v>64</v>
      </c>
      <c r="I8" s="307" t="s">
        <v>65</v>
      </c>
      <c r="J8" s="307" t="s">
        <v>66</v>
      </c>
      <c r="K8" s="307" t="s">
        <v>67</v>
      </c>
      <c r="L8" s="256"/>
      <c r="M8" s="928" t="s">
        <v>10</v>
      </c>
    </row>
    <row r="9" spans="1:13">
      <c r="B9" s="308"/>
      <c r="C9" s="309"/>
      <c r="D9" s="310"/>
      <c r="E9" s="311"/>
      <c r="F9" s="311"/>
      <c r="G9" s="311"/>
      <c r="H9" s="311"/>
      <c r="I9" s="311"/>
      <c r="J9" s="311"/>
      <c r="K9" s="312" t="s">
        <v>31</v>
      </c>
      <c r="L9" s="308"/>
      <c r="M9" s="932" t="s">
        <v>10</v>
      </c>
    </row>
    <row r="10" spans="1:13">
      <c r="B10" s="313"/>
      <c r="C10" s="314"/>
      <c r="D10" s="310"/>
      <c r="E10" s="311" t="s">
        <v>68</v>
      </c>
      <c r="F10" s="311" t="s">
        <v>56</v>
      </c>
      <c r="G10" s="311" t="s">
        <v>59</v>
      </c>
      <c r="H10" s="311" t="s">
        <v>59</v>
      </c>
      <c r="I10" s="311" t="s">
        <v>59</v>
      </c>
      <c r="J10" s="311" t="s">
        <v>59</v>
      </c>
      <c r="K10" s="311" t="s">
        <v>59</v>
      </c>
      <c r="L10" s="286"/>
      <c r="M10" s="932" t="s">
        <v>10</v>
      </c>
    </row>
    <row r="11" spans="1:13">
      <c r="B11" s="315"/>
      <c r="C11" s="214"/>
      <c r="D11" s="316" t="s">
        <v>31</v>
      </c>
      <c r="E11" s="311" t="s">
        <v>69</v>
      </c>
      <c r="F11" s="311" t="s">
        <v>69</v>
      </c>
      <c r="G11" s="311" t="s">
        <v>69</v>
      </c>
      <c r="H11" s="311" t="s">
        <v>69</v>
      </c>
      <c r="I11" s="311" t="s">
        <v>69</v>
      </c>
      <c r="J11" s="311" t="s">
        <v>69</v>
      </c>
      <c r="K11" s="311" t="s">
        <v>57</v>
      </c>
      <c r="L11" s="187"/>
    </row>
    <row r="12" spans="1:13">
      <c r="A12" s="932" t="s">
        <v>4</v>
      </c>
      <c r="B12" s="315"/>
      <c r="C12" s="187"/>
      <c r="D12" s="316" t="s">
        <v>59</v>
      </c>
      <c r="E12" s="311" t="s">
        <v>70</v>
      </c>
      <c r="F12" s="317" t="s">
        <v>70</v>
      </c>
      <c r="G12" s="311" t="s">
        <v>70</v>
      </c>
      <c r="H12" s="311" t="s">
        <v>70</v>
      </c>
      <c r="I12" s="311" t="s">
        <v>70</v>
      </c>
      <c r="J12" s="311" t="s">
        <v>70</v>
      </c>
      <c r="K12" s="311" t="s">
        <v>50</v>
      </c>
      <c r="L12" s="187"/>
      <c r="M12" s="932" t="s">
        <v>4</v>
      </c>
    </row>
    <row r="13" spans="1:13">
      <c r="A13" s="932" t="s">
        <v>25</v>
      </c>
      <c r="B13" s="196" t="s">
        <v>71</v>
      </c>
      <c r="C13" s="196" t="s">
        <v>72</v>
      </c>
      <c r="D13" s="318" t="s">
        <v>69</v>
      </c>
      <c r="E13" s="319" t="s">
        <v>73</v>
      </c>
      <c r="F13" s="319" t="s">
        <v>74</v>
      </c>
      <c r="G13" s="319" t="s">
        <v>75</v>
      </c>
      <c r="H13" s="319" t="s">
        <v>76</v>
      </c>
      <c r="I13" s="319" t="s">
        <v>49</v>
      </c>
      <c r="J13" s="320" t="s">
        <v>77</v>
      </c>
      <c r="K13" s="196" t="s">
        <v>78</v>
      </c>
      <c r="L13" s="196" t="s">
        <v>9</v>
      </c>
      <c r="M13" s="932" t="s">
        <v>25</v>
      </c>
    </row>
    <row r="14" spans="1:13">
      <c r="B14" s="286"/>
      <c r="C14" s="314" t="s">
        <v>79</v>
      </c>
      <c r="D14" s="321"/>
      <c r="E14" s="314"/>
      <c r="F14" s="314"/>
      <c r="G14" s="314"/>
      <c r="H14" s="314"/>
      <c r="I14" s="314"/>
      <c r="J14" s="314"/>
      <c r="K14" s="322"/>
      <c r="L14" s="286"/>
    </row>
    <row r="15" spans="1:13">
      <c r="A15" s="932">
        <v>1</v>
      </c>
      <c r="B15" s="354">
        <v>303</v>
      </c>
      <c r="C15" s="95" t="s">
        <v>80</v>
      </c>
      <c r="D15" s="325">
        <v>0</v>
      </c>
      <c r="E15" s="325">
        <v>0</v>
      </c>
      <c r="F15" s="326">
        <v>0</v>
      </c>
      <c r="G15" s="326">
        <v>0</v>
      </c>
      <c r="H15" s="326">
        <v>0</v>
      </c>
      <c r="I15" s="326">
        <v>0</v>
      </c>
      <c r="J15" s="326">
        <v>0</v>
      </c>
      <c r="K15" s="244">
        <f>SUM(D15:J15)</f>
        <v>0</v>
      </c>
      <c r="L15" s="286" t="s">
        <v>442</v>
      </c>
      <c r="M15" s="932">
        <f>A15</f>
        <v>1</v>
      </c>
    </row>
    <row r="16" spans="1:13">
      <c r="A16" s="932">
        <f>A15+1</f>
        <v>2</v>
      </c>
      <c r="B16" s="355">
        <v>310.10000000000002</v>
      </c>
      <c r="C16" s="95" t="s">
        <v>81</v>
      </c>
      <c r="D16" s="327">
        <v>0</v>
      </c>
      <c r="E16" s="327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245">
        <f>SUM(D16:J16)</f>
        <v>0</v>
      </c>
      <c r="L16" s="286" t="s">
        <v>442</v>
      </c>
      <c r="M16" s="932">
        <f>M15+1</f>
        <v>2</v>
      </c>
    </row>
    <row r="17" spans="1:13">
      <c r="A17" s="932">
        <f t="shared" ref="A17:A35" si="0">A16+1</f>
        <v>3</v>
      </c>
      <c r="B17" s="354">
        <v>340</v>
      </c>
      <c r="C17" s="356" t="s">
        <v>82</v>
      </c>
      <c r="D17" s="327">
        <v>0</v>
      </c>
      <c r="E17" s="327">
        <v>4.56576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9">
        <f>SUM(D17:J17)</f>
        <v>4.56576</v>
      </c>
      <c r="L17" s="286" t="s">
        <v>442</v>
      </c>
      <c r="M17" s="932">
        <f t="shared" ref="M17:M35" si="1">M16+1</f>
        <v>3</v>
      </c>
    </row>
    <row r="18" spans="1:13">
      <c r="A18" s="932">
        <f t="shared" si="0"/>
        <v>4</v>
      </c>
      <c r="B18" s="354">
        <v>360</v>
      </c>
      <c r="C18" s="356" t="s">
        <v>82</v>
      </c>
      <c r="D18" s="327">
        <v>0</v>
      </c>
      <c r="E18" s="327">
        <v>0</v>
      </c>
      <c r="F18" s="328">
        <v>3634.0221999999999</v>
      </c>
      <c r="G18" s="328">
        <v>0</v>
      </c>
      <c r="H18" s="328">
        <v>0</v>
      </c>
      <c r="I18" s="328">
        <v>0</v>
      </c>
      <c r="J18" s="328">
        <v>0</v>
      </c>
      <c r="K18" s="329">
        <f>SUM(D18:J18)</f>
        <v>3634.0221999999999</v>
      </c>
      <c r="L18" s="286" t="s">
        <v>442</v>
      </c>
      <c r="M18" s="932">
        <f t="shared" si="1"/>
        <v>4</v>
      </c>
    </row>
    <row r="19" spans="1:13">
      <c r="A19" s="932">
        <f t="shared" si="0"/>
        <v>5</v>
      </c>
      <c r="B19" s="354">
        <v>361</v>
      </c>
      <c r="C19" s="95" t="s">
        <v>83</v>
      </c>
      <c r="D19" s="327">
        <v>0</v>
      </c>
      <c r="E19" s="327">
        <v>0</v>
      </c>
      <c r="F19" s="328">
        <v>1045.8194799999999</v>
      </c>
      <c r="G19" s="328">
        <v>0</v>
      </c>
      <c r="H19" s="328">
        <v>0</v>
      </c>
      <c r="I19" s="328">
        <v>0</v>
      </c>
      <c r="J19" s="328">
        <v>0</v>
      </c>
      <c r="K19" s="329">
        <f>SUM(D19:J19)</f>
        <v>1045.8194799999999</v>
      </c>
      <c r="L19" s="286" t="s">
        <v>442</v>
      </c>
      <c r="M19" s="932">
        <f t="shared" si="1"/>
        <v>5</v>
      </c>
    </row>
    <row r="20" spans="1:13">
      <c r="A20" s="932">
        <f t="shared" si="0"/>
        <v>6</v>
      </c>
      <c r="B20" s="286"/>
      <c r="C20" s="314"/>
      <c r="D20" s="321"/>
      <c r="E20" s="314"/>
      <c r="F20" s="314"/>
      <c r="G20" s="314"/>
      <c r="H20" s="314"/>
      <c r="I20" s="314"/>
      <c r="J20" s="314"/>
      <c r="K20" s="322"/>
      <c r="L20" s="286"/>
      <c r="M20" s="932">
        <f t="shared" si="1"/>
        <v>6</v>
      </c>
    </row>
    <row r="21" spans="1:13" s="175" customFormat="1">
      <c r="A21" s="932">
        <f t="shared" si="0"/>
        <v>7</v>
      </c>
      <c r="B21" s="330" t="s">
        <v>84</v>
      </c>
      <c r="C21" s="331" t="s">
        <v>85</v>
      </c>
      <c r="D21" s="332">
        <f>SUM(D15:D20)</f>
        <v>0</v>
      </c>
      <c r="E21" s="332">
        <f t="shared" ref="E21:I21" si="2">SUM(E15:E20)</f>
        <v>4.56576</v>
      </c>
      <c r="F21" s="332">
        <f t="shared" si="2"/>
        <v>4679.8416799999995</v>
      </c>
      <c r="G21" s="332">
        <f t="shared" si="2"/>
        <v>0</v>
      </c>
      <c r="H21" s="332">
        <f t="shared" si="2"/>
        <v>0</v>
      </c>
      <c r="I21" s="332">
        <f t="shared" si="2"/>
        <v>0</v>
      </c>
      <c r="J21" s="332">
        <f>SUM(J15:J20)</f>
        <v>0</v>
      </c>
      <c r="K21" s="333">
        <f>SUM(K15:K20)</f>
        <v>4684.40744</v>
      </c>
      <c r="L21" s="334" t="str">
        <f>"Sum Lines "&amp;A15&amp;" thru "&amp;A19</f>
        <v>Sum Lines 1 thru 5</v>
      </c>
      <c r="M21" s="932">
        <f t="shared" si="1"/>
        <v>7</v>
      </c>
    </row>
    <row r="22" spans="1:13">
      <c r="A22" s="932">
        <f t="shared" si="0"/>
        <v>8</v>
      </c>
      <c r="B22" s="286"/>
      <c r="C22" s="314"/>
      <c r="D22" s="335"/>
      <c r="E22" s="336"/>
      <c r="F22" s="336"/>
      <c r="G22" s="336"/>
      <c r="H22" s="336"/>
      <c r="I22" s="336"/>
      <c r="J22" s="336"/>
      <c r="K22" s="322"/>
      <c r="L22" s="286"/>
      <c r="M22" s="932">
        <f t="shared" si="1"/>
        <v>8</v>
      </c>
    </row>
    <row r="23" spans="1:13">
      <c r="A23" s="932">
        <f t="shared" si="0"/>
        <v>9</v>
      </c>
      <c r="B23" s="354">
        <v>350</v>
      </c>
      <c r="C23" s="95" t="s">
        <v>82</v>
      </c>
      <c r="D23" s="338">
        <v>234232.02126000001</v>
      </c>
      <c r="E23" s="325">
        <v>0</v>
      </c>
      <c r="F23" s="326">
        <v>0</v>
      </c>
      <c r="G23" s="325">
        <v>0</v>
      </c>
      <c r="H23" s="325">
        <v>0</v>
      </c>
      <c r="I23" s="325">
        <v>0</v>
      </c>
      <c r="J23" s="325">
        <v>-9734.1481999999978</v>
      </c>
      <c r="K23" s="339">
        <f t="shared" ref="K23:K31" si="3">SUM(D23:J23)</f>
        <v>224497.87306000001</v>
      </c>
      <c r="L23" s="286" t="s">
        <v>442</v>
      </c>
      <c r="M23" s="932">
        <f t="shared" si="1"/>
        <v>9</v>
      </c>
    </row>
    <row r="24" spans="1:13">
      <c r="A24" s="932">
        <f t="shared" si="0"/>
        <v>10</v>
      </c>
      <c r="B24" s="354">
        <v>352</v>
      </c>
      <c r="C24" s="95" t="s">
        <v>83</v>
      </c>
      <c r="D24" s="340">
        <v>516614.00844000001</v>
      </c>
      <c r="E24" s="328">
        <v>0</v>
      </c>
      <c r="F24" s="328">
        <v>0</v>
      </c>
      <c r="G24" s="335">
        <v>-1928.27782</v>
      </c>
      <c r="H24" s="328">
        <v>0</v>
      </c>
      <c r="I24" s="328">
        <v>0</v>
      </c>
      <c r="J24" s="336">
        <v>-46369.940320000002</v>
      </c>
      <c r="K24" s="341">
        <f t="shared" si="3"/>
        <v>468315.79029999999</v>
      </c>
      <c r="L24" s="286" t="s">
        <v>442</v>
      </c>
      <c r="M24" s="932">
        <f t="shared" si="1"/>
        <v>10</v>
      </c>
    </row>
    <row r="25" spans="1:13">
      <c r="A25" s="932">
        <f t="shared" si="0"/>
        <v>11</v>
      </c>
      <c r="B25" s="354">
        <v>353</v>
      </c>
      <c r="C25" s="95" t="s">
        <v>86</v>
      </c>
      <c r="D25" s="340">
        <v>1658340.2525599999</v>
      </c>
      <c r="E25" s="328">
        <v>0</v>
      </c>
      <c r="F25" s="328">
        <v>0</v>
      </c>
      <c r="G25" s="335">
        <v>-11524.087230000001</v>
      </c>
      <c r="H25" s="328">
        <v>-1420.3928799999999</v>
      </c>
      <c r="I25" s="328">
        <v>0</v>
      </c>
      <c r="J25" s="336">
        <v>-2521.4127999999996</v>
      </c>
      <c r="K25" s="341">
        <f t="shared" si="3"/>
        <v>1642874.35965</v>
      </c>
      <c r="L25" s="286" t="s">
        <v>442</v>
      </c>
      <c r="M25" s="932">
        <f t="shared" si="1"/>
        <v>11</v>
      </c>
    </row>
    <row r="26" spans="1:13">
      <c r="A26" s="932">
        <f t="shared" si="0"/>
        <v>12</v>
      </c>
      <c r="B26" s="354">
        <v>354</v>
      </c>
      <c r="C26" s="95" t="s">
        <v>87</v>
      </c>
      <c r="D26" s="340">
        <v>897312.29724999995</v>
      </c>
      <c r="E26" s="328">
        <v>0</v>
      </c>
      <c r="F26" s="328">
        <v>0</v>
      </c>
      <c r="G26" s="335">
        <v>0</v>
      </c>
      <c r="H26" s="328">
        <v>0</v>
      </c>
      <c r="I26" s="328">
        <v>0</v>
      </c>
      <c r="J26" s="336">
        <v>0</v>
      </c>
      <c r="K26" s="341">
        <f t="shared" si="3"/>
        <v>897312.29724999995</v>
      </c>
      <c r="L26" s="286" t="s">
        <v>442</v>
      </c>
      <c r="M26" s="932">
        <f t="shared" si="1"/>
        <v>12</v>
      </c>
    </row>
    <row r="27" spans="1:13">
      <c r="A27" s="932">
        <f t="shared" si="0"/>
        <v>13</v>
      </c>
      <c r="B27" s="354">
        <v>355</v>
      </c>
      <c r="C27" s="95" t="s">
        <v>88</v>
      </c>
      <c r="D27" s="340">
        <v>540158.96178999997</v>
      </c>
      <c r="E27" s="328">
        <v>0</v>
      </c>
      <c r="F27" s="328">
        <v>0</v>
      </c>
      <c r="G27" s="335">
        <v>0</v>
      </c>
      <c r="H27" s="328">
        <v>0</v>
      </c>
      <c r="I27" s="328">
        <v>0</v>
      </c>
      <c r="J27" s="336">
        <v>0</v>
      </c>
      <c r="K27" s="341">
        <f t="shared" si="3"/>
        <v>540158.96178999997</v>
      </c>
      <c r="L27" s="286" t="s">
        <v>442</v>
      </c>
      <c r="M27" s="932">
        <f t="shared" si="1"/>
        <v>13</v>
      </c>
    </row>
    <row r="28" spans="1:13">
      <c r="A28" s="932">
        <f t="shared" si="0"/>
        <v>14</v>
      </c>
      <c r="B28" s="354">
        <v>356</v>
      </c>
      <c r="C28" s="95" t="s">
        <v>89</v>
      </c>
      <c r="D28" s="340">
        <v>619515.98153999995</v>
      </c>
      <c r="E28" s="328">
        <v>0</v>
      </c>
      <c r="F28" s="328">
        <v>0</v>
      </c>
      <c r="G28" s="335">
        <v>0</v>
      </c>
      <c r="H28" s="328">
        <v>0</v>
      </c>
      <c r="I28" s="328">
        <v>0</v>
      </c>
      <c r="J28" s="336">
        <v>0</v>
      </c>
      <c r="K28" s="341">
        <f t="shared" si="3"/>
        <v>619515.98153999995</v>
      </c>
      <c r="L28" s="286" t="s">
        <v>442</v>
      </c>
      <c r="M28" s="932">
        <f t="shared" si="1"/>
        <v>14</v>
      </c>
    </row>
    <row r="29" spans="1:13">
      <c r="A29" s="932">
        <f t="shared" si="0"/>
        <v>15</v>
      </c>
      <c r="B29" s="354">
        <v>357</v>
      </c>
      <c r="C29" s="95" t="s">
        <v>90</v>
      </c>
      <c r="D29" s="340">
        <v>360839.81049</v>
      </c>
      <c r="E29" s="328">
        <v>0</v>
      </c>
      <c r="F29" s="328">
        <v>0</v>
      </c>
      <c r="G29" s="335">
        <v>0</v>
      </c>
      <c r="H29" s="328">
        <v>0</v>
      </c>
      <c r="I29" s="328">
        <v>0</v>
      </c>
      <c r="J29" s="336">
        <v>0</v>
      </c>
      <c r="K29" s="341">
        <f t="shared" si="3"/>
        <v>360839.81049</v>
      </c>
      <c r="L29" s="286" t="s">
        <v>442</v>
      </c>
      <c r="M29" s="932">
        <f t="shared" si="1"/>
        <v>15</v>
      </c>
    </row>
    <row r="30" spans="1:13">
      <c r="A30" s="932">
        <f t="shared" si="0"/>
        <v>16</v>
      </c>
      <c r="B30" s="354">
        <v>358</v>
      </c>
      <c r="C30" s="95" t="s">
        <v>91</v>
      </c>
      <c r="D30" s="340">
        <v>390618.79277999996</v>
      </c>
      <c r="E30" s="328">
        <v>0</v>
      </c>
      <c r="F30" s="328">
        <v>0</v>
      </c>
      <c r="G30" s="335">
        <v>-1726.37997</v>
      </c>
      <c r="H30" s="328">
        <v>0</v>
      </c>
      <c r="I30" s="328">
        <v>0</v>
      </c>
      <c r="J30" s="336">
        <v>0</v>
      </c>
      <c r="K30" s="341">
        <f t="shared" si="3"/>
        <v>388892.41280999995</v>
      </c>
      <c r="L30" s="286" t="s">
        <v>442</v>
      </c>
      <c r="M30" s="932">
        <f t="shared" si="1"/>
        <v>16</v>
      </c>
    </row>
    <row r="31" spans="1:13">
      <c r="A31" s="932">
        <f t="shared" si="0"/>
        <v>17</v>
      </c>
      <c r="B31" s="354">
        <v>359</v>
      </c>
      <c r="C31" s="95" t="s">
        <v>92</v>
      </c>
      <c r="D31" s="340">
        <v>316139.79612000001</v>
      </c>
      <c r="E31" s="328">
        <v>0</v>
      </c>
      <c r="F31" s="328">
        <v>0</v>
      </c>
      <c r="G31" s="335">
        <v>0</v>
      </c>
      <c r="H31" s="328">
        <v>0</v>
      </c>
      <c r="I31" s="328">
        <v>0</v>
      </c>
      <c r="J31" s="336">
        <v>0</v>
      </c>
      <c r="K31" s="341">
        <f t="shared" si="3"/>
        <v>316139.79612000001</v>
      </c>
      <c r="L31" s="286" t="s">
        <v>442</v>
      </c>
      <c r="M31" s="932">
        <f t="shared" si="1"/>
        <v>17</v>
      </c>
    </row>
    <row r="32" spans="1:13">
      <c r="A32" s="932">
        <f t="shared" si="0"/>
        <v>18</v>
      </c>
      <c r="B32" s="323"/>
      <c r="C32" s="314"/>
      <c r="D32" s="335"/>
      <c r="F32" s="344"/>
      <c r="G32" s="344"/>
      <c r="H32" s="344"/>
      <c r="I32" s="344"/>
      <c r="J32" s="336"/>
      <c r="K32" s="345"/>
      <c r="L32" s="323"/>
      <c r="M32" s="932">
        <f t="shared" si="1"/>
        <v>18</v>
      </c>
    </row>
    <row r="33" spans="1:14">
      <c r="A33" s="932">
        <f t="shared" si="0"/>
        <v>19</v>
      </c>
      <c r="B33" s="346" t="s">
        <v>84</v>
      </c>
      <c r="C33" s="331" t="s">
        <v>58</v>
      </c>
      <c r="D33" s="332">
        <f>SUM(D23:D32)</f>
        <v>5533771.9222299997</v>
      </c>
      <c r="E33" s="332">
        <f t="shared" ref="E33:I33" si="4">SUM(E23:E32)</f>
        <v>0</v>
      </c>
      <c r="F33" s="332">
        <f t="shared" si="4"/>
        <v>0</v>
      </c>
      <c r="G33" s="332">
        <f t="shared" si="4"/>
        <v>-15178.74502</v>
      </c>
      <c r="H33" s="332">
        <f t="shared" si="4"/>
        <v>-1420.3928799999999</v>
      </c>
      <c r="I33" s="332">
        <f t="shared" si="4"/>
        <v>0</v>
      </c>
      <c r="J33" s="332">
        <f>SUM(J23:J32)</f>
        <v>-58625.501319999996</v>
      </c>
      <c r="K33" s="333">
        <f>SUM(K23:K32)</f>
        <v>5458547.2830099994</v>
      </c>
      <c r="L33" s="347" t="str">
        <f>"Sum Lines "&amp;A23&amp;" thru "&amp;A31</f>
        <v>Sum Lines 9 thru 17</v>
      </c>
      <c r="M33" s="932">
        <f t="shared" si="1"/>
        <v>19</v>
      </c>
      <c r="N33" s="358"/>
    </row>
    <row r="34" spans="1:14">
      <c r="A34" s="932">
        <f t="shared" si="0"/>
        <v>20</v>
      </c>
      <c r="B34" s="313"/>
      <c r="D34" s="348"/>
      <c r="J34" s="337"/>
      <c r="K34" s="342"/>
      <c r="L34" s="349"/>
      <c r="M34" s="932">
        <f t="shared" si="1"/>
        <v>20</v>
      </c>
    </row>
    <row r="35" spans="1:14">
      <c r="A35" s="932">
        <f t="shared" si="0"/>
        <v>21</v>
      </c>
      <c r="B35" s="350" t="s">
        <v>93</v>
      </c>
      <c r="C35" s="351"/>
      <c r="D35" s="352">
        <f>D33+D21</f>
        <v>5533771.9222299997</v>
      </c>
      <c r="E35" s="352">
        <f t="shared" ref="E35:I35" si="5">E33+E21</f>
        <v>4.56576</v>
      </c>
      <c r="F35" s="352">
        <f t="shared" si="5"/>
        <v>4679.8416799999995</v>
      </c>
      <c r="G35" s="352">
        <f>G33+G21</f>
        <v>-15178.74502</v>
      </c>
      <c r="H35" s="352">
        <f>H33+H21</f>
        <v>-1420.3928799999999</v>
      </c>
      <c r="I35" s="353">
        <f t="shared" si="5"/>
        <v>0</v>
      </c>
      <c r="J35" s="352">
        <f>J33+J21</f>
        <v>-58625.501319999996</v>
      </c>
      <c r="K35" s="874">
        <f>K33+K21</f>
        <v>5463231.6904499996</v>
      </c>
      <c r="L35" s="334" t="str">
        <f>"Line "&amp;A21&amp;" + Line "&amp;A33</f>
        <v>Line 7 + Line 19</v>
      </c>
      <c r="M35" s="932">
        <f t="shared" si="1"/>
        <v>21</v>
      </c>
    </row>
    <row r="36" spans="1:14">
      <c r="D36" s="232"/>
    </row>
    <row r="37" spans="1:14">
      <c r="D37" s="232"/>
    </row>
    <row r="38" spans="1:14">
      <c r="B38" s="165" t="s">
        <v>620</v>
      </c>
      <c r="D38" s="232"/>
    </row>
    <row r="39" spans="1:14">
      <c r="D39" s="232"/>
      <c r="K39" s="251"/>
      <c r="L39" s="251"/>
    </row>
    <row r="40" spans="1:14">
      <c r="D40" s="232"/>
    </row>
    <row r="41" spans="1:14">
      <c r="D41" s="232"/>
    </row>
    <row r="42" spans="1:14">
      <c r="D42" s="232"/>
    </row>
    <row r="43" spans="1:14">
      <c r="D43" s="232"/>
    </row>
    <row r="44" spans="1:14">
      <c r="D44" s="232"/>
    </row>
    <row r="45" spans="1:14">
      <c r="D45" s="232"/>
    </row>
    <row r="46" spans="1:14">
      <c r="D46" s="232"/>
    </row>
    <row r="47" spans="1:14">
      <c r="D47" s="232"/>
    </row>
    <row r="48" spans="1:14">
      <c r="D48" s="232"/>
    </row>
    <row r="49" spans="4:4">
      <c r="D49" s="232"/>
    </row>
    <row r="50" spans="4:4">
      <c r="D50" s="232"/>
    </row>
    <row r="51" spans="4:4">
      <c r="D51" s="232"/>
    </row>
    <row r="52" spans="4:4">
      <c r="D52" s="232"/>
    </row>
    <row r="53" spans="4:4">
      <c r="D53" s="232"/>
    </row>
    <row r="54" spans="4:4">
      <c r="D54" s="232"/>
    </row>
    <row r="55" spans="4:4">
      <c r="D55" s="232"/>
    </row>
    <row r="56" spans="4:4">
      <c r="D56" s="232"/>
    </row>
    <row r="57" spans="4:4">
      <c r="D57" s="232"/>
    </row>
    <row r="58" spans="4:4">
      <c r="D58" s="232"/>
    </row>
    <row r="59" spans="4:4">
      <c r="D59" s="232"/>
    </row>
    <row r="60" spans="4:4">
      <c r="D60" s="232"/>
    </row>
    <row r="61" spans="4:4">
      <c r="D61" s="232"/>
    </row>
    <row r="62" spans="4:4">
      <c r="D62" s="232"/>
    </row>
    <row r="63" spans="4:4">
      <c r="D63" s="232"/>
    </row>
    <row r="64" spans="4:4">
      <c r="D64" s="232"/>
    </row>
    <row r="65" spans="4:4">
      <c r="D65" s="232"/>
    </row>
    <row r="66" spans="4:4">
      <c r="D66" s="232"/>
    </row>
    <row r="67" spans="4:4">
      <c r="D67" s="232"/>
    </row>
    <row r="68" spans="4:4">
      <c r="D68" s="232"/>
    </row>
    <row r="69" spans="4:4">
      <c r="D69" s="232"/>
    </row>
    <row r="70" spans="4:4">
      <c r="D70" s="232"/>
    </row>
    <row r="71" spans="4:4">
      <c r="D71" s="232"/>
    </row>
    <row r="72" spans="4:4">
      <c r="D72" s="232"/>
    </row>
    <row r="73" spans="4:4">
      <c r="D73" s="232"/>
    </row>
    <row r="74" spans="4:4">
      <c r="D74" s="232"/>
    </row>
    <row r="75" spans="4:4">
      <c r="D75" s="232"/>
    </row>
    <row r="76" spans="4:4">
      <c r="D76" s="232"/>
    </row>
    <row r="77" spans="4:4">
      <c r="D77" s="232"/>
    </row>
    <row r="78" spans="4:4">
      <c r="D78" s="232"/>
    </row>
    <row r="79" spans="4:4">
      <c r="D79" s="232"/>
    </row>
    <row r="80" spans="4:4">
      <c r="D80" s="232"/>
    </row>
    <row r="81" spans="4:4">
      <c r="D81" s="232"/>
    </row>
    <row r="82" spans="4:4">
      <c r="D82" s="232"/>
    </row>
    <row r="83" spans="4:4">
      <c r="D83" s="232"/>
    </row>
    <row r="84" spans="4:4">
      <c r="D84" s="232"/>
    </row>
    <row r="85" spans="4:4">
      <c r="D85" s="232"/>
    </row>
    <row r="86" spans="4:4">
      <c r="D86" s="232"/>
    </row>
    <row r="87" spans="4:4">
      <c r="D87" s="232"/>
    </row>
    <row r="88" spans="4:4">
      <c r="D88" s="232"/>
    </row>
    <row r="89" spans="4:4">
      <c r="D89" s="232"/>
    </row>
    <row r="90" spans="4:4">
      <c r="D90" s="232"/>
    </row>
    <row r="91" spans="4:4">
      <c r="D91" s="232"/>
    </row>
    <row r="92" spans="4:4">
      <c r="D92" s="232"/>
    </row>
    <row r="93" spans="4:4">
      <c r="D93" s="232"/>
    </row>
    <row r="94" spans="4:4">
      <c r="D94" s="232"/>
    </row>
    <row r="95" spans="4:4">
      <c r="D95" s="232"/>
    </row>
    <row r="96" spans="4:4">
      <c r="D96" s="232"/>
    </row>
    <row r="97" spans="4:4">
      <c r="D97" s="232"/>
    </row>
    <row r="98" spans="4:4">
      <c r="D98" s="232"/>
    </row>
    <row r="99" spans="4:4">
      <c r="D99" s="232"/>
    </row>
    <row r="100" spans="4:4">
      <c r="D100" s="232"/>
    </row>
    <row r="101" spans="4:4">
      <c r="D101" s="232"/>
    </row>
    <row r="102" spans="4:4">
      <c r="D102" s="232"/>
    </row>
    <row r="103" spans="4:4">
      <c r="D103" s="232"/>
    </row>
    <row r="104" spans="4:4">
      <c r="D104" s="232"/>
    </row>
    <row r="105" spans="4:4">
      <c r="D105" s="232"/>
    </row>
    <row r="106" spans="4:4">
      <c r="D106" s="232"/>
    </row>
    <row r="107" spans="4:4">
      <c r="D107" s="232"/>
    </row>
    <row r="108" spans="4:4">
      <c r="D108" s="232"/>
    </row>
    <row r="109" spans="4:4">
      <c r="D109" s="232"/>
    </row>
    <row r="110" spans="4:4">
      <c r="D110" s="232"/>
    </row>
    <row r="111" spans="4:4">
      <c r="D111" s="232"/>
    </row>
    <row r="112" spans="4:4">
      <c r="D112" s="232"/>
    </row>
    <row r="113" spans="4:4">
      <c r="D113" s="232"/>
    </row>
    <row r="114" spans="4:4">
      <c r="D114" s="232"/>
    </row>
    <row r="115" spans="4:4">
      <c r="D115" s="232"/>
    </row>
    <row r="116" spans="4:4">
      <c r="D116" s="232"/>
    </row>
    <row r="117" spans="4:4">
      <c r="D117" s="232"/>
    </row>
    <row r="118" spans="4:4">
      <c r="D118" s="232"/>
    </row>
    <row r="119" spans="4:4">
      <c r="D119" s="232"/>
    </row>
    <row r="120" spans="4:4">
      <c r="D120" s="232"/>
    </row>
    <row r="121" spans="4:4">
      <c r="D121" s="232"/>
    </row>
    <row r="122" spans="4:4">
      <c r="D122" s="232"/>
    </row>
    <row r="123" spans="4:4">
      <c r="D123" s="232"/>
    </row>
    <row r="124" spans="4:4">
      <c r="D124" s="232"/>
    </row>
    <row r="125" spans="4:4">
      <c r="D125" s="232"/>
    </row>
    <row r="126" spans="4:4">
      <c r="D126" s="232"/>
    </row>
    <row r="127" spans="4:4">
      <c r="D127" s="232"/>
    </row>
    <row r="128" spans="4:4">
      <c r="D128" s="232"/>
    </row>
    <row r="129" spans="4:4">
      <c r="D129" s="232"/>
    </row>
    <row r="130" spans="4:4">
      <c r="D130" s="232"/>
    </row>
    <row r="131" spans="4:4">
      <c r="D131" s="232"/>
    </row>
    <row r="132" spans="4:4">
      <c r="D132" s="232"/>
    </row>
    <row r="133" spans="4:4">
      <c r="D133" s="232"/>
    </row>
    <row r="134" spans="4:4">
      <c r="D134" s="232"/>
    </row>
    <row r="135" spans="4:4">
      <c r="D135" s="232"/>
    </row>
    <row r="136" spans="4:4">
      <c r="D136" s="232"/>
    </row>
    <row r="137" spans="4:4">
      <c r="D137" s="232"/>
    </row>
    <row r="138" spans="4:4">
      <c r="D138" s="232"/>
    </row>
    <row r="139" spans="4:4">
      <c r="D139" s="232"/>
    </row>
    <row r="140" spans="4:4">
      <c r="D140" s="232"/>
    </row>
    <row r="141" spans="4:4">
      <c r="D141" s="232"/>
    </row>
    <row r="142" spans="4:4">
      <c r="D142" s="232"/>
    </row>
    <row r="143" spans="4:4">
      <c r="D143" s="232"/>
    </row>
    <row r="144" spans="4:4">
      <c r="D144" s="232"/>
    </row>
    <row r="145" spans="4:4">
      <c r="D145" s="232"/>
    </row>
    <row r="146" spans="4:4">
      <c r="D146" s="232"/>
    </row>
    <row r="147" spans="4:4">
      <c r="D147" s="232"/>
    </row>
    <row r="148" spans="4:4">
      <c r="D148" s="232"/>
    </row>
    <row r="149" spans="4:4">
      <c r="D149" s="232"/>
    </row>
    <row r="150" spans="4:4">
      <c r="D150" s="232"/>
    </row>
    <row r="151" spans="4:4">
      <c r="D151" s="232"/>
    </row>
    <row r="152" spans="4:4">
      <c r="D152" s="232"/>
    </row>
    <row r="153" spans="4:4">
      <c r="D153" s="232"/>
    </row>
    <row r="154" spans="4:4">
      <c r="D154" s="232"/>
    </row>
    <row r="155" spans="4:4">
      <c r="D155" s="232"/>
    </row>
    <row r="156" spans="4:4">
      <c r="D156" s="232"/>
    </row>
    <row r="157" spans="4:4">
      <c r="D157" s="232"/>
    </row>
    <row r="158" spans="4:4">
      <c r="D158" s="232"/>
    </row>
    <row r="159" spans="4:4">
      <c r="D159" s="232"/>
    </row>
    <row r="160" spans="4:4">
      <c r="D160" s="232"/>
    </row>
    <row r="161" spans="4:4">
      <c r="D161" s="232"/>
    </row>
    <row r="162" spans="4:4">
      <c r="D162" s="232"/>
    </row>
    <row r="163" spans="4:4">
      <c r="D163" s="232"/>
    </row>
    <row r="164" spans="4:4">
      <c r="D164" s="232"/>
    </row>
    <row r="165" spans="4:4">
      <c r="D165" s="232"/>
    </row>
    <row r="166" spans="4:4">
      <c r="D166" s="232"/>
    </row>
    <row r="167" spans="4:4">
      <c r="D167" s="232"/>
    </row>
    <row r="168" spans="4:4">
      <c r="D168" s="232"/>
    </row>
    <row r="169" spans="4:4">
      <c r="D169" s="232"/>
    </row>
    <row r="170" spans="4:4">
      <c r="D170" s="23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/>
  </sheetViews>
  <sheetFormatPr defaultColWidth="9.140625" defaultRowHeight="15.75"/>
  <cols>
    <col min="1" max="1" width="5.140625" style="932" customWidth="1"/>
    <col min="2" max="2" width="11.140625" style="192" customWidth="1"/>
    <col min="3" max="3" width="32.42578125" style="232" customWidth="1"/>
    <col min="4" max="10" width="18.5703125" style="343" customWidth="1"/>
    <col min="11" max="11" width="18.5703125" style="232" customWidth="1"/>
    <col min="12" max="12" width="24" style="232" customWidth="1"/>
    <col min="13" max="13" width="5.140625" style="932" customWidth="1"/>
    <col min="14" max="14" width="11.85546875" style="232" bestFit="1" customWidth="1"/>
    <col min="15" max="15" width="13.140625" style="232" customWidth="1"/>
    <col min="16" max="16384" width="9.140625" style="232"/>
  </cols>
  <sheetData>
    <row r="1" spans="1:13">
      <c r="C1" s="192"/>
    </row>
    <row r="2" spans="1:13" s="175" customFormat="1">
      <c r="A2" s="928"/>
      <c r="B2" s="1635" t="s">
        <v>18</v>
      </c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928"/>
    </row>
    <row r="3" spans="1:13" s="175" customFormat="1">
      <c r="A3" s="928"/>
      <c r="B3" s="1635" t="s">
        <v>60</v>
      </c>
      <c r="C3" s="1635"/>
      <c r="D3" s="1635"/>
      <c r="E3" s="1635"/>
      <c r="F3" s="1635"/>
      <c r="G3" s="1635"/>
      <c r="H3" s="1635"/>
      <c r="I3" s="1635"/>
      <c r="J3" s="1635"/>
      <c r="K3" s="1635"/>
      <c r="L3" s="1635"/>
      <c r="M3" s="928"/>
    </row>
    <row r="4" spans="1:13">
      <c r="B4" s="1635" t="s">
        <v>61</v>
      </c>
      <c r="C4" s="1635"/>
      <c r="D4" s="1635"/>
      <c r="E4" s="1635"/>
      <c r="F4" s="1635"/>
      <c r="G4" s="1635"/>
      <c r="H4" s="1635"/>
      <c r="I4" s="1635"/>
      <c r="J4" s="1635"/>
      <c r="K4" s="1635"/>
      <c r="L4" s="1635"/>
    </row>
    <row r="5" spans="1:13">
      <c r="B5" s="1640" t="str">
        <f>"BALANCES AS OF 12/31/"&amp;Automation!$B$6</f>
        <v>BALANCES AS OF 12/31/2018</v>
      </c>
      <c r="C5" s="1640"/>
      <c r="D5" s="1640"/>
      <c r="E5" s="1640"/>
      <c r="F5" s="1640"/>
      <c r="G5" s="1640"/>
      <c r="H5" s="1640"/>
      <c r="I5" s="1640"/>
      <c r="J5" s="1640"/>
      <c r="K5" s="1640"/>
      <c r="L5" s="1640"/>
    </row>
    <row r="6" spans="1:13">
      <c r="B6" s="1640" t="s">
        <v>3</v>
      </c>
      <c r="C6" s="1635"/>
      <c r="D6" s="1635"/>
      <c r="E6" s="1635"/>
      <c r="F6" s="1635"/>
      <c r="G6" s="1635"/>
      <c r="H6" s="1635"/>
      <c r="I6" s="1635"/>
      <c r="J6" s="1635"/>
      <c r="K6" s="1635"/>
      <c r="L6" s="1635"/>
    </row>
    <row r="7" spans="1:13">
      <c r="C7" s="177"/>
      <c r="D7" s="178"/>
      <c r="E7" s="304"/>
      <c r="F7" s="304"/>
      <c r="G7" s="304"/>
      <c r="H7" s="304"/>
      <c r="I7" s="304"/>
      <c r="J7" s="304"/>
    </row>
    <row r="8" spans="1:13" s="174" customFormat="1">
      <c r="A8" s="928"/>
      <c r="B8" s="256"/>
      <c r="C8" s="305"/>
      <c r="D8" s="306" t="s">
        <v>29</v>
      </c>
      <c r="E8" s="307" t="s">
        <v>30</v>
      </c>
      <c r="F8" s="307" t="s">
        <v>62</v>
      </c>
      <c r="G8" s="307" t="s">
        <v>63</v>
      </c>
      <c r="H8" s="307" t="s">
        <v>64</v>
      </c>
      <c r="I8" s="307" t="s">
        <v>65</v>
      </c>
      <c r="J8" s="307" t="s">
        <v>66</v>
      </c>
      <c r="K8" s="307" t="s">
        <v>67</v>
      </c>
      <c r="L8" s="256"/>
      <c r="M8" s="928" t="s">
        <v>10</v>
      </c>
    </row>
    <row r="9" spans="1:13">
      <c r="B9" s="308"/>
      <c r="C9" s="309"/>
      <c r="D9" s="310"/>
      <c r="E9" s="311"/>
      <c r="F9" s="311"/>
      <c r="G9" s="311"/>
      <c r="H9" s="311"/>
      <c r="I9" s="311"/>
      <c r="J9" s="311"/>
      <c r="K9" s="312" t="s">
        <v>31</v>
      </c>
      <c r="L9" s="308"/>
      <c r="M9" s="932" t="s">
        <v>10</v>
      </c>
    </row>
    <row r="10" spans="1:13">
      <c r="B10" s="313"/>
      <c r="C10" s="314"/>
      <c r="D10" s="310"/>
      <c r="E10" s="311" t="s">
        <v>68</v>
      </c>
      <c r="F10" s="311" t="s">
        <v>56</v>
      </c>
      <c r="G10" s="311" t="s">
        <v>59</v>
      </c>
      <c r="H10" s="311" t="s">
        <v>59</v>
      </c>
      <c r="I10" s="311" t="s">
        <v>59</v>
      </c>
      <c r="J10" s="311" t="s">
        <v>59</v>
      </c>
      <c r="K10" s="311" t="s">
        <v>59</v>
      </c>
      <c r="L10" s="286"/>
      <c r="M10" s="932" t="s">
        <v>10</v>
      </c>
    </row>
    <row r="11" spans="1:13">
      <c r="B11" s="315"/>
      <c r="C11" s="214"/>
      <c r="D11" s="316" t="s">
        <v>31</v>
      </c>
      <c r="E11" s="311" t="s">
        <v>69</v>
      </c>
      <c r="F11" s="311" t="s">
        <v>69</v>
      </c>
      <c r="G11" s="311" t="s">
        <v>69</v>
      </c>
      <c r="H11" s="311" t="s">
        <v>69</v>
      </c>
      <c r="I11" s="311" t="s">
        <v>69</v>
      </c>
      <c r="J11" s="311" t="s">
        <v>69</v>
      </c>
      <c r="K11" s="311" t="s">
        <v>57</v>
      </c>
      <c r="L11" s="187"/>
    </row>
    <row r="12" spans="1:13">
      <c r="A12" s="932" t="s">
        <v>4</v>
      </c>
      <c r="B12" s="315"/>
      <c r="C12" s="187"/>
      <c r="D12" s="316" t="s">
        <v>59</v>
      </c>
      <c r="E12" s="311" t="s">
        <v>70</v>
      </c>
      <c r="F12" s="317" t="s">
        <v>70</v>
      </c>
      <c r="G12" s="311" t="s">
        <v>70</v>
      </c>
      <c r="H12" s="311" t="s">
        <v>70</v>
      </c>
      <c r="I12" s="311" t="s">
        <v>70</v>
      </c>
      <c r="J12" s="311" t="s">
        <v>70</v>
      </c>
      <c r="K12" s="311" t="s">
        <v>50</v>
      </c>
      <c r="L12" s="187"/>
      <c r="M12" s="932" t="s">
        <v>4</v>
      </c>
    </row>
    <row r="13" spans="1:13">
      <c r="A13" s="932" t="s">
        <v>25</v>
      </c>
      <c r="B13" s="196" t="s">
        <v>71</v>
      </c>
      <c r="C13" s="196" t="s">
        <v>72</v>
      </c>
      <c r="D13" s="318" t="s">
        <v>69</v>
      </c>
      <c r="E13" s="319" t="s">
        <v>73</v>
      </c>
      <c r="F13" s="319" t="s">
        <v>74</v>
      </c>
      <c r="G13" s="319" t="s">
        <v>75</v>
      </c>
      <c r="H13" s="319" t="s">
        <v>76</v>
      </c>
      <c r="I13" s="319" t="s">
        <v>49</v>
      </c>
      <c r="J13" s="320" t="s">
        <v>77</v>
      </c>
      <c r="K13" s="196" t="s">
        <v>78</v>
      </c>
      <c r="L13" s="196" t="s">
        <v>9</v>
      </c>
      <c r="M13" s="932" t="s">
        <v>25</v>
      </c>
    </row>
    <row r="14" spans="1:13">
      <c r="B14" s="286"/>
      <c r="C14" s="314" t="s">
        <v>79</v>
      </c>
      <c r="D14" s="321"/>
      <c r="E14" s="314"/>
      <c r="F14" s="314"/>
      <c r="G14" s="314"/>
      <c r="H14" s="314"/>
      <c r="I14" s="314"/>
      <c r="J14" s="314"/>
      <c r="K14" s="322"/>
      <c r="L14" s="286"/>
    </row>
    <row r="15" spans="1:13">
      <c r="A15" s="932">
        <v>1</v>
      </c>
      <c r="B15" s="354">
        <v>303</v>
      </c>
      <c r="C15" s="95" t="s">
        <v>80</v>
      </c>
      <c r="D15" s="325">
        <v>0</v>
      </c>
      <c r="E15" s="325">
        <v>0</v>
      </c>
      <c r="F15" s="326">
        <v>0</v>
      </c>
      <c r="G15" s="326">
        <v>0</v>
      </c>
      <c r="H15" s="326">
        <v>0</v>
      </c>
      <c r="I15" s="326">
        <v>0</v>
      </c>
      <c r="J15" s="326">
        <v>0</v>
      </c>
      <c r="K15" s="244">
        <f>SUM(D15:J15)</f>
        <v>0</v>
      </c>
      <c r="L15" s="286" t="s">
        <v>442</v>
      </c>
      <c r="M15" s="932">
        <f>A15</f>
        <v>1</v>
      </c>
    </row>
    <row r="16" spans="1:13">
      <c r="A16" s="932">
        <f>A15+1</f>
        <v>2</v>
      </c>
      <c r="B16" s="355">
        <v>310.10000000000002</v>
      </c>
      <c r="C16" s="95" t="s">
        <v>81</v>
      </c>
      <c r="D16" s="327">
        <v>0</v>
      </c>
      <c r="E16" s="327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245">
        <f>SUM(D16:J16)</f>
        <v>0</v>
      </c>
      <c r="L16" s="286" t="s">
        <v>442</v>
      </c>
      <c r="M16" s="932">
        <f>M15+1</f>
        <v>2</v>
      </c>
    </row>
    <row r="17" spans="1:13">
      <c r="A17" s="932">
        <f t="shared" ref="A17:A35" si="0">A16+1</f>
        <v>3</v>
      </c>
      <c r="B17" s="354">
        <v>340</v>
      </c>
      <c r="C17" s="356" t="s">
        <v>82</v>
      </c>
      <c r="D17" s="327">
        <v>0</v>
      </c>
      <c r="E17" s="327">
        <v>4.5805699999999998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9">
        <f>SUM(D17:J17)</f>
        <v>4.5805699999999998</v>
      </c>
      <c r="L17" s="286" t="s">
        <v>442</v>
      </c>
      <c r="M17" s="932">
        <f t="shared" ref="M17:M35" si="1">M16+1</f>
        <v>3</v>
      </c>
    </row>
    <row r="18" spans="1:13">
      <c r="A18" s="932">
        <f t="shared" si="0"/>
        <v>4</v>
      </c>
      <c r="B18" s="354">
        <v>360</v>
      </c>
      <c r="C18" s="356" t="s">
        <v>82</v>
      </c>
      <c r="D18" s="327">
        <v>0</v>
      </c>
      <c r="E18" s="327">
        <v>0</v>
      </c>
      <c r="F18" s="328">
        <v>3634.0221999999999</v>
      </c>
      <c r="G18" s="328">
        <v>0</v>
      </c>
      <c r="H18" s="328">
        <v>0</v>
      </c>
      <c r="I18" s="328">
        <v>0</v>
      </c>
      <c r="J18" s="328">
        <v>0</v>
      </c>
      <c r="K18" s="329">
        <f>SUM(D18:J18)</f>
        <v>3634.0221999999999</v>
      </c>
      <c r="L18" s="286" t="s">
        <v>442</v>
      </c>
      <c r="M18" s="932">
        <f t="shared" si="1"/>
        <v>4</v>
      </c>
    </row>
    <row r="19" spans="1:13">
      <c r="A19" s="932">
        <f t="shared" si="0"/>
        <v>5</v>
      </c>
      <c r="B19" s="354">
        <v>361</v>
      </c>
      <c r="C19" s="95" t="s">
        <v>83</v>
      </c>
      <c r="D19" s="327">
        <v>0</v>
      </c>
      <c r="E19" s="327">
        <v>0</v>
      </c>
      <c r="F19" s="328">
        <v>1039.44714</v>
      </c>
      <c r="G19" s="328">
        <v>0</v>
      </c>
      <c r="H19" s="328">
        <v>0</v>
      </c>
      <c r="I19" s="328">
        <v>0</v>
      </c>
      <c r="J19" s="328">
        <v>0</v>
      </c>
      <c r="K19" s="329">
        <f>SUM(D19:J19)</f>
        <v>1039.44714</v>
      </c>
      <c r="L19" s="286" t="s">
        <v>442</v>
      </c>
      <c r="M19" s="932">
        <f t="shared" si="1"/>
        <v>5</v>
      </c>
    </row>
    <row r="20" spans="1:13">
      <c r="A20" s="932">
        <f t="shared" si="0"/>
        <v>6</v>
      </c>
      <c r="B20" s="286"/>
      <c r="C20" s="314"/>
      <c r="D20" s="321"/>
      <c r="E20" s="314"/>
      <c r="F20" s="314"/>
      <c r="G20" s="314"/>
      <c r="H20" s="314"/>
      <c r="I20" s="314"/>
      <c r="J20" s="314"/>
      <c r="K20" s="322"/>
      <c r="L20" s="286"/>
      <c r="M20" s="932">
        <f t="shared" si="1"/>
        <v>6</v>
      </c>
    </row>
    <row r="21" spans="1:13" s="175" customFormat="1">
      <c r="A21" s="932">
        <f t="shared" si="0"/>
        <v>7</v>
      </c>
      <c r="B21" s="330" t="s">
        <v>84</v>
      </c>
      <c r="C21" s="331" t="s">
        <v>85</v>
      </c>
      <c r="D21" s="332">
        <f>SUM(D15:D20)</f>
        <v>0</v>
      </c>
      <c r="E21" s="332">
        <f t="shared" ref="E21:I21" si="2">SUM(E15:E20)</f>
        <v>4.5805699999999998</v>
      </c>
      <c r="F21" s="332">
        <f t="shared" si="2"/>
        <v>4673.4693399999996</v>
      </c>
      <c r="G21" s="332">
        <f t="shared" si="2"/>
        <v>0</v>
      </c>
      <c r="H21" s="332">
        <f t="shared" si="2"/>
        <v>0</v>
      </c>
      <c r="I21" s="332">
        <f t="shared" si="2"/>
        <v>0</v>
      </c>
      <c r="J21" s="332">
        <f>SUM(J15:J20)</f>
        <v>0</v>
      </c>
      <c r="K21" s="333">
        <f>SUM(K15:K20)</f>
        <v>4678.0499099999997</v>
      </c>
      <c r="L21" s="334" t="str">
        <f>"Sum Lines "&amp;A15&amp;" thru "&amp;A19</f>
        <v>Sum Lines 1 thru 5</v>
      </c>
      <c r="M21" s="932">
        <f t="shared" si="1"/>
        <v>7</v>
      </c>
    </row>
    <row r="22" spans="1:13">
      <c r="A22" s="932">
        <f t="shared" si="0"/>
        <v>8</v>
      </c>
      <c r="B22" s="286"/>
      <c r="C22" s="314"/>
      <c r="D22" s="335"/>
      <c r="E22" s="336"/>
      <c r="F22" s="336"/>
      <c r="G22" s="336"/>
      <c r="H22" s="336"/>
      <c r="I22" s="336"/>
      <c r="J22" s="336"/>
      <c r="K22" s="322"/>
      <c r="L22" s="286"/>
      <c r="M22" s="932">
        <f t="shared" si="1"/>
        <v>8</v>
      </c>
    </row>
    <row r="23" spans="1:13">
      <c r="A23" s="932">
        <f t="shared" si="0"/>
        <v>9</v>
      </c>
      <c r="B23" s="354">
        <v>350</v>
      </c>
      <c r="C23" s="95" t="s">
        <v>82</v>
      </c>
      <c r="D23" s="338">
        <v>239239.70962000001</v>
      </c>
      <c r="E23" s="325">
        <v>0</v>
      </c>
      <c r="F23" s="326">
        <v>0</v>
      </c>
      <c r="G23" s="325">
        <v>0</v>
      </c>
      <c r="H23" s="325">
        <v>0</v>
      </c>
      <c r="I23" s="325">
        <v>0</v>
      </c>
      <c r="J23" s="325">
        <v>-13099.815749999998</v>
      </c>
      <c r="K23" s="339">
        <f t="shared" ref="K23:K31" si="3">SUM(D23:J23)</f>
        <v>226139.89387</v>
      </c>
      <c r="L23" s="286" t="s">
        <v>442</v>
      </c>
      <c r="M23" s="932">
        <f t="shared" si="1"/>
        <v>9</v>
      </c>
    </row>
    <row r="24" spans="1:13">
      <c r="A24" s="932">
        <f t="shared" si="0"/>
        <v>10</v>
      </c>
      <c r="B24" s="354">
        <v>352</v>
      </c>
      <c r="C24" s="95" t="s">
        <v>83</v>
      </c>
      <c r="D24" s="340">
        <v>599716.71719000011</v>
      </c>
      <c r="E24" s="328">
        <v>0</v>
      </c>
      <c r="F24" s="328">
        <v>0</v>
      </c>
      <c r="G24" s="335">
        <v>-1928.27782</v>
      </c>
      <c r="H24" s="328">
        <v>0</v>
      </c>
      <c r="I24" s="328">
        <v>0</v>
      </c>
      <c r="J24" s="336">
        <v>-53599.29146</v>
      </c>
      <c r="K24" s="341">
        <f t="shared" si="3"/>
        <v>544189.14791000017</v>
      </c>
      <c r="L24" s="286" t="s">
        <v>442</v>
      </c>
      <c r="M24" s="932">
        <f t="shared" si="1"/>
        <v>10</v>
      </c>
    </row>
    <row r="25" spans="1:13">
      <c r="A25" s="932">
        <f t="shared" si="0"/>
        <v>11</v>
      </c>
      <c r="B25" s="354">
        <v>353</v>
      </c>
      <c r="C25" s="95" t="s">
        <v>86</v>
      </c>
      <c r="D25" s="340">
        <v>1817621.7904400001</v>
      </c>
      <c r="E25" s="328">
        <v>0</v>
      </c>
      <c r="F25" s="328">
        <v>0</v>
      </c>
      <c r="G25" s="335">
        <v>-11170.520630000001</v>
      </c>
      <c r="H25" s="328">
        <v>-1420.3928799999999</v>
      </c>
      <c r="I25" s="328">
        <v>0</v>
      </c>
      <c r="J25" s="336">
        <v>-2427.1273099999999</v>
      </c>
      <c r="K25" s="341">
        <f t="shared" si="3"/>
        <v>1802603.7496200004</v>
      </c>
      <c r="L25" s="286" t="s">
        <v>442</v>
      </c>
      <c r="M25" s="932">
        <f t="shared" si="1"/>
        <v>11</v>
      </c>
    </row>
    <row r="26" spans="1:13">
      <c r="A26" s="932">
        <f t="shared" si="0"/>
        <v>12</v>
      </c>
      <c r="B26" s="354">
        <v>354</v>
      </c>
      <c r="C26" s="95" t="s">
        <v>87</v>
      </c>
      <c r="D26" s="340">
        <v>901633.07666999998</v>
      </c>
      <c r="E26" s="328">
        <v>0</v>
      </c>
      <c r="F26" s="328">
        <v>0</v>
      </c>
      <c r="G26" s="335">
        <v>0</v>
      </c>
      <c r="H26" s="328">
        <v>0</v>
      </c>
      <c r="I26" s="328">
        <v>0</v>
      </c>
      <c r="J26" s="336">
        <v>0</v>
      </c>
      <c r="K26" s="341">
        <f t="shared" si="3"/>
        <v>901633.07666999998</v>
      </c>
      <c r="L26" s="286" t="s">
        <v>442</v>
      </c>
      <c r="M26" s="932">
        <f t="shared" si="1"/>
        <v>12</v>
      </c>
    </row>
    <row r="27" spans="1:13">
      <c r="A27" s="932">
        <f t="shared" si="0"/>
        <v>13</v>
      </c>
      <c r="B27" s="354">
        <v>355</v>
      </c>
      <c r="C27" s="95" t="s">
        <v>88</v>
      </c>
      <c r="D27" s="340">
        <v>611303.68851999997</v>
      </c>
      <c r="E27" s="328">
        <v>0</v>
      </c>
      <c r="F27" s="328">
        <v>0</v>
      </c>
      <c r="G27" s="335">
        <v>0</v>
      </c>
      <c r="H27" s="328">
        <v>0</v>
      </c>
      <c r="I27" s="328">
        <v>0</v>
      </c>
      <c r="J27" s="336">
        <v>0</v>
      </c>
      <c r="K27" s="341">
        <f t="shared" si="3"/>
        <v>611303.68851999997</v>
      </c>
      <c r="L27" s="286" t="s">
        <v>442</v>
      </c>
      <c r="M27" s="932">
        <f t="shared" si="1"/>
        <v>13</v>
      </c>
    </row>
    <row r="28" spans="1:13">
      <c r="A28" s="932">
        <f t="shared" si="0"/>
        <v>14</v>
      </c>
      <c r="B28" s="354">
        <v>356</v>
      </c>
      <c r="C28" s="95" t="s">
        <v>89</v>
      </c>
      <c r="D28" s="340">
        <v>661523.01428</v>
      </c>
      <c r="E28" s="328">
        <v>0</v>
      </c>
      <c r="F28" s="328">
        <v>0</v>
      </c>
      <c r="G28" s="335">
        <v>0</v>
      </c>
      <c r="H28" s="328">
        <v>0</v>
      </c>
      <c r="I28" s="328">
        <v>0</v>
      </c>
      <c r="J28" s="336">
        <v>0</v>
      </c>
      <c r="K28" s="341">
        <f t="shared" si="3"/>
        <v>661523.01428</v>
      </c>
      <c r="L28" s="286" t="s">
        <v>442</v>
      </c>
      <c r="M28" s="932">
        <f t="shared" si="1"/>
        <v>14</v>
      </c>
    </row>
    <row r="29" spans="1:13">
      <c r="A29" s="932">
        <f t="shared" si="0"/>
        <v>15</v>
      </c>
      <c r="B29" s="354">
        <v>357</v>
      </c>
      <c r="C29" s="95" t="s">
        <v>90</v>
      </c>
      <c r="D29" s="340">
        <v>459481.88441</v>
      </c>
      <c r="E29" s="328">
        <v>0</v>
      </c>
      <c r="F29" s="328">
        <v>0</v>
      </c>
      <c r="G29" s="335">
        <v>0</v>
      </c>
      <c r="H29" s="328">
        <v>0</v>
      </c>
      <c r="I29" s="328">
        <v>0</v>
      </c>
      <c r="J29" s="336">
        <v>0</v>
      </c>
      <c r="K29" s="341">
        <f t="shared" si="3"/>
        <v>459481.88441</v>
      </c>
      <c r="L29" s="286" t="s">
        <v>442</v>
      </c>
      <c r="M29" s="932">
        <f t="shared" si="1"/>
        <v>15</v>
      </c>
    </row>
    <row r="30" spans="1:13">
      <c r="A30" s="932">
        <f t="shared" si="0"/>
        <v>16</v>
      </c>
      <c r="B30" s="354">
        <v>358</v>
      </c>
      <c r="C30" s="95" t="s">
        <v>91</v>
      </c>
      <c r="D30" s="340">
        <v>520562.55894999998</v>
      </c>
      <c r="E30" s="328">
        <v>0</v>
      </c>
      <c r="F30" s="328">
        <v>0</v>
      </c>
      <c r="G30" s="335">
        <v>-1726.37997</v>
      </c>
      <c r="H30" s="328">
        <v>0</v>
      </c>
      <c r="I30" s="328">
        <v>0</v>
      </c>
      <c r="J30" s="336">
        <v>0</v>
      </c>
      <c r="K30" s="341">
        <f t="shared" si="3"/>
        <v>518836.17897999997</v>
      </c>
      <c r="L30" s="286" t="s">
        <v>442</v>
      </c>
      <c r="M30" s="932">
        <f t="shared" si="1"/>
        <v>16</v>
      </c>
    </row>
    <row r="31" spans="1:13">
      <c r="A31" s="932">
        <f t="shared" si="0"/>
        <v>17</v>
      </c>
      <c r="B31" s="354">
        <v>359</v>
      </c>
      <c r="C31" s="95" t="s">
        <v>92</v>
      </c>
      <c r="D31" s="340">
        <v>320923.16362000001</v>
      </c>
      <c r="E31" s="328">
        <v>0</v>
      </c>
      <c r="F31" s="328">
        <v>0</v>
      </c>
      <c r="G31" s="335">
        <v>0</v>
      </c>
      <c r="H31" s="328">
        <v>0</v>
      </c>
      <c r="I31" s="328">
        <v>0</v>
      </c>
      <c r="J31" s="336">
        <v>0</v>
      </c>
      <c r="K31" s="341">
        <f t="shared" si="3"/>
        <v>320923.16362000001</v>
      </c>
      <c r="L31" s="286" t="s">
        <v>442</v>
      </c>
      <c r="M31" s="932">
        <f t="shared" si="1"/>
        <v>17</v>
      </c>
    </row>
    <row r="32" spans="1:13">
      <c r="A32" s="932">
        <f t="shared" si="0"/>
        <v>18</v>
      </c>
      <c r="B32" s="323"/>
      <c r="C32" s="314"/>
      <c r="D32" s="335"/>
      <c r="F32" s="344"/>
      <c r="G32" s="344"/>
      <c r="H32" s="344"/>
      <c r="I32" s="344"/>
      <c r="J32" s="336"/>
      <c r="K32" s="345"/>
      <c r="L32" s="323"/>
      <c r="M32" s="932">
        <f t="shared" si="1"/>
        <v>18</v>
      </c>
    </row>
    <row r="33" spans="1:13">
      <c r="A33" s="932">
        <f t="shared" si="0"/>
        <v>19</v>
      </c>
      <c r="B33" s="346" t="s">
        <v>84</v>
      </c>
      <c r="C33" s="331" t="s">
        <v>58</v>
      </c>
      <c r="D33" s="332">
        <f>SUM(D23:D32)</f>
        <v>6132005.6036999999</v>
      </c>
      <c r="E33" s="332">
        <f t="shared" ref="E33:I33" si="4">SUM(E23:E32)</f>
        <v>0</v>
      </c>
      <c r="F33" s="332">
        <f t="shared" si="4"/>
        <v>0</v>
      </c>
      <c r="G33" s="332">
        <f t="shared" si="4"/>
        <v>-14825.17842</v>
      </c>
      <c r="H33" s="332">
        <f t="shared" si="4"/>
        <v>-1420.3928799999999</v>
      </c>
      <c r="I33" s="332">
        <f t="shared" si="4"/>
        <v>0</v>
      </c>
      <c r="J33" s="332">
        <f>SUM(J23:J32)</f>
        <v>-69126.234519999998</v>
      </c>
      <c r="K33" s="333">
        <f>SUM(K23:K32)</f>
        <v>6046633.7978800004</v>
      </c>
      <c r="L33" s="347" t="str">
        <f>"Sum Lines "&amp;A23&amp;" thru "&amp;A31</f>
        <v>Sum Lines 9 thru 17</v>
      </c>
      <c r="M33" s="932">
        <f t="shared" si="1"/>
        <v>19</v>
      </c>
    </row>
    <row r="34" spans="1:13">
      <c r="A34" s="932">
        <f t="shared" si="0"/>
        <v>20</v>
      </c>
      <c r="B34" s="313"/>
      <c r="D34" s="348"/>
      <c r="J34" s="337"/>
      <c r="K34" s="342"/>
      <c r="L34" s="349"/>
      <c r="M34" s="932">
        <f t="shared" si="1"/>
        <v>20</v>
      </c>
    </row>
    <row r="35" spans="1:13">
      <c r="A35" s="932">
        <f t="shared" si="0"/>
        <v>21</v>
      </c>
      <c r="B35" s="350" t="s">
        <v>93</v>
      </c>
      <c r="C35" s="351"/>
      <c r="D35" s="352">
        <f>D33+D21</f>
        <v>6132005.6036999999</v>
      </c>
      <c r="E35" s="352">
        <f t="shared" ref="E35:I35" si="5">E33+E21</f>
        <v>4.5805699999999998</v>
      </c>
      <c r="F35" s="352">
        <f t="shared" si="5"/>
        <v>4673.4693399999996</v>
      </c>
      <c r="G35" s="352">
        <f>G33+G21</f>
        <v>-14825.17842</v>
      </c>
      <c r="H35" s="352">
        <f>H33+H21</f>
        <v>-1420.3928799999999</v>
      </c>
      <c r="I35" s="353">
        <f t="shared" si="5"/>
        <v>0</v>
      </c>
      <c r="J35" s="352">
        <f>J33+J21</f>
        <v>-69126.234519999998</v>
      </c>
      <c r="K35" s="874">
        <f>K33+K21</f>
        <v>6051311.84779</v>
      </c>
      <c r="L35" s="334" t="str">
        <f>"Line "&amp;A21&amp;" + Line "&amp;A33</f>
        <v>Line 7 + Line 19</v>
      </c>
      <c r="M35" s="932">
        <f t="shared" si="1"/>
        <v>21</v>
      </c>
    </row>
    <row r="36" spans="1:13">
      <c r="D36" s="232"/>
    </row>
    <row r="37" spans="1:13">
      <c r="D37" s="232"/>
    </row>
    <row r="38" spans="1:13">
      <c r="B38" s="165" t="s">
        <v>620</v>
      </c>
      <c r="D38" s="232"/>
    </row>
    <row r="39" spans="1:13">
      <c r="D39" s="232"/>
      <c r="K39" s="251"/>
      <c r="L39" s="251"/>
    </row>
    <row r="40" spans="1:13">
      <c r="D40" s="232"/>
    </row>
    <row r="41" spans="1:13">
      <c r="D41" s="232"/>
    </row>
    <row r="42" spans="1:13">
      <c r="D42" s="232"/>
    </row>
    <row r="43" spans="1:13">
      <c r="D43" s="232"/>
    </row>
    <row r="44" spans="1:13">
      <c r="D44" s="232"/>
    </row>
    <row r="45" spans="1:13">
      <c r="D45" s="232"/>
    </row>
    <row r="46" spans="1:13">
      <c r="D46" s="232"/>
    </row>
    <row r="47" spans="1:13">
      <c r="D47" s="232"/>
    </row>
    <row r="48" spans="1:13">
      <c r="D48" s="232"/>
    </row>
    <row r="49" spans="4:4">
      <c r="D49" s="232"/>
    </row>
    <row r="50" spans="4:4">
      <c r="D50" s="232"/>
    </row>
    <row r="51" spans="4:4">
      <c r="D51" s="232"/>
    </row>
    <row r="52" spans="4:4">
      <c r="D52" s="232"/>
    </row>
    <row r="53" spans="4:4">
      <c r="D53" s="232"/>
    </row>
    <row r="54" spans="4:4">
      <c r="D54" s="232"/>
    </row>
    <row r="55" spans="4:4">
      <c r="D55" s="232"/>
    </row>
    <row r="56" spans="4:4">
      <c r="D56" s="232"/>
    </row>
    <row r="57" spans="4:4">
      <c r="D57" s="232"/>
    </row>
    <row r="58" spans="4:4">
      <c r="D58" s="232"/>
    </row>
    <row r="59" spans="4:4">
      <c r="D59" s="232"/>
    </row>
    <row r="60" spans="4:4">
      <c r="D60" s="232"/>
    </row>
    <row r="61" spans="4:4">
      <c r="D61" s="232"/>
    </row>
    <row r="62" spans="4:4">
      <c r="D62" s="232"/>
    </row>
    <row r="63" spans="4:4">
      <c r="D63" s="232"/>
    </row>
    <row r="64" spans="4:4">
      <c r="D64" s="232"/>
    </row>
    <row r="65" spans="4:4">
      <c r="D65" s="232"/>
    </row>
    <row r="66" spans="4:4">
      <c r="D66" s="232"/>
    </row>
    <row r="67" spans="4:4">
      <c r="D67" s="232"/>
    </row>
    <row r="68" spans="4:4">
      <c r="D68" s="232"/>
    </row>
    <row r="69" spans="4:4">
      <c r="D69" s="232"/>
    </row>
    <row r="70" spans="4:4">
      <c r="D70" s="232"/>
    </row>
    <row r="71" spans="4:4">
      <c r="D71" s="232"/>
    </row>
    <row r="72" spans="4:4">
      <c r="D72" s="232"/>
    </row>
    <row r="73" spans="4:4">
      <c r="D73" s="232"/>
    </row>
    <row r="74" spans="4:4">
      <c r="D74" s="232"/>
    </row>
    <row r="75" spans="4:4">
      <c r="D75" s="232"/>
    </row>
    <row r="76" spans="4:4">
      <c r="D76" s="232"/>
    </row>
    <row r="77" spans="4:4">
      <c r="D77" s="232"/>
    </row>
    <row r="78" spans="4:4">
      <c r="D78" s="232"/>
    </row>
    <row r="79" spans="4:4">
      <c r="D79" s="232"/>
    </row>
    <row r="80" spans="4:4">
      <c r="D80" s="232"/>
    </row>
    <row r="81" spans="4:4">
      <c r="D81" s="232"/>
    </row>
    <row r="82" spans="4:4">
      <c r="D82" s="232"/>
    </row>
    <row r="83" spans="4:4">
      <c r="D83" s="232"/>
    </row>
    <row r="84" spans="4:4">
      <c r="D84" s="232"/>
    </row>
    <row r="85" spans="4:4">
      <c r="D85" s="232"/>
    </row>
    <row r="86" spans="4:4">
      <c r="D86" s="232"/>
    </row>
    <row r="87" spans="4:4">
      <c r="D87" s="232"/>
    </row>
    <row r="88" spans="4:4">
      <c r="D88" s="232"/>
    </row>
    <row r="89" spans="4:4">
      <c r="D89" s="232"/>
    </row>
    <row r="90" spans="4:4">
      <c r="D90" s="232"/>
    </row>
    <row r="91" spans="4:4">
      <c r="D91" s="232"/>
    </row>
    <row r="92" spans="4:4">
      <c r="D92" s="232"/>
    </row>
    <row r="93" spans="4:4">
      <c r="D93" s="232"/>
    </row>
    <row r="94" spans="4:4">
      <c r="D94" s="232"/>
    </row>
    <row r="95" spans="4:4">
      <c r="D95" s="232"/>
    </row>
    <row r="96" spans="4:4">
      <c r="D96" s="232"/>
    </row>
    <row r="97" spans="4:4">
      <c r="D97" s="232"/>
    </row>
    <row r="98" spans="4:4">
      <c r="D98" s="232"/>
    </row>
    <row r="99" spans="4:4">
      <c r="D99" s="232"/>
    </row>
    <row r="100" spans="4:4">
      <c r="D100" s="232"/>
    </row>
    <row r="101" spans="4:4">
      <c r="D101" s="232"/>
    </row>
    <row r="102" spans="4:4">
      <c r="D102" s="232"/>
    </row>
    <row r="103" spans="4:4">
      <c r="D103" s="232"/>
    </row>
    <row r="104" spans="4:4">
      <c r="D104" s="232"/>
    </row>
    <row r="105" spans="4:4">
      <c r="D105" s="232"/>
    </row>
    <row r="106" spans="4:4">
      <c r="D106" s="232"/>
    </row>
    <row r="107" spans="4:4">
      <c r="D107" s="232"/>
    </row>
    <row r="108" spans="4:4">
      <c r="D108" s="232"/>
    </row>
    <row r="109" spans="4:4">
      <c r="D109" s="232"/>
    </row>
    <row r="110" spans="4:4">
      <c r="D110" s="232"/>
    </row>
    <row r="111" spans="4:4">
      <c r="D111" s="232"/>
    </row>
    <row r="112" spans="4:4">
      <c r="D112" s="232"/>
    </row>
    <row r="113" spans="4:4">
      <c r="D113" s="232"/>
    </row>
    <row r="114" spans="4:4">
      <c r="D114" s="232"/>
    </row>
    <row r="115" spans="4:4">
      <c r="D115" s="232"/>
    </row>
    <row r="116" spans="4:4">
      <c r="D116" s="232"/>
    </row>
    <row r="117" spans="4:4">
      <c r="D117" s="232"/>
    </row>
    <row r="118" spans="4:4">
      <c r="D118" s="232"/>
    </row>
    <row r="119" spans="4:4">
      <c r="D119" s="232"/>
    </row>
    <row r="120" spans="4:4">
      <c r="D120" s="232"/>
    </row>
    <row r="121" spans="4:4">
      <c r="D121" s="232"/>
    </row>
    <row r="122" spans="4:4">
      <c r="D122" s="232"/>
    </row>
    <row r="123" spans="4:4">
      <c r="D123" s="232"/>
    </row>
    <row r="124" spans="4:4">
      <c r="D124" s="232"/>
    </row>
    <row r="125" spans="4:4">
      <c r="D125" s="232"/>
    </row>
    <row r="126" spans="4:4">
      <c r="D126" s="232"/>
    </row>
    <row r="127" spans="4:4">
      <c r="D127" s="232"/>
    </row>
    <row r="128" spans="4:4">
      <c r="D128" s="232"/>
    </row>
    <row r="129" spans="4:4">
      <c r="D129" s="232"/>
    </row>
    <row r="130" spans="4:4">
      <c r="D130" s="232"/>
    </row>
    <row r="131" spans="4:4">
      <c r="D131" s="232"/>
    </row>
    <row r="132" spans="4:4">
      <c r="D132" s="232"/>
    </row>
    <row r="133" spans="4:4">
      <c r="D133" s="232"/>
    </row>
    <row r="134" spans="4:4">
      <c r="D134" s="232"/>
    </row>
    <row r="135" spans="4:4">
      <c r="D135" s="232"/>
    </row>
    <row r="136" spans="4:4">
      <c r="D136" s="232"/>
    </row>
    <row r="137" spans="4:4">
      <c r="D137" s="232"/>
    </row>
    <row r="138" spans="4:4">
      <c r="D138" s="232"/>
    </row>
    <row r="139" spans="4:4">
      <c r="D139" s="232"/>
    </row>
    <row r="140" spans="4:4">
      <c r="D140" s="232"/>
    </row>
    <row r="141" spans="4:4">
      <c r="D141" s="232"/>
    </row>
    <row r="142" spans="4:4">
      <c r="D142" s="232"/>
    </row>
    <row r="143" spans="4:4">
      <c r="D143" s="232"/>
    </row>
    <row r="144" spans="4:4">
      <c r="D144" s="232"/>
    </row>
    <row r="145" spans="4:4">
      <c r="D145" s="232"/>
    </row>
    <row r="146" spans="4:4">
      <c r="D146" s="232"/>
    </row>
    <row r="147" spans="4:4">
      <c r="D147" s="232"/>
    </row>
    <row r="148" spans="4:4">
      <c r="D148" s="232"/>
    </row>
    <row r="149" spans="4:4">
      <c r="D149" s="232"/>
    </row>
    <row r="150" spans="4:4">
      <c r="D150" s="232"/>
    </row>
    <row r="151" spans="4:4">
      <c r="D151" s="232"/>
    </row>
    <row r="152" spans="4:4">
      <c r="D152" s="232"/>
    </row>
    <row r="153" spans="4:4">
      <c r="D153" s="232"/>
    </row>
    <row r="154" spans="4:4">
      <c r="D154" s="232"/>
    </row>
    <row r="155" spans="4:4">
      <c r="D155" s="232"/>
    </row>
    <row r="156" spans="4:4">
      <c r="D156" s="232"/>
    </row>
    <row r="157" spans="4:4">
      <c r="D157" s="232"/>
    </row>
    <row r="158" spans="4:4">
      <c r="D158" s="232"/>
    </row>
    <row r="159" spans="4:4">
      <c r="D159" s="232"/>
    </row>
    <row r="160" spans="4:4">
      <c r="D160" s="232"/>
    </row>
    <row r="161" spans="4:4">
      <c r="D161" s="232"/>
    </row>
    <row r="162" spans="4:4">
      <c r="D162" s="232"/>
    </row>
    <row r="163" spans="4:4">
      <c r="D163" s="232"/>
    </row>
    <row r="164" spans="4:4">
      <c r="D164" s="232"/>
    </row>
    <row r="165" spans="4:4">
      <c r="D165" s="232"/>
    </row>
    <row r="166" spans="4:4">
      <c r="D166" s="232"/>
    </row>
    <row r="167" spans="4:4">
      <c r="D167" s="232"/>
    </row>
    <row r="168" spans="4:4">
      <c r="D168" s="232"/>
    </row>
    <row r="169" spans="4:4">
      <c r="D169" s="232"/>
    </row>
    <row r="170" spans="4:4">
      <c r="D170" s="23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3"/>
  <sheetViews>
    <sheetView tabSelected="1" zoomScale="80" zoomScaleNormal="80" workbookViewId="0"/>
  </sheetViews>
  <sheetFormatPr defaultColWidth="8.7109375" defaultRowHeight="15.75"/>
  <cols>
    <col min="1" max="1" width="5.140625" style="600" customWidth="1"/>
    <col min="2" max="2" width="73.140625" style="4" bestFit="1" customWidth="1"/>
    <col min="3" max="3" width="14.85546875" style="4" customWidth="1"/>
    <col min="4" max="4" width="51.42578125" style="4" bestFit="1" customWidth="1"/>
    <col min="5" max="5" width="5.140625" style="600" customWidth="1"/>
    <col min="6" max="16384" width="8.7109375" style="4"/>
  </cols>
  <sheetData>
    <row r="1" spans="1:7">
      <c r="A1" s="972"/>
      <c r="B1" s="1193"/>
      <c r="C1" s="1193"/>
      <c r="D1" s="1193"/>
      <c r="E1" s="972"/>
    </row>
    <row r="2" spans="1:7">
      <c r="A2" s="972"/>
      <c r="B2" s="1615" t="s">
        <v>18</v>
      </c>
      <c r="C2" s="1615"/>
      <c r="D2" s="1615"/>
      <c r="E2" s="1570"/>
    </row>
    <row r="3" spans="1:7">
      <c r="B3" s="1615" t="s">
        <v>1008</v>
      </c>
      <c r="C3" s="1615"/>
      <c r="D3" s="1615"/>
      <c r="E3" s="1198"/>
    </row>
    <row r="4" spans="1:7">
      <c r="B4" s="1615" t="s">
        <v>1016</v>
      </c>
      <c r="C4" s="1615"/>
      <c r="D4" s="1615"/>
      <c r="E4" s="1198"/>
    </row>
    <row r="5" spans="1:7">
      <c r="A5" s="972"/>
      <c r="B5" s="1614" t="str">
        <f>"Rate Effective Period January 1, "&amp;Automation!B6+2 &amp;" to December 31, "&amp;Automation!B6+2</f>
        <v>Rate Effective Period January 1, 2020 to December 31, 2020</v>
      </c>
      <c r="C5" s="1614"/>
      <c r="D5" s="1614"/>
      <c r="E5" s="972"/>
    </row>
    <row r="6" spans="1:7">
      <c r="B6" s="1616" t="s">
        <v>3</v>
      </c>
      <c r="C6" s="1615"/>
      <c r="D6" s="1615"/>
      <c r="E6" s="1198"/>
    </row>
    <row r="7" spans="1:7" ht="16.5" thickBot="1">
      <c r="A7" s="972"/>
      <c r="B7" s="1193"/>
      <c r="C7" s="1207"/>
      <c r="D7" s="1207"/>
      <c r="E7" s="972"/>
    </row>
    <row r="8" spans="1:7">
      <c r="A8" s="973" t="s">
        <v>4</v>
      </c>
      <c r="B8" s="917"/>
      <c r="C8" s="918"/>
      <c r="D8" s="919"/>
      <c r="E8" s="974" t="s">
        <v>4</v>
      </c>
    </row>
    <row r="9" spans="1:7">
      <c r="A9" s="973" t="s">
        <v>25</v>
      </c>
      <c r="B9" s="1412" t="s">
        <v>833</v>
      </c>
      <c r="C9" s="1413" t="s">
        <v>128</v>
      </c>
      <c r="D9" s="145" t="s">
        <v>9</v>
      </c>
      <c r="E9" s="974" t="s">
        <v>25</v>
      </c>
    </row>
    <row r="10" spans="1:7">
      <c r="A10" s="973"/>
      <c r="B10" s="143"/>
      <c r="C10" s="86"/>
      <c r="D10" s="146"/>
      <c r="E10" s="974"/>
    </row>
    <row r="11" spans="1:7">
      <c r="A11" s="973">
        <v>1</v>
      </c>
      <c r="B11" s="1452" t="s">
        <v>286</v>
      </c>
      <c r="C11" s="1020">
        <f>'A. Sec.1 - Direct Maintenance'!E27</f>
        <v>0</v>
      </c>
      <c r="D11" s="147" t="str">
        <f>"Section 1; Page 1; Line "&amp;'A. Sec.1 - Direct Maintenance'!A27</f>
        <v>Section 1; Page 1; Line 17</v>
      </c>
      <c r="E11" s="974">
        <f>A11</f>
        <v>1</v>
      </c>
      <c r="G11" s="1208"/>
    </row>
    <row r="12" spans="1:7">
      <c r="A12" s="973">
        <f>A11+1</f>
        <v>2</v>
      </c>
      <c r="B12" s="1211"/>
      <c r="C12" s="1021"/>
      <c r="D12" s="142"/>
      <c r="E12" s="974">
        <f>E11+1</f>
        <v>2</v>
      </c>
    </row>
    <row r="13" spans="1:7">
      <c r="A13" s="973">
        <f t="shared" ref="A13:A28" si="0">A12+1</f>
        <v>3</v>
      </c>
      <c r="B13" s="1452" t="s">
        <v>287</v>
      </c>
      <c r="C13" s="1022">
        <f>'B. Sec.2 - Non-Direct Expenses'!E35</f>
        <v>823.05279766953902</v>
      </c>
      <c r="D13" s="147" t="str">
        <f>"Section 2; Page 1; Line "&amp;'B. Sec.2 - Non-Direct Expenses'!A35</f>
        <v>Section 2; Page 1; Line 25</v>
      </c>
      <c r="E13" s="974">
        <f t="shared" ref="E13:E28" si="1">E12+1</f>
        <v>3</v>
      </c>
      <c r="G13" s="1209"/>
    </row>
    <row r="14" spans="1:7">
      <c r="A14" s="973">
        <f t="shared" si="0"/>
        <v>4</v>
      </c>
      <c r="B14" s="1211"/>
      <c r="C14" s="1021"/>
      <c r="D14" s="148"/>
      <c r="E14" s="974">
        <f t="shared" si="1"/>
        <v>4</v>
      </c>
    </row>
    <row r="15" spans="1:7">
      <c r="A15" s="973">
        <f t="shared" si="0"/>
        <v>5</v>
      </c>
      <c r="B15" s="1414" t="s">
        <v>288</v>
      </c>
      <c r="C15" s="1417">
        <f>'C. Sec.3 - Other Costs'!G42</f>
        <v>86.807849169600004</v>
      </c>
      <c r="D15" s="1118" t="str">
        <f>"Section 3; Page 1; Line "&amp;'C. Sec.3 - Other Costs'!A42</f>
        <v>Section 3; Page 1; Line 31</v>
      </c>
      <c r="E15" s="974">
        <f t="shared" si="1"/>
        <v>5</v>
      </c>
      <c r="G15" s="1209"/>
    </row>
    <row r="16" spans="1:7">
      <c r="A16" s="973">
        <f t="shared" si="0"/>
        <v>6</v>
      </c>
      <c r="B16" s="89"/>
      <c r="C16" s="1419"/>
      <c r="D16" s="1118"/>
      <c r="E16" s="974">
        <f t="shared" si="1"/>
        <v>6</v>
      </c>
      <c r="G16" s="1209"/>
    </row>
    <row r="17" spans="1:9">
      <c r="A17" s="973">
        <f t="shared" si="0"/>
        <v>7</v>
      </c>
      <c r="B17" s="1415" t="s">
        <v>869</v>
      </c>
      <c r="C17" s="1579">
        <f>C11+C13+C15</f>
        <v>909.86064683913901</v>
      </c>
      <c r="D17" s="152" t="str">
        <f>"Sum Lines "&amp;A11&amp;", "&amp;A13&amp;", "&amp;A15</f>
        <v>Sum Lines 1, 3, 5</v>
      </c>
      <c r="E17" s="974">
        <f t="shared" si="1"/>
        <v>7</v>
      </c>
      <c r="G17" s="1209"/>
    </row>
    <row r="18" spans="1:9">
      <c r="A18" s="973">
        <f t="shared" si="0"/>
        <v>8</v>
      </c>
      <c r="B18" s="144"/>
      <c r="C18" s="1021"/>
      <c r="D18" s="149"/>
      <c r="E18" s="974">
        <f t="shared" si="1"/>
        <v>8</v>
      </c>
    </row>
    <row r="19" spans="1:9">
      <c r="A19" s="973">
        <f t="shared" si="0"/>
        <v>9</v>
      </c>
      <c r="B19" s="1453" t="s">
        <v>608</v>
      </c>
      <c r="C19" s="1121">
        <f>'D. Sec.4 - TU'!M30</f>
        <v>0</v>
      </c>
      <c r="D19" s="1118" t="str">
        <f>"Section 4; Page TU; Col. 11; Line "&amp;'D. Sec.4 - TU'!A30</f>
        <v>Section 4; Page TU; Col. 11; Line 21</v>
      </c>
      <c r="E19" s="974">
        <f t="shared" si="1"/>
        <v>9</v>
      </c>
    </row>
    <row r="20" spans="1:9">
      <c r="A20" s="973">
        <f t="shared" si="0"/>
        <v>10</v>
      </c>
      <c r="B20" s="1452"/>
      <c r="C20" s="1021"/>
      <c r="D20" s="150"/>
      <c r="E20" s="974">
        <f t="shared" si="1"/>
        <v>10</v>
      </c>
    </row>
    <row r="21" spans="1:9">
      <c r="A21" s="973">
        <f t="shared" si="0"/>
        <v>11</v>
      </c>
      <c r="B21" s="1452" t="s">
        <v>289</v>
      </c>
      <c r="C21" s="1361">
        <f>'E1. Sec.5 - Interest TU (CY)'!H30</f>
        <v>0</v>
      </c>
      <c r="D21" s="152" t="str">
        <f>"Section 5; Page Interest TU (CY); Col. 6; Line "&amp;'E1. Sec.5 - Interest TU (CY)'!A30</f>
        <v>Section 5; Page Interest TU (CY); Col. 6; Line 20</v>
      </c>
      <c r="E21" s="974">
        <f t="shared" si="1"/>
        <v>11</v>
      </c>
    </row>
    <row r="22" spans="1:9">
      <c r="A22" s="973">
        <f t="shared" si="0"/>
        <v>12</v>
      </c>
      <c r="B22" s="89"/>
      <c r="C22" s="1019"/>
      <c r="D22" s="151"/>
      <c r="E22" s="974">
        <f t="shared" si="1"/>
        <v>12</v>
      </c>
    </row>
    <row r="23" spans="1:9">
      <c r="A23" s="973">
        <f t="shared" si="0"/>
        <v>13</v>
      </c>
      <c r="B23" s="89" t="s">
        <v>834</v>
      </c>
      <c r="C23" s="325">
        <f>C17+C19+C21</f>
        <v>909.86064683913901</v>
      </c>
      <c r="D23" s="152" t="str">
        <f>"Sum Lines "&amp;A17&amp;", "&amp;A19&amp;", "&amp;A21</f>
        <v>Sum Lines 7, 9, 11</v>
      </c>
      <c r="E23" s="974">
        <f t="shared" si="1"/>
        <v>13</v>
      </c>
      <c r="G23" s="1209"/>
    </row>
    <row r="24" spans="1:9">
      <c r="A24" s="973">
        <f t="shared" si="0"/>
        <v>14</v>
      </c>
      <c r="B24" s="1362"/>
      <c r="C24" s="327"/>
      <c r="D24" s="152"/>
      <c r="E24" s="974">
        <f t="shared" si="1"/>
        <v>14</v>
      </c>
      <c r="G24" s="1209"/>
    </row>
    <row r="25" spans="1:9">
      <c r="A25" s="973">
        <f t="shared" si="0"/>
        <v>15</v>
      </c>
      <c r="B25" s="1414" t="s">
        <v>835</v>
      </c>
      <c r="C25" s="1469">
        <v>0</v>
      </c>
      <c r="D25" s="152" t="s">
        <v>866</v>
      </c>
      <c r="E25" s="974">
        <f t="shared" si="1"/>
        <v>15</v>
      </c>
      <c r="G25" s="1209"/>
    </row>
    <row r="26" spans="1:9">
      <c r="A26" s="973">
        <f t="shared" si="0"/>
        <v>16</v>
      </c>
      <c r="B26" s="98"/>
      <c r="C26" s="1023"/>
      <c r="D26" s="151"/>
      <c r="E26" s="974">
        <f t="shared" si="1"/>
        <v>16</v>
      </c>
    </row>
    <row r="27" spans="1:9" ht="16.5" thickBot="1">
      <c r="A27" s="973">
        <f t="shared" si="0"/>
        <v>17</v>
      </c>
      <c r="B27" s="1415" t="s">
        <v>836</v>
      </c>
      <c r="C27" s="1024">
        <f>C23+C25</f>
        <v>909.86064683913901</v>
      </c>
      <c r="D27" s="151" t="str">
        <f>"Line "&amp;A23&amp;" + Line "&amp;A25</f>
        <v>Line 13 + Line 15</v>
      </c>
      <c r="E27" s="974">
        <f t="shared" si="1"/>
        <v>17</v>
      </c>
      <c r="H27" s="1208"/>
      <c r="I27" s="1210"/>
    </row>
    <row r="28" spans="1:9" ht="17.25" thickTop="1" thickBot="1">
      <c r="A28" s="973">
        <f t="shared" si="0"/>
        <v>18</v>
      </c>
      <c r="B28" s="87"/>
      <c r="C28" s="87"/>
      <c r="D28" s="154"/>
      <c r="E28" s="974">
        <f t="shared" si="1"/>
        <v>18</v>
      </c>
    </row>
    <row r="30" spans="1:9" ht="16.5" thickBot="1">
      <c r="A30" s="972"/>
      <c r="B30" s="1129"/>
      <c r="C30" s="1130"/>
      <c r="D30" s="1130"/>
      <c r="E30" s="972"/>
    </row>
    <row r="31" spans="1:9">
      <c r="A31" s="973" t="s">
        <v>4</v>
      </c>
      <c r="B31" s="85"/>
      <c r="C31" s="85"/>
      <c r="D31" s="142"/>
      <c r="E31" s="974" t="s">
        <v>4</v>
      </c>
    </row>
    <row r="32" spans="1:9">
      <c r="A32" s="973" t="s">
        <v>25</v>
      </c>
      <c r="B32" s="1412" t="s">
        <v>837</v>
      </c>
      <c r="C32" s="1413" t="str">
        <f>C9</f>
        <v>Amounts</v>
      </c>
      <c r="D32" s="145" t="str">
        <f>D9</f>
        <v>Reference</v>
      </c>
      <c r="E32" s="974" t="s">
        <v>25</v>
      </c>
    </row>
    <row r="33" spans="1:5">
      <c r="A33" s="973">
        <f>A28+1</f>
        <v>19</v>
      </c>
      <c r="B33" s="84"/>
      <c r="C33" s="86"/>
      <c r="D33" s="146"/>
      <c r="E33" s="974">
        <f>E28+1</f>
        <v>19</v>
      </c>
    </row>
    <row r="34" spans="1:5">
      <c r="A34" s="973">
        <f>A33+1</f>
        <v>20</v>
      </c>
      <c r="B34" s="1452" t="str">
        <f>B11</f>
        <v>Section 1 - Direct Maintenance Expense Cost Component</v>
      </c>
      <c r="C34" s="1447">
        <f>C11/12</f>
        <v>0</v>
      </c>
      <c r="D34" s="147" t="str">
        <f>"Line "&amp;A11&amp;" / "&amp;C50&amp;" Months"</f>
        <v>Line 1 / 12 Months</v>
      </c>
      <c r="E34" s="974">
        <f>E33+1</f>
        <v>20</v>
      </c>
    </row>
    <row r="35" spans="1:5">
      <c r="A35" s="973">
        <f t="shared" ref="A35:A53" si="2">A34+1</f>
        <v>21</v>
      </c>
      <c r="B35" s="1211"/>
      <c r="C35" s="33"/>
      <c r="D35" s="141"/>
      <c r="E35" s="974">
        <f t="shared" ref="E35:E53" si="3">E34+1</f>
        <v>21</v>
      </c>
    </row>
    <row r="36" spans="1:5">
      <c r="A36" s="973">
        <f t="shared" si="2"/>
        <v>22</v>
      </c>
      <c r="B36" s="1452" t="str">
        <f>B13</f>
        <v>Section 2 - Non-Direct Expense Cost Component</v>
      </c>
      <c r="C36" s="1448">
        <f>C13/12</f>
        <v>68.587733139128247</v>
      </c>
      <c r="D36" s="147" t="str">
        <f>"Line "&amp;A13&amp;" / "&amp;C50&amp;" Months"</f>
        <v>Line 3 / 12 Months</v>
      </c>
      <c r="E36" s="974">
        <f t="shared" si="3"/>
        <v>22</v>
      </c>
    </row>
    <row r="37" spans="1:5">
      <c r="A37" s="973">
        <f t="shared" si="2"/>
        <v>23</v>
      </c>
      <c r="B37" s="1211"/>
      <c r="C37" s="1366"/>
      <c r="D37" s="155"/>
      <c r="E37" s="974">
        <f t="shared" si="3"/>
        <v>23</v>
      </c>
    </row>
    <row r="38" spans="1:5">
      <c r="A38" s="973">
        <f t="shared" si="2"/>
        <v>24</v>
      </c>
      <c r="B38" s="1452" t="str">
        <f>B15</f>
        <v>Section 3 - Cost Component Containing Other Specific Expenses</v>
      </c>
      <c r="C38" s="1449">
        <f>C15/12</f>
        <v>7.2339874308000001</v>
      </c>
      <c r="D38" s="147" t="str">
        <f>"Line "&amp;A15&amp;" / "&amp;C50&amp;" Months"</f>
        <v>Line 5 / 12 Months</v>
      </c>
      <c r="E38" s="974">
        <f t="shared" si="3"/>
        <v>24</v>
      </c>
    </row>
    <row r="39" spans="1:5">
      <c r="A39" s="973">
        <f t="shared" si="2"/>
        <v>25</v>
      </c>
      <c r="B39" s="144"/>
      <c r="C39" s="1365"/>
      <c r="D39" s="1454"/>
      <c r="E39" s="974">
        <f t="shared" si="3"/>
        <v>25</v>
      </c>
    </row>
    <row r="40" spans="1:5">
      <c r="A40" s="973">
        <f t="shared" si="2"/>
        <v>26</v>
      </c>
      <c r="B40" s="1415" t="s">
        <v>870</v>
      </c>
      <c r="C40" s="1580">
        <f>C34+C36+C38</f>
        <v>75.821720569928246</v>
      </c>
      <c r="D40" s="152" t="str">
        <f>"Sum Lines "&amp;A34&amp;", "&amp;A36&amp;", "&amp;A38</f>
        <v>Sum Lines 20, 22, 24</v>
      </c>
      <c r="E40" s="974">
        <f t="shared" si="3"/>
        <v>26</v>
      </c>
    </row>
    <row r="41" spans="1:5">
      <c r="A41" s="973">
        <f t="shared" si="2"/>
        <v>27</v>
      </c>
      <c r="B41" s="84"/>
      <c r="C41" s="1366"/>
      <c r="D41" s="148"/>
      <c r="E41" s="974">
        <f t="shared" si="3"/>
        <v>27</v>
      </c>
    </row>
    <row r="42" spans="1:5">
      <c r="A42" s="973">
        <f t="shared" si="2"/>
        <v>28</v>
      </c>
      <c r="B42" s="1452" t="str">
        <f>LEFT(B19,45)</f>
        <v>Section 4 - True-Up Adjustment Cost Component</v>
      </c>
      <c r="C42" s="1448">
        <f>C19/12</f>
        <v>0</v>
      </c>
      <c r="D42" s="147" t="str">
        <f>"Line "&amp;A19&amp;" / "&amp;C50&amp;" Months"</f>
        <v>Line 9 / 12 Months</v>
      </c>
      <c r="E42" s="974">
        <f t="shared" si="3"/>
        <v>28</v>
      </c>
    </row>
    <row r="43" spans="1:5">
      <c r="A43" s="973">
        <f t="shared" si="2"/>
        <v>29</v>
      </c>
      <c r="B43" s="1452"/>
      <c r="C43" s="1366"/>
      <c r="D43" s="156"/>
      <c r="E43" s="974">
        <f t="shared" si="3"/>
        <v>29</v>
      </c>
    </row>
    <row r="44" spans="1:5">
      <c r="A44" s="973">
        <f t="shared" si="2"/>
        <v>30</v>
      </c>
      <c r="B44" s="1452" t="str">
        <f>B21</f>
        <v>Section 5 - Interest True-Up Adjustment Cost Component</v>
      </c>
      <c r="C44" s="1448">
        <f>C21/12</f>
        <v>0</v>
      </c>
      <c r="D44" s="151" t="str">
        <f>"Line "&amp;A21&amp;" / "&amp;C50&amp;" Months"</f>
        <v>Line 11 / 12 Months</v>
      </c>
      <c r="E44" s="974">
        <f t="shared" si="3"/>
        <v>30</v>
      </c>
    </row>
    <row r="45" spans="1:5">
      <c r="A45" s="973">
        <f t="shared" si="2"/>
        <v>31</v>
      </c>
      <c r="B45" s="144"/>
      <c r="C45" s="1367"/>
      <c r="D45" s="153"/>
      <c r="E45" s="974">
        <f t="shared" si="3"/>
        <v>31</v>
      </c>
    </row>
    <row r="46" spans="1:5">
      <c r="A46" s="973">
        <f t="shared" si="2"/>
        <v>32</v>
      </c>
      <c r="B46" s="1414" t="str">
        <f>B25</f>
        <v>Other Adjustments</v>
      </c>
      <c r="C46" s="1450">
        <f>C25/12</f>
        <v>0</v>
      </c>
      <c r="D46" s="151" t="str">
        <f>"Line "&amp;A25&amp;" / "&amp;C50&amp;" Months"</f>
        <v>Line 15 / 12 Months</v>
      </c>
      <c r="E46" s="974">
        <f t="shared" si="3"/>
        <v>32</v>
      </c>
    </row>
    <row r="47" spans="1:5">
      <c r="A47" s="973">
        <f t="shared" si="2"/>
        <v>33</v>
      </c>
      <c r="B47" s="89"/>
      <c r="C47" s="1369"/>
      <c r="D47" s="1363"/>
      <c r="E47" s="974">
        <f t="shared" si="3"/>
        <v>33</v>
      </c>
    </row>
    <row r="48" spans="1:5" ht="16.5" thickBot="1">
      <c r="A48" s="973">
        <f t="shared" si="2"/>
        <v>34</v>
      </c>
      <c r="B48" s="89" t="s">
        <v>838</v>
      </c>
      <c r="C48" s="1455">
        <f>C40+C42+C44+C46</f>
        <v>75.821720569928246</v>
      </c>
      <c r="D48" s="152" t="str">
        <f>"Sum Lines "&amp;A40&amp;", "&amp;A42&amp;", "&amp;A44&amp;", "&amp;A46</f>
        <v>Sum Lines 26, 28, 30, 32</v>
      </c>
      <c r="E48" s="974">
        <f t="shared" si="3"/>
        <v>34</v>
      </c>
    </row>
    <row r="49" spans="1:5" ht="16.5" thickTop="1">
      <c r="A49" s="973">
        <f t="shared" si="2"/>
        <v>35</v>
      </c>
      <c r="B49" s="84"/>
      <c r="C49" s="32"/>
      <c r="D49" s="157"/>
      <c r="E49" s="974">
        <f t="shared" si="3"/>
        <v>35</v>
      </c>
    </row>
    <row r="50" spans="1:5">
      <c r="A50" s="973">
        <f t="shared" si="2"/>
        <v>36</v>
      </c>
      <c r="B50" s="1211" t="s">
        <v>726</v>
      </c>
      <c r="C50" s="939">
        <v>12</v>
      </c>
      <c r="D50" s="157"/>
      <c r="E50" s="974">
        <f t="shared" si="3"/>
        <v>36</v>
      </c>
    </row>
    <row r="51" spans="1:5">
      <c r="A51" s="973">
        <f t="shared" si="2"/>
        <v>37</v>
      </c>
      <c r="B51" s="84"/>
      <c r="C51" s="32"/>
      <c r="D51" s="158"/>
      <c r="E51" s="974">
        <f t="shared" si="3"/>
        <v>37</v>
      </c>
    </row>
    <row r="52" spans="1:5" ht="16.5" thickBot="1">
      <c r="A52" s="973">
        <f t="shared" si="2"/>
        <v>38</v>
      </c>
      <c r="B52" s="1415" t="str">
        <f>B27</f>
        <v>Total Annual Costs</v>
      </c>
      <c r="C52" s="1017">
        <f>C48*C50</f>
        <v>909.86064683913901</v>
      </c>
      <c r="D52" s="151" t="str">
        <f>"Line "&amp;A48&amp;" x Line "&amp;A50</f>
        <v>Line 34 x Line 36</v>
      </c>
      <c r="E52" s="974">
        <f t="shared" si="3"/>
        <v>38</v>
      </c>
    </row>
    <row r="53" spans="1:5" ht="17.25" thickTop="1" thickBot="1">
      <c r="A53" s="973">
        <f t="shared" si="2"/>
        <v>39</v>
      </c>
      <c r="B53" s="88"/>
      <c r="C53" s="31"/>
      <c r="D53" s="159"/>
      <c r="E53" s="974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4" orientation="portrait" r:id="rId1"/>
  <headerFooter scaleWithDoc="0">
    <oddFooter>&amp;C&amp;"Times New Roman,Regular"&amp;10Summary of Cost Components
Page 1 of 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Z39"/>
  <sheetViews>
    <sheetView zoomScale="80" zoomScaleNormal="80" workbookViewId="0"/>
  </sheetViews>
  <sheetFormatPr defaultColWidth="9.28515625" defaultRowHeight="15.75"/>
  <cols>
    <col min="1" max="1" width="5.28515625" style="1473" customWidth="1"/>
    <col min="2" max="2" width="35.140625" style="1474" customWidth="1"/>
    <col min="3" max="3" width="18.5703125" style="181" customWidth="1"/>
    <col min="4" max="4" width="25.28515625" style="181" customWidth="1"/>
    <col min="5" max="5" width="18.5703125" style="1474" customWidth="1"/>
    <col min="6" max="6" width="62.5703125" style="1474" customWidth="1"/>
    <col min="7" max="7" width="5.28515625" style="1473" customWidth="1"/>
    <col min="8" max="8" width="24" style="1474" customWidth="1"/>
    <col min="9" max="9" width="11" style="1474" customWidth="1"/>
    <col min="10" max="10" width="7.28515625" style="1474" customWidth="1"/>
    <col min="11" max="11" width="9.28515625" style="1474" customWidth="1"/>
    <col min="12" max="12" width="14" style="1474" customWidth="1"/>
    <col min="13" max="13" width="13.42578125" style="1474" customWidth="1"/>
    <col min="14" max="16384" width="9.28515625" style="1474"/>
  </cols>
  <sheetData>
    <row r="2" spans="1:8">
      <c r="B2" s="1635" t="s">
        <v>18</v>
      </c>
      <c r="C2" s="1635"/>
      <c r="D2" s="1635"/>
      <c r="E2" s="1635"/>
      <c r="F2" s="1635"/>
    </row>
    <row r="3" spans="1:8">
      <c r="B3" s="1635" t="s">
        <v>19</v>
      </c>
      <c r="C3" s="1635"/>
      <c r="D3" s="1635"/>
      <c r="E3" s="1635"/>
      <c r="F3" s="1635"/>
    </row>
    <row r="4" spans="1:8">
      <c r="B4" s="1635" t="s">
        <v>20</v>
      </c>
      <c r="C4" s="1635"/>
      <c r="D4" s="1635"/>
      <c r="E4" s="1635"/>
      <c r="F4" s="1635"/>
    </row>
    <row r="5" spans="1:8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  <c r="H5" s="205"/>
    </row>
    <row r="6" spans="1:8">
      <c r="B6" s="1640" t="s">
        <v>3</v>
      </c>
      <c r="C6" s="1640"/>
      <c r="D6" s="1640"/>
      <c r="E6" s="1640"/>
      <c r="F6" s="1640"/>
    </row>
    <row r="7" spans="1:8">
      <c r="B7" s="177"/>
      <c r="C7" s="178"/>
      <c r="D7" s="178"/>
      <c r="E7" s="177"/>
      <c r="F7" s="177"/>
    </row>
    <row r="8" spans="1:8">
      <c r="B8" s="1635" t="s">
        <v>936</v>
      </c>
      <c r="C8" s="1641"/>
      <c r="D8" s="1641"/>
      <c r="E8" s="1641"/>
      <c r="F8" s="1641"/>
    </row>
    <row r="10" spans="1:8">
      <c r="B10" s="1485"/>
      <c r="C10" s="1486" t="s">
        <v>31</v>
      </c>
      <c r="D10" s="1487"/>
      <c r="E10" s="1486"/>
      <c r="F10" s="1487"/>
    </row>
    <row r="11" spans="1:8">
      <c r="B11" s="187"/>
      <c r="C11" s="195" t="s">
        <v>937</v>
      </c>
      <c r="D11" s="187"/>
      <c r="E11" s="195" t="s">
        <v>937</v>
      </c>
      <c r="F11" s="187"/>
    </row>
    <row r="12" spans="1:8">
      <c r="A12" s="1478"/>
      <c r="B12" s="194"/>
      <c r="C12" s="188" t="s">
        <v>59</v>
      </c>
      <c r="D12" s="187"/>
      <c r="E12" s="195" t="s">
        <v>938</v>
      </c>
      <c r="F12" s="187"/>
      <c r="G12" s="1478"/>
    </row>
    <row r="13" spans="1:8">
      <c r="A13" s="1478" t="s">
        <v>4</v>
      </c>
      <c r="B13" s="194"/>
      <c r="C13" s="188" t="s">
        <v>57</v>
      </c>
      <c r="D13" s="189"/>
      <c r="E13" s="195" t="s">
        <v>57</v>
      </c>
      <c r="F13" s="189"/>
      <c r="G13" s="1478" t="s">
        <v>4</v>
      </c>
    </row>
    <row r="14" spans="1:8">
      <c r="A14" s="1478" t="s">
        <v>25</v>
      </c>
      <c r="B14" s="1488" t="s">
        <v>23</v>
      </c>
      <c r="C14" s="1489" t="s">
        <v>35</v>
      </c>
      <c r="D14" s="1490" t="s">
        <v>9</v>
      </c>
      <c r="E14" s="199" t="s">
        <v>34</v>
      </c>
      <c r="F14" s="1490" t="s">
        <v>9</v>
      </c>
      <c r="G14" s="1478" t="s">
        <v>25</v>
      </c>
    </row>
    <row r="15" spans="1:8">
      <c r="A15" s="1478">
        <v>1</v>
      </c>
      <c r="B15" s="200" t="str">
        <f>"Dec-"&amp;RIGHT(Automation!$B$6-1,2)</f>
        <v>Dec-17</v>
      </c>
      <c r="C15" s="244">
        <v>0</v>
      </c>
      <c r="D15" s="202" t="s">
        <v>442</v>
      </c>
      <c r="E15" s="1491">
        <v>0</v>
      </c>
      <c r="F15" s="202" t="s">
        <v>442</v>
      </c>
      <c r="G15" s="1478">
        <f>A15</f>
        <v>1</v>
      </c>
      <c r="H15" s="205"/>
    </row>
    <row r="16" spans="1:8">
      <c r="A16" s="1478">
        <f>A15+1</f>
        <v>2</v>
      </c>
      <c r="B16" s="200" t="str">
        <f>"Jan-"&amp;RIGHT(Automation!$B$6,2)</f>
        <v>Jan-18</v>
      </c>
      <c r="C16" s="245">
        <v>0</v>
      </c>
      <c r="D16" s="209"/>
      <c r="E16" s="1492">
        <v>0</v>
      </c>
      <c r="F16" s="209"/>
      <c r="G16" s="1478">
        <f>G15+1</f>
        <v>2</v>
      </c>
      <c r="H16" s="205"/>
    </row>
    <row r="17" spans="1:26">
      <c r="A17" s="1478">
        <f t="shared" ref="A17:A33" si="0">A16+1</f>
        <v>3</v>
      </c>
      <c r="B17" s="200" t="s">
        <v>36</v>
      </c>
      <c r="C17" s="245">
        <v>0</v>
      </c>
      <c r="D17" s="209"/>
      <c r="E17" s="1492">
        <v>0</v>
      </c>
      <c r="F17" s="209"/>
      <c r="G17" s="1478">
        <f t="shared" ref="G17:G33" si="1">G16+1</f>
        <v>3</v>
      </c>
      <c r="H17" s="242"/>
    </row>
    <row r="18" spans="1:26">
      <c r="A18" s="1478">
        <f t="shared" si="0"/>
        <v>4</v>
      </c>
      <c r="B18" s="200" t="s">
        <v>37</v>
      </c>
      <c r="C18" s="245">
        <v>0</v>
      </c>
      <c r="D18" s="209"/>
      <c r="E18" s="1492">
        <v>0</v>
      </c>
      <c r="F18" s="209"/>
      <c r="G18" s="1478">
        <f t="shared" si="1"/>
        <v>4</v>
      </c>
      <c r="H18" s="242"/>
    </row>
    <row r="19" spans="1:26">
      <c r="A19" s="1478">
        <f t="shared" si="0"/>
        <v>5</v>
      </c>
      <c r="B19" s="200" t="s">
        <v>38</v>
      </c>
      <c r="C19" s="245">
        <v>0</v>
      </c>
      <c r="D19" s="209"/>
      <c r="E19" s="1492">
        <v>0</v>
      </c>
      <c r="F19" s="209"/>
      <c r="G19" s="1478">
        <f t="shared" si="1"/>
        <v>5</v>
      </c>
      <c r="H19" s="242"/>
    </row>
    <row r="20" spans="1:26">
      <c r="A20" s="1478">
        <f t="shared" si="0"/>
        <v>6</v>
      </c>
      <c r="B20" s="200" t="s">
        <v>39</v>
      </c>
      <c r="C20" s="245">
        <v>0</v>
      </c>
      <c r="D20" s="209"/>
      <c r="E20" s="1492">
        <v>0</v>
      </c>
      <c r="F20" s="209"/>
      <c r="G20" s="1478">
        <f t="shared" si="1"/>
        <v>6</v>
      </c>
      <c r="H20" s="242"/>
    </row>
    <row r="21" spans="1:26">
      <c r="A21" s="1478">
        <f>A20+1</f>
        <v>7</v>
      </c>
      <c r="B21" s="200" t="s">
        <v>40</v>
      </c>
      <c r="C21" s="245">
        <v>0</v>
      </c>
      <c r="D21" s="209"/>
      <c r="E21" s="1492">
        <v>0</v>
      </c>
      <c r="F21" s="209"/>
      <c r="G21" s="1478">
        <f>G20+1</f>
        <v>7</v>
      </c>
      <c r="H21" s="242"/>
    </row>
    <row r="22" spans="1:26">
      <c r="A22" s="1478">
        <f t="shared" si="0"/>
        <v>8</v>
      </c>
      <c r="B22" s="200" t="s">
        <v>41</v>
      </c>
      <c r="C22" s="245">
        <v>0</v>
      </c>
      <c r="D22" s="209"/>
      <c r="E22" s="1492">
        <v>0</v>
      </c>
      <c r="F22" s="209"/>
      <c r="G22" s="1478">
        <f t="shared" si="1"/>
        <v>8</v>
      </c>
      <c r="H22" s="242"/>
    </row>
    <row r="23" spans="1:26">
      <c r="A23" s="1478">
        <f t="shared" si="0"/>
        <v>9</v>
      </c>
      <c r="B23" s="200" t="s">
        <v>42</v>
      </c>
      <c r="C23" s="245">
        <v>0</v>
      </c>
      <c r="D23" s="209"/>
      <c r="E23" s="1492">
        <v>0</v>
      </c>
      <c r="F23" s="209"/>
      <c r="G23" s="1478">
        <f t="shared" si="1"/>
        <v>9</v>
      </c>
      <c r="H23" s="242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>
      <c r="A24" s="1478">
        <f t="shared" si="0"/>
        <v>10</v>
      </c>
      <c r="B24" s="200" t="s">
        <v>43</v>
      </c>
      <c r="C24" s="245">
        <v>0</v>
      </c>
      <c r="D24" s="209"/>
      <c r="E24" s="1492">
        <v>0</v>
      </c>
      <c r="F24" s="209"/>
      <c r="G24" s="1478">
        <f t="shared" si="1"/>
        <v>10</v>
      </c>
      <c r="H24" s="242"/>
    </row>
    <row r="25" spans="1:26">
      <c r="A25" s="1478">
        <f t="shared" si="0"/>
        <v>11</v>
      </c>
      <c r="B25" s="200" t="s">
        <v>44</v>
      </c>
      <c r="C25" s="245">
        <v>0</v>
      </c>
      <c r="D25" s="209"/>
      <c r="E25" s="1492">
        <v>0</v>
      </c>
      <c r="F25" s="209"/>
      <c r="G25" s="1478">
        <f t="shared" si="1"/>
        <v>11</v>
      </c>
      <c r="H25" s="242"/>
    </row>
    <row r="26" spans="1:26">
      <c r="A26" s="1478">
        <f t="shared" si="0"/>
        <v>12</v>
      </c>
      <c r="B26" s="200" t="s">
        <v>45</v>
      </c>
      <c r="C26" s="245">
        <v>0</v>
      </c>
      <c r="D26" s="209"/>
      <c r="E26" s="1492">
        <v>0</v>
      </c>
      <c r="F26" s="209"/>
      <c r="G26" s="1478">
        <f t="shared" si="1"/>
        <v>12</v>
      </c>
      <c r="H26" s="242"/>
    </row>
    <row r="27" spans="1:26">
      <c r="A27" s="1478">
        <f t="shared" si="0"/>
        <v>13</v>
      </c>
      <c r="B27" s="1493" t="str">
        <f>"Dec-"&amp;RIGHT(Automation!$B$6,2)</f>
        <v>Dec-18</v>
      </c>
      <c r="C27" s="1494">
        <v>0</v>
      </c>
      <c r="D27" s="1495" t="s">
        <v>442</v>
      </c>
      <c r="E27" s="1496">
        <v>0</v>
      </c>
      <c r="F27" s="1495" t="s">
        <v>442</v>
      </c>
      <c r="G27" s="1478">
        <f t="shared" si="1"/>
        <v>13</v>
      </c>
      <c r="H27" s="205"/>
    </row>
    <row r="28" spans="1:26">
      <c r="A28" s="1478">
        <f t="shared" si="0"/>
        <v>14</v>
      </c>
      <c r="B28" s="214"/>
      <c r="C28" s="1497"/>
      <c r="D28" s="259"/>
      <c r="E28" s="248"/>
      <c r="F28" s="1498"/>
      <c r="G28" s="1478">
        <f t="shared" si="1"/>
        <v>14</v>
      </c>
      <c r="H28" s="242"/>
    </row>
    <row r="29" spans="1:26">
      <c r="A29" s="1478">
        <f t="shared" si="0"/>
        <v>15</v>
      </c>
      <c r="B29" s="214" t="s">
        <v>46</v>
      </c>
      <c r="C29" s="249">
        <f>SUM(C15:C27)</f>
        <v>0</v>
      </c>
      <c r="D29" s="870" t="str">
        <f>"Sum Lines "&amp;A15&amp;" thru "&amp;A27</f>
        <v>Sum Lines 1 thru 13</v>
      </c>
      <c r="E29" s="249">
        <f>SUM(E15:E27)</f>
        <v>0</v>
      </c>
      <c r="F29" s="869" t="str">
        <f>"Sum Lines "&amp;A15&amp;" thru "&amp;A27</f>
        <v>Sum Lines 1 thru 13</v>
      </c>
      <c r="G29" s="1478">
        <f t="shared" si="1"/>
        <v>15</v>
      </c>
      <c r="H29" s="242"/>
    </row>
    <row r="30" spans="1:26">
      <c r="A30" s="1478">
        <f t="shared" si="0"/>
        <v>16</v>
      </c>
      <c r="B30" s="1499"/>
      <c r="C30" s="250"/>
      <c r="D30" s="1500"/>
      <c r="E30" s="250"/>
      <c r="F30" s="1501"/>
      <c r="G30" s="1478">
        <f t="shared" si="1"/>
        <v>16</v>
      </c>
      <c r="H30" s="242"/>
    </row>
    <row r="31" spans="1:26">
      <c r="A31" s="1478">
        <f t="shared" si="0"/>
        <v>17</v>
      </c>
      <c r="B31" s="214"/>
      <c r="C31" s="248"/>
      <c r="D31" s="261"/>
      <c r="E31" s="248"/>
      <c r="F31" s="1502"/>
      <c r="G31" s="1478">
        <f t="shared" si="1"/>
        <v>17</v>
      </c>
      <c r="H31" s="242"/>
    </row>
    <row r="32" spans="1:26">
      <c r="A32" s="1478">
        <f t="shared" si="0"/>
        <v>18</v>
      </c>
      <c r="B32" s="214" t="s">
        <v>47</v>
      </c>
      <c r="C32" s="265">
        <f>C29/13</f>
        <v>0</v>
      </c>
      <c r="D32" s="870" t="str">
        <f>"Average of Lines "&amp;A15&amp;" thru "&amp;A27</f>
        <v>Average of Lines 1 thru 13</v>
      </c>
      <c r="E32" s="265">
        <f>E29/13</f>
        <v>0</v>
      </c>
      <c r="F32" s="869" t="str">
        <f>"Average of Lines "&amp;A15&amp;" thru "&amp;A27</f>
        <v>Average of Lines 1 thru 13</v>
      </c>
      <c r="G32" s="1478">
        <f t="shared" si="1"/>
        <v>18</v>
      </c>
      <c r="H32" s="242"/>
    </row>
    <row r="33" spans="1:8">
      <c r="A33" s="1478">
        <f t="shared" si="0"/>
        <v>19</v>
      </c>
      <c r="B33" s="1499"/>
      <c r="C33" s="250"/>
      <c r="D33" s="1503"/>
      <c r="E33" s="250"/>
      <c r="F33" s="1501"/>
      <c r="G33" s="1478">
        <f t="shared" si="1"/>
        <v>19</v>
      </c>
      <c r="H33" s="242"/>
    </row>
    <row r="34" spans="1:8">
      <c r="B34" s="1356"/>
      <c r="C34" s="251"/>
      <c r="D34" s="251"/>
      <c r="E34" s="251"/>
      <c r="F34" s="253"/>
      <c r="G34" s="1504"/>
      <c r="H34" s="242"/>
    </row>
    <row r="35" spans="1:8">
      <c r="B35" s="298"/>
      <c r="C35" s="253"/>
      <c r="D35" s="253"/>
      <c r="E35" s="253"/>
      <c r="F35" s="253"/>
      <c r="G35" s="988"/>
      <c r="H35" s="242"/>
    </row>
    <row r="36" spans="1:8">
      <c r="B36" s="1356"/>
      <c r="C36" s="253"/>
      <c r="D36" s="253"/>
      <c r="E36" s="253"/>
      <c r="F36" s="253"/>
      <c r="G36" s="988"/>
      <c r="H36" s="242"/>
    </row>
    <row r="37" spans="1:8">
      <c r="B37" s="1356"/>
      <c r="C37" s="253"/>
      <c r="D37" s="253"/>
      <c r="E37" s="253"/>
      <c r="F37" s="253"/>
      <c r="G37" s="988"/>
      <c r="H37" s="242"/>
    </row>
    <row r="38" spans="1:8">
      <c r="B38" s="1356"/>
      <c r="C38" s="253"/>
      <c r="D38" s="253"/>
      <c r="E38" s="253"/>
      <c r="F38" s="253"/>
      <c r="G38" s="988"/>
      <c r="H38" s="242"/>
    </row>
    <row r="39" spans="1:8">
      <c r="C39" s="254"/>
      <c r="D39" s="254"/>
      <c r="E39" s="242"/>
      <c r="F39" s="242"/>
      <c r="G39" s="988"/>
      <c r="H39" s="24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L41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140625" style="175" customWidth="1"/>
    <col min="3" max="3" width="18.5703125" style="175" customWidth="1"/>
    <col min="4" max="4" width="62.5703125" style="175" customWidth="1"/>
    <col min="5" max="5" width="5.28515625" style="928" customWidth="1"/>
    <col min="6" max="6" width="11" style="175" customWidth="1"/>
    <col min="7" max="7" width="7.28515625" style="175" customWidth="1"/>
    <col min="8" max="8" width="9.28515625" style="175" customWidth="1"/>
    <col min="9" max="9" width="14" style="175" customWidth="1"/>
    <col min="10" max="10" width="13.42578125" style="175" customWidth="1"/>
    <col min="11" max="16384" width="9.140625" style="175"/>
  </cols>
  <sheetData>
    <row r="2" spans="1:6">
      <c r="B2" s="1635" t="s">
        <v>18</v>
      </c>
      <c r="C2" s="1635"/>
      <c r="D2" s="1635"/>
    </row>
    <row r="3" spans="1:6">
      <c r="B3" s="1635" t="s">
        <v>19</v>
      </c>
      <c r="C3" s="1635"/>
      <c r="D3" s="1635"/>
    </row>
    <row r="4" spans="1:6">
      <c r="B4" s="1635" t="s">
        <v>20</v>
      </c>
      <c r="C4" s="1635"/>
      <c r="D4" s="163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</row>
    <row r="6" spans="1:6">
      <c r="B6" s="1640" t="s">
        <v>3</v>
      </c>
      <c r="C6" s="1640"/>
      <c r="D6" s="1640"/>
    </row>
    <row r="7" spans="1:6">
      <c r="B7" s="177"/>
      <c r="C7" s="177"/>
      <c r="D7" s="177"/>
    </row>
    <row r="8" spans="1:6">
      <c r="B8" s="1635" t="s">
        <v>21</v>
      </c>
      <c r="C8" s="1635"/>
      <c r="D8" s="1635"/>
    </row>
    <row r="10" spans="1:6">
      <c r="B10" s="360"/>
      <c r="C10" s="361" t="s">
        <v>22</v>
      </c>
      <c r="D10" s="362"/>
      <c r="E10" s="932"/>
    </row>
    <row r="11" spans="1:6">
      <c r="A11" s="192" t="s">
        <v>4</v>
      </c>
      <c r="B11" s="315"/>
      <c r="C11" s="187" t="s">
        <v>24</v>
      </c>
      <c r="D11" s="363"/>
      <c r="E11" s="932" t="s">
        <v>4</v>
      </c>
    </row>
    <row r="12" spans="1:6">
      <c r="A12" s="192" t="s">
        <v>25</v>
      </c>
      <c r="B12" s="364" t="s">
        <v>23</v>
      </c>
      <c r="C12" s="196" t="s">
        <v>26</v>
      </c>
      <c r="D12" s="199" t="s">
        <v>9</v>
      </c>
      <c r="E12" s="932" t="s">
        <v>25</v>
      </c>
    </row>
    <row r="13" spans="1:6">
      <c r="A13" s="277"/>
      <c r="B13" s="365"/>
      <c r="C13" s="366"/>
      <c r="D13" s="367"/>
      <c r="E13" s="277"/>
    </row>
    <row r="14" spans="1:6">
      <c r="A14" s="192">
        <v>1</v>
      </c>
      <c r="B14" s="368" t="str">
        <f>"Dec-"&amp;RIGHT(Automation!$B$6-1,2)</f>
        <v>Dec-17</v>
      </c>
      <c r="C14" s="369">
        <v>174135.17361000003</v>
      </c>
      <c r="D14" s="921" t="s">
        <v>715</v>
      </c>
      <c r="E14" s="932">
        <f>A14</f>
        <v>1</v>
      </c>
      <c r="F14" s="205"/>
    </row>
    <row r="15" spans="1:6">
      <c r="A15" s="192">
        <f>A14+1</f>
        <v>2</v>
      </c>
      <c r="B15" s="370"/>
      <c r="C15" s="294"/>
      <c r="D15" s="371"/>
      <c r="E15" s="932">
        <f>E14+1</f>
        <v>2</v>
      </c>
    </row>
    <row r="16" spans="1:6">
      <c r="A16" s="192">
        <f t="shared" ref="A16:A20" si="0">A15+1</f>
        <v>3</v>
      </c>
      <c r="B16" s="368" t="str">
        <f>"Dec-"&amp;RIGHT(Automation!$B$6,2)</f>
        <v>Dec-18</v>
      </c>
      <c r="C16" s="335">
        <v>180374.36829000001</v>
      </c>
      <c r="D16" s="921" t="s">
        <v>713</v>
      </c>
      <c r="E16" s="932">
        <f t="shared" ref="E16:E20" si="1">E15+1</f>
        <v>3</v>
      </c>
      <c r="F16" s="205"/>
    </row>
    <row r="17" spans="1:12">
      <c r="A17" s="192">
        <f t="shared" si="0"/>
        <v>4</v>
      </c>
      <c r="B17" s="372"/>
      <c r="C17" s="373"/>
      <c r="D17" s="374"/>
      <c r="E17" s="932">
        <f t="shared" si="1"/>
        <v>4</v>
      </c>
    </row>
    <row r="18" spans="1:12">
      <c r="A18" s="192">
        <f t="shared" si="0"/>
        <v>5</v>
      </c>
      <c r="B18" s="360"/>
      <c r="C18" s="375"/>
      <c r="D18" s="376"/>
      <c r="E18" s="932">
        <f t="shared" si="1"/>
        <v>5</v>
      </c>
    </row>
    <row r="19" spans="1:12">
      <c r="A19" s="192">
        <f t="shared" si="0"/>
        <v>6</v>
      </c>
      <c r="B19" s="372" t="s">
        <v>27</v>
      </c>
      <c r="C19" s="377">
        <f>(C14+C16)/2</f>
        <v>177254.77095000003</v>
      </c>
      <c r="D19" s="378" t="str">
        <f>"Average of Line "&amp;A14&amp;" and Line "&amp;A16</f>
        <v>Average of Line 1 and Line 3</v>
      </c>
      <c r="E19" s="932">
        <f t="shared" si="1"/>
        <v>6</v>
      </c>
    </row>
    <row r="20" spans="1:12">
      <c r="A20" s="192">
        <f t="shared" si="0"/>
        <v>7</v>
      </c>
      <c r="B20" s="379"/>
      <c r="C20" s="380"/>
      <c r="D20" s="250"/>
      <c r="E20" s="932">
        <f t="shared" si="1"/>
        <v>7</v>
      </c>
    </row>
    <row r="21" spans="1:12">
      <c r="A21" s="192"/>
      <c r="B21" s="232"/>
      <c r="C21" s="381"/>
      <c r="D21" s="232"/>
      <c r="E21" s="932"/>
    </row>
    <row r="22" spans="1:12">
      <c r="B22" s="232"/>
      <c r="C22" s="232"/>
      <c r="D22" s="232"/>
      <c r="E22" s="932"/>
    </row>
    <row r="23" spans="1:12">
      <c r="B23" s="232"/>
      <c r="C23" s="232"/>
      <c r="D23" s="232"/>
      <c r="L23" s="210"/>
    </row>
    <row r="24" spans="1:12">
      <c r="B24" s="232"/>
      <c r="C24" s="232"/>
      <c r="D24" s="232"/>
    </row>
    <row r="25" spans="1:12">
      <c r="B25" s="232"/>
      <c r="C25" s="232"/>
      <c r="D25" s="232"/>
    </row>
    <row r="26" spans="1:12">
      <c r="B26" s="232"/>
      <c r="C26" s="232"/>
      <c r="D26" s="232"/>
    </row>
    <row r="27" spans="1:12">
      <c r="B27" s="232"/>
      <c r="C27" s="232"/>
      <c r="D27" s="232"/>
    </row>
    <row r="28" spans="1:12">
      <c r="B28" s="232"/>
      <c r="C28" s="232"/>
      <c r="D28" s="232"/>
    </row>
    <row r="29" spans="1:12">
      <c r="B29" s="232"/>
      <c r="C29" s="232"/>
      <c r="D29" s="232"/>
    </row>
    <row r="30" spans="1:12">
      <c r="B30" s="232"/>
      <c r="C30" s="232"/>
      <c r="D30" s="232"/>
    </row>
    <row r="31" spans="1:12">
      <c r="B31" s="232"/>
      <c r="C31" s="232"/>
      <c r="D31" s="232"/>
    </row>
    <row r="32" spans="1:12">
      <c r="B32" s="232"/>
      <c r="C32" s="232"/>
      <c r="D32" s="232"/>
    </row>
    <row r="33" spans="1:5">
      <c r="B33" s="232"/>
      <c r="C33" s="232"/>
      <c r="D33" s="232"/>
    </row>
    <row r="34" spans="1:5">
      <c r="B34" s="232"/>
      <c r="C34" s="232"/>
      <c r="D34" s="232"/>
    </row>
    <row r="35" spans="1:5" s="232" customFormat="1">
      <c r="A35" s="192"/>
      <c r="E35" s="932"/>
    </row>
    <row r="36" spans="1:5" s="232" customFormat="1">
      <c r="A36" s="192"/>
      <c r="E36" s="932"/>
    </row>
    <row r="37" spans="1:5" s="232" customFormat="1">
      <c r="A37" s="192"/>
      <c r="E37" s="932"/>
    </row>
    <row r="38" spans="1:5" s="232" customFormat="1">
      <c r="A38" s="192"/>
      <c r="E38" s="932"/>
    </row>
    <row r="39" spans="1:5" s="232" customFormat="1">
      <c r="A39" s="192"/>
      <c r="E39" s="932"/>
    </row>
    <row r="40" spans="1:5" s="232" customFormat="1">
      <c r="A40" s="192"/>
      <c r="E40" s="932"/>
    </row>
    <row r="41" spans="1:5" s="232" customFormat="1">
      <c r="A41" s="192"/>
      <c r="E41" s="93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L41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28515625" style="175" customWidth="1"/>
    <col min="3" max="3" width="18.5703125" style="175" customWidth="1"/>
    <col min="4" max="4" width="62.5703125" style="175" customWidth="1"/>
    <col min="5" max="5" width="5.140625" style="928" customWidth="1"/>
    <col min="6" max="6" width="25.140625" style="175" customWidth="1"/>
    <col min="7" max="7" width="7.28515625" style="175" customWidth="1"/>
    <col min="8" max="8" width="17.42578125" style="175" customWidth="1"/>
    <col min="9" max="9" width="14" style="175" customWidth="1"/>
    <col min="10" max="10" width="13.42578125" style="175" customWidth="1"/>
    <col min="11" max="16384" width="9.140625" style="175"/>
  </cols>
  <sheetData>
    <row r="2" spans="1:6">
      <c r="B2" s="1635" t="s">
        <v>18</v>
      </c>
      <c r="C2" s="1635"/>
      <c r="D2" s="1635"/>
    </row>
    <row r="3" spans="1:6">
      <c r="B3" s="1635" t="s">
        <v>19</v>
      </c>
      <c r="C3" s="1635"/>
      <c r="D3" s="1635"/>
    </row>
    <row r="4" spans="1:6">
      <c r="B4" s="1635" t="s">
        <v>20</v>
      </c>
      <c r="C4" s="1635"/>
      <c r="D4" s="163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</row>
    <row r="6" spans="1:6">
      <c r="B6" s="1640" t="s">
        <v>3</v>
      </c>
      <c r="C6" s="1640"/>
      <c r="D6" s="1640"/>
    </row>
    <row r="7" spans="1:6">
      <c r="B7" s="177"/>
      <c r="C7" s="177"/>
      <c r="D7" s="177"/>
    </row>
    <row r="8" spans="1:6">
      <c r="B8" s="1635" t="s">
        <v>94</v>
      </c>
      <c r="C8" s="1635"/>
      <c r="D8" s="1635"/>
      <c r="E8" s="932"/>
    </row>
    <row r="9" spans="1:6">
      <c r="A9" s="192"/>
      <c r="E9" s="932"/>
    </row>
    <row r="10" spans="1:6">
      <c r="A10" s="192"/>
      <c r="B10" s="360"/>
      <c r="C10" s="361" t="s">
        <v>22</v>
      </c>
      <c r="D10" s="382"/>
      <c r="E10" s="932"/>
    </row>
    <row r="11" spans="1:6">
      <c r="A11" s="192" t="s">
        <v>4</v>
      </c>
      <c r="B11" s="315"/>
      <c r="C11" s="187" t="s">
        <v>95</v>
      </c>
      <c r="D11" s="309"/>
      <c r="E11" s="932" t="s">
        <v>4</v>
      </c>
    </row>
    <row r="12" spans="1:6">
      <c r="A12" s="192" t="s">
        <v>25</v>
      </c>
      <c r="B12" s="364" t="s">
        <v>23</v>
      </c>
      <c r="C12" s="196" t="s">
        <v>26</v>
      </c>
      <c r="D12" s="196" t="s">
        <v>9</v>
      </c>
      <c r="E12" s="932" t="s">
        <v>25</v>
      </c>
    </row>
    <row r="13" spans="1:6">
      <c r="A13" s="277"/>
      <c r="B13" s="365"/>
      <c r="C13" s="366"/>
      <c r="D13" s="384"/>
      <c r="E13" s="277"/>
    </row>
    <row r="14" spans="1:6">
      <c r="A14" s="192">
        <v>1</v>
      </c>
      <c r="B14" s="368" t="str">
        <f>"Dec-"&amp;RIGHT(Automation!$B$6-1,2)</f>
        <v>Dec-17</v>
      </c>
      <c r="C14" s="369">
        <v>383134.48669000005</v>
      </c>
      <c r="D14" s="281" t="s">
        <v>715</v>
      </c>
      <c r="E14" s="932">
        <f>A14</f>
        <v>1</v>
      </c>
      <c r="F14" s="205"/>
    </row>
    <row r="15" spans="1:6">
      <c r="A15" s="192">
        <f>A14+1</f>
        <v>2</v>
      </c>
      <c r="B15" s="370"/>
      <c r="C15" s="294"/>
      <c r="D15" s="294"/>
      <c r="E15" s="932">
        <f>E14+1</f>
        <v>2</v>
      </c>
    </row>
    <row r="16" spans="1:6">
      <c r="A16" s="192">
        <f t="shared" ref="A16:A20" si="0">A15+1</f>
        <v>3</v>
      </c>
      <c r="B16" s="368" t="str">
        <f>"Dec-"&amp;RIGHT(Automation!$B$6,2)</f>
        <v>Dec-18</v>
      </c>
      <c r="C16" s="335">
        <v>429248.65587999998</v>
      </c>
      <c r="D16" s="281" t="s">
        <v>713</v>
      </c>
      <c r="E16" s="932">
        <f t="shared" ref="E16:E20" si="1">E15+1</f>
        <v>3</v>
      </c>
      <c r="F16" s="205"/>
    </row>
    <row r="17" spans="1:12">
      <c r="A17" s="192">
        <f t="shared" si="0"/>
        <v>4</v>
      </c>
      <c r="B17" s="372"/>
      <c r="C17" s="373"/>
      <c r="D17" s="373"/>
      <c r="E17" s="932">
        <f t="shared" si="1"/>
        <v>4</v>
      </c>
    </row>
    <row r="18" spans="1:12">
      <c r="A18" s="192">
        <f t="shared" si="0"/>
        <v>5</v>
      </c>
      <c r="B18" s="360"/>
      <c r="C18" s="375"/>
      <c r="D18" s="384"/>
      <c r="E18" s="932">
        <f t="shared" si="1"/>
        <v>5</v>
      </c>
    </row>
    <row r="19" spans="1:12">
      <c r="A19" s="192">
        <f t="shared" si="0"/>
        <v>6</v>
      </c>
      <c r="B19" s="372" t="s">
        <v>27</v>
      </c>
      <c r="C19" s="386">
        <f>(C14+C16)/2</f>
        <v>406191.57128500001</v>
      </c>
      <c r="D19" s="387" t="str">
        <f>"Average of Line "&amp;A14&amp;" and Line "&amp;A16</f>
        <v>Average of Line 1 and Line 3</v>
      </c>
      <c r="E19" s="932">
        <f t="shared" si="1"/>
        <v>6</v>
      </c>
    </row>
    <row r="20" spans="1:12">
      <c r="A20" s="192">
        <f t="shared" si="0"/>
        <v>7</v>
      </c>
      <c r="B20" s="379"/>
      <c r="C20" s="388"/>
      <c r="D20" s="266"/>
      <c r="E20" s="932">
        <f t="shared" si="1"/>
        <v>7</v>
      </c>
    </row>
    <row r="21" spans="1:12">
      <c r="A21" s="192"/>
      <c r="B21" s="232"/>
      <c r="C21" s="381"/>
      <c r="D21" s="232"/>
      <c r="E21" s="932"/>
    </row>
    <row r="22" spans="1:12">
      <c r="B22" s="232"/>
      <c r="C22" s="232"/>
      <c r="D22" s="232"/>
    </row>
    <row r="23" spans="1:12">
      <c r="B23" s="232"/>
      <c r="C23" s="232"/>
      <c r="D23" s="232"/>
      <c r="L23" s="210"/>
    </row>
    <row r="24" spans="1:12">
      <c r="B24" s="232"/>
      <c r="C24" s="232"/>
      <c r="D24" s="232"/>
    </row>
    <row r="25" spans="1:12">
      <c r="B25" s="232"/>
      <c r="C25" s="232"/>
      <c r="D25" s="232"/>
    </row>
    <row r="26" spans="1:12">
      <c r="B26" s="232"/>
      <c r="C26" s="232"/>
      <c r="D26" s="232"/>
    </row>
    <row r="27" spans="1:12">
      <c r="B27" s="232"/>
      <c r="D27" s="232"/>
    </row>
    <row r="28" spans="1:12">
      <c r="B28" s="232"/>
      <c r="C28" s="232"/>
      <c r="D28" s="232"/>
    </row>
    <row r="29" spans="1:12">
      <c r="B29" s="232"/>
      <c r="C29" s="232"/>
      <c r="D29" s="232"/>
    </row>
    <row r="30" spans="1:12">
      <c r="B30" s="232"/>
      <c r="C30" s="232"/>
      <c r="D30" s="232"/>
    </row>
    <row r="31" spans="1:12">
      <c r="B31" s="232"/>
      <c r="C31" s="232"/>
      <c r="D31" s="232"/>
    </row>
    <row r="32" spans="1:12">
      <c r="B32" s="232"/>
      <c r="C32" s="232"/>
      <c r="D32" s="232"/>
    </row>
    <row r="33" spans="1:5">
      <c r="B33" s="232"/>
      <c r="C33" s="232"/>
      <c r="D33" s="232"/>
    </row>
    <row r="34" spans="1:5">
      <c r="B34" s="232"/>
      <c r="C34" s="232"/>
      <c r="D34" s="232"/>
    </row>
    <row r="35" spans="1:5" s="232" customFormat="1">
      <c r="A35" s="192"/>
      <c r="E35" s="932"/>
    </row>
    <row r="36" spans="1:5" s="232" customFormat="1">
      <c r="A36" s="192"/>
      <c r="E36" s="932"/>
    </row>
    <row r="37" spans="1:5" s="232" customFormat="1">
      <c r="A37" s="192"/>
      <c r="E37" s="932"/>
    </row>
    <row r="38" spans="1:5" s="232" customFormat="1">
      <c r="A38" s="192"/>
      <c r="E38" s="932"/>
    </row>
    <row r="39" spans="1:5" s="232" customFormat="1">
      <c r="A39" s="192"/>
      <c r="E39" s="932"/>
    </row>
    <row r="40" spans="1:5" s="232" customFormat="1">
      <c r="A40" s="192"/>
      <c r="E40" s="932"/>
    </row>
    <row r="41" spans="1:5" s="232" customFormat="1">
      <c r="A41" s="192"/>
      <c r="E41" s="93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/>
  </sheetViews>
  <sheetFormatPr defaultColWidth="9.140625" defaultRowHeight="15.75"/>
  <cols>
    <col min="1" max="1" width="5.140625" style="176" customWidth="1"/>
    <col min="2" max="2" width="8.5703125" style="595" customWidth="1"/>
    <col min="3" max="3" width="41.28515625" style="595" customWidth="1"/>
    <col min="4" max="4" width="18.5703125" style="595" customWidth="1"/>
    <col min="5" max="5" width="62.5703125" style="595" customWidth="1"/>
    <col min="6" max="6" width="5.140625" style="928" customWidth="1"/>
    <col min="7" max="7" width="24" style="595" customWidth="1"/>
    <col min="8" max="8" width="11" style="595" customWidth="1"/>
    <col min="9" max="9" width="7.28515625" style="595" customWidth="1"/>
    <col min="10" max="10" width="9.28515625" style="595" customWidth="1"/>
    <col min="11" max="11" width="14" style="595" customWidth="1"/>
    <col min="12" max="12" width="15.140625" style="595" bestFit="1" customWidth="1"/>
    <col min="13" max="16384" width="9.140625" style="595"/>
  </cols>
  <sheetData>
    <row r="2" spans="1:6">
      <c r="B2" s="1635" t="s">
        <v>18</v>
      </c>
      <c r="C2" s="1635"/>
      <c r="D2" s="1635"/>
      <c r="E2" s="1635"/>
    </row>
    <row r="3" spans="1:6">
      <c r="B3" s="1635" t="s">
        <v>19</v>
      </c>
      <c r="C3" s="1635"/>
      <c r="D3" s="1635"/>
      <c r="E3" s="1635"/>
    </row>
    <row r="4" spans="1:6">
      <c r="B4" s="1635" t="s">
        <v>20</v>
      </c>
      <c r="C4" s="1635"/>
      <c r="D4" s="1635"/>
      <c r="E4" s="163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</row>
    <row r="6" spans="1:6">
      <c r="B6" s="1640" t="s">
        <v>3</v>
      </c>
      <c r="C6" s="1640"/>
      <c r="D6" s="1640"/>
      <c r="E6" s="1640"/>
    </row>
    <row r="7" spans="1:6">
      <c r="B7" s="177"/>
      <c r="C7" s="177"/>
      <c r="D7" s="177"/>
      <c r="E7" s="177"/>
    </row>
    <row r="8" spans="1:6">
      <c r="B8" s="1635" t="s">
        <v>96</v>
      </c>
      <c r="C8" s="1635"/>
      <c r="D8" s="1635"/>
      <c r="E8" s="1635"/>
      <c r="F8" s="932"/>
    </row>
    <row r="9" spans="1:6">
      <c r="A9" s="416"/>
      <c r="F9" s="932"/>
    </row>
    <row r="10" spans="1:6">
      <c r="A10" s="416" t="s">
        <v>4</v>
      </c>
      <c r="B10" s="877"/>
      <c r="C10" s="877"/>
      <c r="D10" s="878"/>
      <c r="E10" s="879"/>
      <c r="F10" s="932" t="s">
        <v>4</v>
      </c>
    </row>
    <row r="11" spans="1:6">
      <c r="A11" s="416" t="s">
        <v>25</v>
      </c>
      <c r="B11" s="880" t="s">
        <v>23</v>
      </c>
      <c r="C11" s="880" t="s">
        <v>72</v>
      </c>
      <c r="D11" s="880" t="s">
        <v>128</v>
      </c>
      <c r="E11" s="914" t="s">
        <v>9</v>
      </c>
      <c r="F11" s="932" t="s">
        <v>25</v>
      </c>
    </row>
    <row r="12" spans="1:6">
      <c r="A12" s="277"/>
      <c r="B12" s="881"/>
      <c r="C12" s="881"/>
      <c r="D12" s="286"/>
      <c r="E12" s="882"/>
      <c r="F12" s="277"/>
    </row>
    <row r="13" spans="1:6">
      <c r="A13" s="416">
        <v>1</v>
      </c>
      <c r="B13" s="884" t="str">
        <f>"Dec-"&amp;RIGHT(Automation!$B$6-1,2)</f>
        <v>Dec-17</v>
      </c>
      <c r="C13" s="884" t="s">
        <v>594</v>
      </c>
      <c r="D13" s="885">
        <v>1084349.99502</v>
      </c>
      <c r="E13" s="886" t="str">
        <f>Automation!B6&amp;" Form 1; Page 356; Accts 303 to 398; BOY"</f>
        <v>2018 Form 1; Page 356; Accts 303 to 398; BOY</v>
      </c>
      <c r="F13" s="932">
        <f>A13</f>
        <v>1</v>
      </c>
    </row>
    <row r="14" spans="1:6">
      <c r="A14" s="416">
        <f>A13+1</f>
        <v>2</v>
      </c>
      <c r="B14" s="884"/>
      <c r="C14" s="884" t="s">
        <v>595</v>
      </c>
      <c r="D14" s="902">
        <v>0.74619999999999997</v>
      </c>
      <c r="E14" s="922" t="str">
        <f>Automation!B6-1&amp;" Form 1; Page 356.1; Electric"</f>
        <v>2017 Form 1; Page 356.1; Electric</v>
      </c>
      <c r="F14" s="932">
        <f>F13+1</f>
        <v>2</v>
      </c>
    </row>
    <row r="15" spans="1:6">
      <c r="A15" s="416">
        <f t="shared" ref="A15:A23" si="0">A14+1</f>
        <v>3</v>
      </c>
      <c r="B15" s="884"/>
      <c r="C15" s="884" t="s">
        <v>596</v>
      </c>
      <c r="D15" s="887">
        <f>D13*D14</f>
        <v>809141.96628392395</v>
      </c>
      <c r="E15" s="281" t="str">
        <f>"Line "&amp;A13&amp;" x Line "&amp;A14</f>
        <v>Line 1 x Line 2</v>
      </c>
      <c r="F15" s="932">
        <f t="shared" ref="F15:F23" si="1">F14+1</f>
        <v>3</v>
      </c>
    </row>
    <row r="16" spans="1:6">
      <c r="A16" s="416">
        <f t="shared" si="0"/>
        <v>4</v>
      </c>
      <c r="B16" s="884"/>
      <c r="C16" s="884"/>
      <c r="D16" s="390"/>
      <c r="E16" s="281"/>
      <c r="F16" s="932">
        <f t="shared" si="1"/>
        <v>4</v>
      </c>
    </row>
    <row r="17" spans="1:12">
      <c r="A17" s="416">
        <f t="shared" si="0"/>
        <v>5</v>
      </c>
      <c r="B17" s="884" t="str">
        <f>"Dec-"&amp;RIGHT(Automation!$B$6,2)</f>
        <v>Dec-18</v>
      </c>
      <c r="C17" s="884" t="s">
        <v>594</v>
      </c>
      <c r="D17" s="886">
        <v>1387973.0279999999</v>
      </c>
      <c r="E17" s="886" t="str">
        <f>Automation!B6&amp;" Form 1; Page 356; Accts 303 to 398; EOY"</f>
        <v>2018 Form 1; Page 356; Accts 303 to 398; EOY</v>
      </c>
      <c r="F17" s="932">
        <f t="shared" si="1"/>
        <v>5</v>
      </c>
    </row>
    <row r="18" spans="1:12">
      <c r="A18" s="416">
        <f t="shared" si="0"/>
        <v>6</v>
      </c>
      <c r="B18" s="884"/>
      <c r="C18" s="884" t="s">
        <v>595</v>
      </c>
      <c r="D18" s="888">
        <v>0.73509999999999998</v>
      </c>
      <c r="E18" s="922" t="str">
        <f>Automation!B6&amp;" Form 1; Page 356.1; Electric"</f>
        <v>2018 Form 1; Page 356.1; Electric</v>
      </c>
      <c r="F18" s="932">
        <f t="shared" si="1"/>
        <v>6</v>
      </c>
      <c r="L18" s="1582"/>
    </row>
    <row r="19" spans="1:12">
      <c r="A19" s="416">
        <f t="shared" si="0"/>
        <v>7</v>
      </c>
      <c r="B19" s="884"/>
      <c r="C19" s="884" t="s">
        <v>596</v>
      </c>
      <c r="D19" s="886">
        <f>D17*D18</f>
        <v>1020298.9728827999</v>
      </c>
      <c r="E19" s="391" t="str">
        <f>"Line "&amp;A17&amp;" x Line "&amp;A18</f>
        <v>Line 5 x Line 6</v>
      </c>
      <c r="F19" s="932">
        <f t="shared" si="1"/>
        <v>7</v>
      </c>
      <c r="L19" s="1582"/>
    </row>
    <row r="20" spans="1:12">
      <c r="A20" s="416">
        <f t="shared" si="0"/>
        <v>8</v>
      </c>
      <c r="B20" s="889"/>
      <c r="C20" s="880"/>
      <c r="D20" s="890"/>
      <c r="E20" s="891"/>
      <c r="F20" s="932">
        <f t="shared" si="1"/>
        <v>8</v>
      </c>
      <c r="L20" s="1582"/>
    </row>
    <row r="21" spans="1:12">
      <c r="A21" s="416">
        <f t="shared" si="0"/>
        <v>9</v>
      </c>
      <c r="B21" s="892"/>
      <c r="C21" s="893"/>
      <c r="D21" s="894"/>
      <c r="E21" s="895"/>
      <c r="F21" s="932">
        <f t="shared" si="1"/>
        <v>9</v>
      </c>
    </row>
    <row r="22" spans="1:12">
      <c r="A22" s="416">
        <f t="shared" si="0"/>
        <v>10</v>
      </c>
      <c r="B22" s="896" t="s">
        <v>27</v>
      </c>
      <c r="C22" s="893"/>
      <c r="D22" s="377">
        <f>(D15+D19)/2</f>
        <v>914720.46958336188</v>
      </c>
      <c r="E22" s="897" t="str">
        <f>"Average of Line "&amp;A15&amp;" and Line "&amp;A19</f>
        <v>Average of Line 3 and Line 7</v>
      </c>
      <c r="F22" s="932">
        <f t="shared" si="1"/>
        <v>10</v>
      </c>
      <c r="L22" s="1582"/>
    </row>
    <row r="23" spans="1:12">
      <c r="A23" s="416">
        <f t="shared" si="0"/>
        <v>11</v>
      </c>
      <c r="B23" s="898"/>
      <c r="C23" s="899"/>
      <c r="D23" s="900"/>
      <c r="E23" s="901"/>
      <c r="F23" s="932">
        <f t="shared" si="1"/>
        <v>11</v>
      </c>
    </row>
    <row r="24" spans="1:12">
      <c r="A24" s="416"/>
      <c r="B24" s="358"/>
      <c r="C24" s="358"/>
      <c r="D24" s="358"/>
      <c r="E24" s="348"/>
      <c r="F24" s="932"/>
    </row>
    <row r="25" spans="1:12">
      <c r="A25" s="416"/>
      <c r="B25" s="358"/>
      <c r="C25" s="358"/>
      <c r="D25" s="358"/>
      <c r="E25" s="358"/>
    </row>
    <row r="26" spans="1:12">
      <c r="A26" s="416"/>
      <c r="B26" s="358"/>
      <c r="C26" s="358"/>
      <c r="D26" s="358"/>
      <c r="E26" s="358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1"/>
  <sheetViews>
    <sheetView zoomScale="80" zoomScaleNormal="80" zoomScalePageLayoutView="80" workbookViewId="0"/>
  </sheetViews>
  <sheetFormatPr defaultColWidth="8.85546875" defaultRowHeight="15.75"/>
  <cols>
    <col min="1" max="1" width="5.28515625" style="192" bestFit="1" customWidth="1"/>
    <col min="2" max="2" width="67.5703125" style="232" customWidth="1"/>
    <col min="3" max="3" width="24" style="192" customWidth="1"/>
    <col min="4" max="4" width="1.5703125" style="232" customWidth="1"/>
    <col min="5" max="5" width="16.8554687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16.85546875" style="232" customWidth="1"/>
    <col min="10" max="10" width="1.5703125" style="232" customWidth="1"/>
    <col min="11" max="11" width="34.5703125" style="232" customWidth="1"/>
    <col min="12" max="12" width="5.28515625" style="232" bestFit="1" customWidth="1"/>
    <col min="13" max="13" width="8.85546875" style="232"/>
    <col min="14" max="14" width="33.42578125" style="232" customWidth="1"/>
    <col min="15" max="16384" width="8.85546875" style="232"/>
  </cols>
  <sheetData>
    <row r="1" spans="1:14">
      <c r="A1" s="593"/>
      <c r="H1" s="192"/>
      <c r="I1" s="192"/>
      <c r="J1" s="192"/>
      <c r="K1" s="192"/>
      <c r="L1" s="593"/>
    </row>
    <row r="2" spans="1:14">
      <c r="B2" s="1634" t="s">
        <v>18</v>
      </c>
      <c r="C2" s="1634"/>
      <c r="D2" s="1634"/>
      <c r="E2" s="1634"/>
      <c r="F2" s="1634"/>
      <c r="G2" s="1634"/>
      <c r="H2" s="1635"/>
      <c r="I2" s="1635"/>
      <c r="J2" s="1635"/>
      <c r="K2" s="1635"/>
      <c r="L2" s="192"/>
    </row>
    <row r="3" spans="1:14">
      <c r="B3" s="1634" t="s">
        <v>103</v>
      </c>
      <c r="C3" s="1634"/>
      <c r="D3" s="1634"/>
      <c r="E3" s="1634"/>
      <c r="F3" s="1634"/>
      <c r="G3" s="1634"/>
      <c r="H3" s="1635"/>
      <c r="I3" s="1635"/>
      <c r="J3" s="1635"/>
      <c r="K3" s="1635"/>
      <c r="L3" s="192"/>
    </row>
    <row r="4" spans="1:14">
      <c r="B4" s="1634" t="s">
        <v>102</v>
      </c>
      <c r="C4" s="1634"/>
      <c r="D4" s="1634"/>
      <c r="E4" s="1634"/>
      <c r="F4" s="1634"/>
      <c r="G4" s="1634"/>
      <c r="H4" s="1635"/>
      <c r="I4" s="1635"/>
      <c r="J4" s="1635"/>
      <c r="K4" s="1635"/>
      <c r="L4" s="192"/>
    </row>
    <row r="5" spans="1:14"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  <c r="H5" s="1642"/>
      <c r="I5" s="1642"/>
      <c r="J5" s="1642"/>
      <c r="K5" s="1642"/>
      <c r="L5" s="192"/>
      <c r="N5" s="175"/>
    </row>
    <row r="6" spans="1:14">
      <c r="B6" s="1639" t="s">
        <v>3</v>
      </c>
      <c r="C6" s="1636"/>
      <c r="D6" s="1636"/>
      <c r="E6" s="1636"/>
      <c r="F6" s="1636"/>
      <c r="G6" s="1636"/>
      <c r="H6" s="1636"/>
      <c r="I6" s="1636"/>
      <c r="J6" s="1636"/>
      <c r="K6" s="1636"/>
      <c r="L6" s="192"/>
      <c r="N6" s="719"/>
    </row>
    <row r="7" spans="1:14">
      <c r="B7" s="593"/>
      <c r="C7" s="593"/>
      <c r="D7" s="593"/>
      <c r="E7" s="593"/>
      <c r="F7" s="593"/>
      <c r="G7" s="593"/>
      <c r="H7" s="613"/>
      <c r="I7" s="613"/>
      <c r="J7" s="613"/>
      <c r="K7" s="192"/>
      <c r="L7" s="192"/>
    </row>
    <row r="8" spans="1:14">
      <c r="A8" s="593" t="s">
        <v>4</v>
      </c>
      <c r="B8" s="613"/>
      <c r="C8" s="596" t="s">
        <v>511</v>
      </c>
      <c r="D8" s="613"/>
      <c r="E8" s="670" t="s">
        <v>5</v>
      </c>
      <c r="F8" s="593"/>
      <c r="G8" s="670" t="s">
        <v>6</v>
      </c>
      <c r="H8" s="593"/>
      <c r="I8" s="670" t="s">
        <v>7</v>
      </c>
      <c r="J8" s="613"/>
      <c r="K8" s="277"/>
      <c r="L8" s="593" t="s">
        <v>4</v>
      </c>
    </row>
    <row r="9" spans="1:14">
      <c r="A9" s="597" t="s">
        <v>25</v>
      </c>
      <c r="B9" s="613"/>
      <c r="C9" s="598" t="s">
        <v>512</v>
      </c>
      <c r="D9" s="613"/>
      <c r="E9" s="704" t="str">
        <f>'Stmt AD'!E9</f>
        <v>31-Dec-17</v>
      </c>
      <c r="F9" s="613"/>
      <c r="G9" s="704" t="str">
        <f>'Stmt AD'!G9</f>
        <v>31-Dec-18</v>
      </c>
      <c r="H9" s="613"/>
      <c r="I9" s="614" t="s">
        <v>8</v>
      </c>
      <c r="J9" s="613"/>
      <c r="K9" s="389" t="s">
        <v>9</v>
      </c>
      <c r="L9" s="597" t="s">
        <v>25</v>
      </c>
    </row>
    <row r="10" spans="1:14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192"/>
      <c r="L10" s="593"/>
    </row>
    <row r="11" spans="1:14" ht="18.75">
      <c r="A11" s="593">
        <v>1</v>
      </c>
      <c r="B11" s="99" t="s">
        <v>681</v>
      </c>
      <c r="C11" s="631"/>
      <c r="D11" s="593"/>
      <c r="E11" s="720"/>
      <c r="F11" s="608"/>
      <c r="G11" s="720"/>
      <c r="H11" s="721"/>
      <c r="I11" s="722">
        <f>'AE-1'!E36</f>
        <v>1120020.4208957693</v>
      </c>
      <c r="J11" s="616"/>
      <c r="K11" s="192" t="str">
        <f>"AE-1; Line "&amp;'AE-1'!A36</f>
        <v>AE-1; Line 23</v>
      </c>
      <c r="L11" s="593">
        <f>A11</f>
        <v>1</v>
      </c>
    </row>
    <row r="12" spans="1:14">
      <c r="A12" s="593">
        <f>A11+1</f>
        <v>2</v>
      </c>
      <c r="B12" s="107"/>
      <c r="C12" s="303"/>
      <c r="E12" s="594"/>
      <c r="G12" s="594"/>
      <c r="H12" s="620"/>
      <c r="I12" s="594"/>
      <c r="J12" s="620"/>
      <c r="K12" s="723"/>
      <c r="L12" s="593">
        <f>L11+1</f>
        <v>2</v>
      </c>
    </row>
    <row r="13" spans="1:14" ht="18.75">
      <c r="A13" s="593">
        <f t="shared" ref="A13:A29" si="0">+A12+1</f>
        <v>3</v>
      </c>
      <c r="B13" s="107" t="s">
        <v>682</v>
      </c>
      <c r="C13" s="631"/>
      <c r="E13" s="724">
        <f>'AE-2'!C14</f>
        <v>107099.78851</v>
      </c>
      <c r="F13" s="725"/>
      <c r="G13" s="724">
        <f>'AE-2'!C16</f>
        <v>131071.19467</v>
      </c>
      <c r="H13" s="616"/>
      <c r="I13" s="628">
        <f>(E13+G13)/2</f>
        <v>119085.49158999999</v>
      </c>
      <c r="J13" s="616"/>
      <c r="K13" s="192" t="str">
        <f>"AE-2; Line "&amp;'AE-2'!A19</f>
        <v>AE-2; Line 6</v>
      </c>
      <c r="L13" s="593">
        <f t="shared" ref="L13:L29" si="1">+L12+1</f>
        <v>3</v>
      </c>
    </row>
    <row r="14" spans="1:14">
      <c r="A14" s="593">
        <f t="shared" si="0"/>
        <v>4</v>
      </c>
      <c r="B14" s="107"/>
      <c r="C14" s="303"/>
      <c r="E14" s="619"/>
      <c r="F14" s="278"/>
      <c r="G14" s="619"/>
      <c r="H14" s="620"/>
      <c r="I14" s="628"/>
      <c r="J14" s="620"/>
      <c r="K14" s="606"/>
      <c r="L14" s="593">
        <f t="shared" si="1"/>
        <v>4</v>
      </c>
    </row>
    <row r="15" spans="1:14" ht="18.75">
      <c r="A15" s="593">
        <f t="shared" si="0"/>
        <v>5</v>
      </c>
      <c r="B15" s="107" t="s">
        <v>683</v>
      </c>
      <c r="C15" s="631"/>
      <c r="E15" s="672">
        <f>'AE-3'!C14</f>
        <v>153384.79769000001</v>
      </c>
      <c r="F15" s="278"/>
      <c r="G15" s="672">
        <f>'AE-3'!C16</f>
        <v>162544.22695999997</v>
      </c>
      <c r="H15" s="726"/>
      <c r="I15" s="628">
        <f>(E15+G15)/2</f>
        <v>157964.51232499999</v>
      </c>
      <c r="J15" s="620"/>
      <c r="K15" s="192" t="str">
        <f>"AE-3; Line "&amp;'AE-3'!A19</f>
        <v>AE-3; Line 6</v>
      </c>
      <c r="L15" s="593">
        <f t="shared" si="1"/>
        <v>5</v>
      </c>
    </row>
    <row r="16" spans="1:14">
      <c r="A16" s="593">
        <f t="shared" si="0"/>
        <v>6</v>
      </c>
      <c r="B16" s="107"/>
      <c r="E16" s="628"/>
      <c r="F16" s="278"/>
      <c r="G16" s="628"/>
      <c r="H16" s="620"/>
      <c r="I16" s="629"/>
      <c r="J16" s="620"/>
      <c r="K16" s="606"/>
      <c r="L16" s="593">
        <f t="shared" si="1"/>
        <v>6</v>
      </c>
    </row>
    <row r="17" spans="1:14" ht="18.75">
      <c r="A17" s="593">
        <f t="shared" si="0"/>
        <v>7</v>
      </c>
      <c r="B17" s="107" t="s">
        <v>684</v>
      </c>
      <c r="E17" s="672">
        <f>'AE-4'!F15</f>
        <v>412998.52574416797</v>
      </c>
      <c r="F17" s="278"/>
      <c r="G17" s="672">
        <f>'AE-4'!F19</f>
        <v>466070.8549495</v>
      </c>
      <c r="H17" s="726"/>
      <c r="I17" s="628">
        <f>(E17+G17)/2</f>
        <v>439534.69034683402</v>
      </c>
      <c r="J17" s="620"/>
      <c r="K17" s="192" t="str">
        <f>"AE-4; Line "&amp;'AE-4'!A22</f>
        <v>AE-4; Line 10</v>
      </c>
      <c r="L17" s="593">
        <f t="shared" si="1"/>
        <v>7</v>
      </c>
    </row>
    <row r="18" spans="1:14">
      <c r="A18" s="593">
        <f t="shared" si="0"/>
        <v>8</v>
      </c>
      <c r="B18" s="107"/>
      <c r="E18" s="594"/>
      <c r="G18" s="594"/>
      <c r="H18" s="620"/>
      <c r="I18" s="594"/>
      <c r="J18" s="620"/>
      <c r="K18" s="618"/>
      <c r="L18" s="593">
        <f t="shared" si="1"/>
        <v>8</v>
      </c>
    </row>
    <row r="19" spans="1:14">
      <c r="A19" s="593">
        <f t="shared" si="0"/>
        <v>9</v>
      </c>
      <c r="B19" s="107" t="s">
        <v>12</v>
      </c>
      <c r="E19" s="621"/>
      <c r="F19" s="278"/>
      <c r="G19" s="621"/>
      <c r="H19" s="673"/>
      <c r="I19" s="623">
        <f>'Stmt AI'!E27</f>
        <v>0.10079320306870226</v>
      </c>
      <c r="J19" s="673"/>
      <c r="K19" s="606" t="str">
        <f>"Statement AI; Line "&amp;'Stmt AI'!A27</f>
        <v>Statement AI; Line 17</v>
      </c>
      <c r="L19" s="593">
        <f t="shared" si="1"/>
        <v>9</v>
      </c>
    </row>
    <row r="20" spans="1:14">
      <c r="A20" s="593">
        <f t="shared" si="0"/>
        <v>10</v>
      </c>
      <c r="B20" s="107"/>
      <c r="E20" s="619"/>
      <c r="F20" s="278"/>
      <c r="G20" s="619"/>
      <c r="H20" s="620"/>
      <c r="I20" s="659"/>
      <c r="J20" s="620"/>
      <c r="K20" s="618"/>
      <c r="L20" s="593">
        <f t="shared" si="1"/>
        <v>10</v>
      </c>
    </row>
    <row r="21" spans="1:14">
      <c r="A21" s="593">
        <f t="shared" si="0"/>
        <v>11</v>
      </c>
      <c r="B21" s="107" t="s">
        <v>101</v>
      </c>
      <c r="E21" s="619"/>
      <c r="F21" s="278"/>
      <c r="G21" s="619"/>
      <c r="H21" s="620"/>
      <c r="I21" s="727">
        <f>I13*I19</f>
        <v>12003.008136367105</v>
      </c>
      <c r="J21" s="616"/>
      <c r="K21" s="618" t="str">
        <f>"Line "&amp;A13&amp;" x Line "&amp;A19</f>
        <v>Line 3 x Line 9</v>
      </c>
      <c r="L21" s="593">
        <f t="shared" si="1"/>
        <v>11</v>
      </c>
    </row>
    <row r="22" spans="1:14">
      <c r="A22" s="593">
        <f t="shared" si="0"/>
        <v>12</v>
      </c>
      <c r="B22" s="107"/>
      <c r="E22" s="619"/>
      <c r="F22" s="278"/>
      <c r="G22" s="619"/>
      <c r="H22" s="620"/>
      <c r="I22" s="728"/>
      <c r="J22" s="620"/>
      <c r="K22" s="618"/>
      <c r="L22" s="593">
        <f t="shared" si="1"/>
        <v>12</v>
      </c>
    </row>
    <row r="23" spans="1:14">
      <c r="A23" s="593">
        <f t="shared" si="0"/>
        <v>13</v>
      </c>
      <c r="B23" s="107" t="s">
        <v>100</v>
      </c>
      <c r="E23" s="628"/>
      <c r="F23" s="337"/>
      <c r="G23" s="628"/>
      <c r="H23" s="729"/>
      <c r="I23" s="730">
        <f>I15*I19</f>
        <v>15921.749168422246</v>
      </c>
      <c r="J23" s="620"/>
      <c r="K23" s="618" t="str">
        <f>"Line "&amp;A15&amp;" x Line "&amp;A19</f>
        <v>Line 5 x Line 9</v>
      </c>
      <c r="L23" s="593">
        <f t="shared" si="1"/>
        <v>13</v>
      </c>
    </row>
    <row r="24" spans="1:14">
      <c r="A24" s="593">
        <f t="shared" si="0"/>
        <v>14</v>
      </c>
      <c r="B24" s="107"/>
      <c r="E24" s="628"/>
      <c r="F24" s="337"/>
      <c r="G24" s="628"/>
      <c r="H24" s="726"/>
      <c r="I24" s="675"/>
      <c r="J24" s="620"/>
      <c r="K24" s="618"/>
      <c r="L24" s="593">
        <f t="shared" si="1"/>
        <v>14</v>
      </c>
    </row>
    <row r="25" spans="1:14">
      <c r="A25" s="593">
        <f t="shared" si="0"/>
        <v>15</v>
      </c>
      <c r="B25" s="107" t="s">
        <v>99</v>
      </c>
      <c r="E25" s="730"/>
      <c r="F25" s="337"/>
      <c r="G25" s="730"/>
      <c r="H25" s="726"/>
      <c r="I25" s="731">
        <f>I17*I19</f>
        <v>44302.10929986761</v>
      </c>
      <c r="J25" s="620"/>
      <c r="K25" s="618" t="str">
        <f>"Line "&amp;A17&amp;" x Line "&amp;A19</f>
        <v>Line 7 x Line 9</v>
      </c>
      <c r="L25" s="593">
        <f t="shared" si="1"/>
        <v>15</v>
      </c>
    </row>
    <row r="26" spans="1:14">
      <c r="A26" s="593">
        <f t="shared" si="0"/>
        <v>16</v>
      </c>
      <c r="B26" s="107"/>
      <c r="E26" s="730"/>
      <c r="F26" s="337"/>
      <c r="G26" s="730"/>
      <c r="H26" s="726"/>
      <c r="I26" s="675"/>
      <c r="J26" s="620"/>
      <c r="K26" s="618"/>
      <c r="L26" s="593">
        <f t="shared" si="1"/>
        <v>16</v>
      </c>
      <c r="N26" s="348"/>
    </row>
    <row r="27" spans="1:14" ht="16.5" thickBot="1">
      <c r="A27" s="593">
        <f t="shared" si="0"/>
        <v>17</v>
      </c>
      <c r="B27" s="107" t="s">
        <v>98</v>
      </c>
      <c r="E27" s="625"/>
      <c r="F27" s="337"/>
      <c r="G27" s="625"/>
      <c r="H27" s="726"/>
      <c r="I27" s="626">
        <f>I11+I21+I23+I25</f>
        <v>1192247.2875004264</v>
      </c>
      <c r="J27" s="616"/>
      <c r="K27" s="618" t="str">
        <f>"Line "&amp;A11&amp;" + (Sum Lines "&amp;A21&amp;" thru "&amp;A25&amp;")"</f>
        <v>Line 1 + (Sum Lines 11 thru 15)</v>
      </c>
      <c r="L27" s="593">
        <f t="shared" si="1"/>
        <v>17</v>
      </c>
    </row>
    <row r="28" spans="1:14" s="1356" customFormat="1" ht="16.5" thickTop="1">
      <c r="A28" s="593">
        <f t="shared" si="0"/>
        <v>18</v>
      </c>
      <c r="B28" s="107"/>
      <c r="C28" s="1478"/>
      <c r="E28" s="625"/>
      <c r="F28" s="337"/>
      <c r="G28" s="625"/>
      <c r="H28" s="726"/>
      <c r="I28" s="625"/>
      <c r="J28" s="616"/>
      <c r="K28" s="618"/>
      <c r="L28" s="593">
        <f t="shared" si="1"/>
        <v>18</v>
      </c>
    </row>
    <row r="29" spans="1:14" s="1356" customFormat="1" ht="19.5" thickBot="1">
      <c r="A29" s="593">
        <f t="shared" si="0"/>
        <v>19</v>
      </c>
      <c r="B29" s="99" t="s">
        <v>976</v>
      </c>
      <c r="C29" s="1478"/>
      <c r="E29" s="625"/>
      <c r="F29" s="337"/>
      <c r="G29" s="625"/>
      <c r="H29" s="726"/>
      <c r="I29" s="1543">
        <v>0</v>
      </c>
      <c r="J29" s="593"/>
      <c r="K29" s="303" t="s">
        <v>130</v>
      </c>
      <c r="L29" s="593">
        <f t="shared" si="1"/>
        <v>19</v>
      </c>
    </row>
    <row r="30" spans="1:14" ht="16.5" thickTop="1">
      <c r="A30" s="593"/>
      <c r="B30" s="107"/>
      <c r="E30" s="278"/>
      <c r="F30" s="278"/>
      <c r="G30" s="615"/>
      <c r="H30" s="620"/>
      <c r="I30" s="620"/>
      <c r="J30" s="620"/>
      <c r="K30" s="618"/>
      <c r="L30" s="593"/>
    </row>
    <row r="32" spans="1:14" ht="18.75">
      <c r="A32" s="2">
        <v>1</v>
      </c>
      <c r="B32" s="348" t="s">
        <v>975</v>
      </c>
    </row>
    <row r="33" spans="1:2" ht="18.75">
      <c r="A33" s="1">
        <v>2</v>
      </c>
      <c r="B33" s="109" t="s">
        <v>97</v>
      </c>
    </row>
    <row r="34" spans="1:2" ht="18.75">
      <c r="A34" s="3">
        <v>3</v>
      </c>
      <c r="B34" s="348" t="s">
        <v>621</v>
      </c>
    </row>
    <row r="35" spans="1:2" ht="18.75">
      <c r="A35" s="3">
        <v>4</v>
      </c>
      <c r="B35" s="348" t="s">
        <v>619</v>
      </c>
    </row>
    <row r="36" spans="1:2">
      <c r="A36" s="616"/>
      <c r="B36" s="175"/>
    </row>
    <row r="37" spans="1:2">
      <c r="B37" s="1001"/>
    </row>
    <row r="38" spans="1:2">
      <c r="B38" s="1001"/>
    </row>
    <row r="39" spans="1:2">
      <c r="B39" s="1001"/>
    </row>
    <row r="40" spans="1:2">
      <c r="B40" s="1001"/>
    </row>
    <row r="41" spans="1:2">
      <c r="B41" s="926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Z49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28515625" style="175" customWidth="1"/>
    <col min="3" max="3" width="18.5703125" style="181" customWidth="1"/>
    <col min="4" max="4" width="25.28515625" style="181" customWidth="1"/>
    <col min="5" max="5" width="18.5703125" style="175" customWidth="1"/>
    <col min="6" max="6" width="69.5703125" style="175" bestFit="1" customWidth="1"/>
    <col min="7" max="7" width="5.140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8">
      <c r="B2" s="1635" t="s">
        <v>18</v>
      </c>
      <c r="C2" s="1635"/>
      <c r="D2" s="1635"/>
      <c r="E2" s="1635"/>
      <c r="F2" s="1635"/>
    </row>
    <row r="3" spans="1:8">
      <c r="B3" s="1635" t="s">
        <v>106</v>
      </c>
      <c r="C3" s="1635"/>
      <c r="D3" s="1635"/>
      <c r="E3" s="1635"/>
      <c r="F3" s="1635"/>
    </row>
    <row r="4" spans="1:8">
      <c r="B4" s="1635" t="s">
        <v>105</v>
      </c>
      <c r="C4" s="1635"/>
      <c r="D4" s="1635"/>
      <c r="E4" s="1635"/>
      <c r="F4" s="1635"/>
    </row>
    <row r="5" spans="1:8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8">
      <c r="B6" s="1640" t="s">
        <v>3</v>
      </c>
      <c r="C6" s="1640"/>
      <c r="D6" s="1640"/>
      <c r="E6" s="1640"/>
      <c r="F6" s="1640"/>
    </row>
    <row r="7" spans="1:8">
      <c r="B7" s="177"/>
      <c r="C7" s="178"/>
      <c r="D7" s="178"/>
      <c r="E7" s="177"/>
      <c r="F7" s="177"/>
    </row>
    <row r="8" spans="1:8">
      <c r="B8" s="1635" t="s">
        <v>58</v>
      </c>
      <c r="C8" s="1635"/>
      <c r="D8" s="1635"/>
      <c r="E8" s="1635"/>
      <c r="F8" s="1635"/>
    </row>
    <row r="10" spans="1:8">
      <c r="A10" s="192"/>
      <c r="B10" s="184"/>
      <c r="C10" s="185" t="s">
        <v>31</v>
      </c>
      <c r="D10" s="256"/>
      <c r="E10" s="185"/>
      <c r="F10" s="256"/>
    </row>
    <row r="11" spans="1:8">
      <c r="A11" s="192"/>
      <c r="B11" s="187"/>
      <c r="C11" s="188" t="s">
        <v>59</v>
      </c>
      <c r="D11" s="187"/>
      <c r="E11" s="195" t="s">
        <v>59</v>
      </c>
      <c r="F11" s="187"/>
    </row>
    <row r="12" spans="1:8">
      <c r="A12" s="192" t="s">
        <v>4</v>
      </c>
      <c r="B12" s="194"/>
      <c r="C12" s="188" t="s">
        <v>104</v>
      </c>
      <c r="D12" s="309"/>
      <c r="E12" s="195" t="s">
        <v>104</v>
      </c>
      <c r="F12" s="309"/>
      <c r="G12" s="932" t="s">
        <v>4</v>
      </c>
    </row>
    <row r="13" spans="1:8" ht="18.75">
      <c r="A13" s="192" t="s">
        <v>25</v>
      </c>
      <c r="B13" s="196" t="s">
        <v>23</v>
      </c>
      <c r="C13" s="197" t="s">
        <v>35</v>
      </c>
      <c r="D13" s="196" t="s">
        <v>9</v>
      </c>
      <c r="E13" s="199" t="s">
        <v>441</v>
      </c>
      <c r="F13" s="196" t="s">
        <v>9</v>
      </c>
      <c r="G13" s="932" t="s">
        <v>25</v>
      </c>
    </row>
    <row r="14" spans="1:8">
      <c r="A14" s="192">
        <v>1</v>
      </c>
      <c r="B14" s="200" t="str">
        <f>"Dec-"&amp;RIGHT(Automation!$B$6-1,2)</f>
        <v>Dec-17</v>
      </c>
      <c r="C14" s="393">
        <v>1078176.1060299999</v>
      </c>
      <c r="D14" s="281" t="s">
        <v>442</v>
      </c>
      <c r="E14" s="393">
        <v>1060915.6988849998</v>
      </c>
      <c r="F14" s="281" t="str">
        <f>Automation!B6-1&amp;" Form 1; Page 450.1; Sch. Pg. 200; Line 33; Col. b"</f>
        <v>2017 Form 1; Page 450.1; Sch. Pg. 200; Line 33; Col. b</v>
      </c>
      <c r="G14" s="932">
        <f>A14</f>
        <v>1</v>
      </c>
      <c r="H14" s="205"/>
    </row>
    <row r="15" spans="1:8">
      <c r="A15" s="192">
        <f>A14+1</f>
        <v>2</v>
      </c>
      <c r="B15" s="200" t="str">
        <f>"Jan-"&amp;RIGHT(Automation!$B$6,2)</f>
        <v>Jan-18</v>
      </c>
      <c r="C15" s="261">
        <v>1089450.7183699999</v>
      </c>
      <c r="D15" s="291"/>
      <c r="E15" s="394">
        <v>1072057.3507399999</v>
      </c>
      <c r="F15" s="291"/>
      <c r="G15" s="932">
        <f>G14+1</f>
        <v>2</v>
      </c>
    </row>
    <row r="16" spans="1:8">
      <c r="A16" s="192">
        <f t="shared" ref="A16:A36" si="0">A15+1</f>
        <v>3</v>
      </c>
      <c r="B16" s="200" t="s">
        <v>36</v>
      </c>
      <c r="C16" s="261">
        <v>1100494.9881899999</v>
      </c>
      <c r="D16" s="291"/>
      <c r="E16" s="394">
        <v>1082849.21774</v>
      </c>
      <c r="F16" s="291"/>
      <c r="G16" s="932">
        <f t="shared" ref="G16:G36" si="1">G15+1</f>
        <v>3</v>
      </c>
    </row>
    <row r="17" spans="1:26">
      <c r="A17" s="192">
        <f t="shared" si="0"/>
        <v>4</v>
      </c>
      <c r="B17" s="200" t="s">
        <v>37</v>
      </c>
      <c r="C17" s="261">
        <v>1108653.2214200001</v>
      </c>
      <c r="D17" s="291"/>
      <c r="E17" s="394">
        <v>1090930.46636</v>
      </c>
      <c r="F17" s="291"/>
      <c r="G17" s="932">
        <f t="shared" si="1"/>
        <v>4</v>
      </c>
    </row>
    <row r="18" spans="1:26">
      <c r="A18" s="192">
        <f t="shared" si="0"/>
        <v>5</v>
      </c>
      <c r="B18" s="200" t="s">
        <v>38</v>
      </c>
      <c r="C18" s="261">
        <v>1120327.5318699998</v>
      </c>
      <c r="D18" s="291"/>
      <c r="E18" s="394">
        <v>1102078.8896799998</v>
      </c>
      <c r="F18" s="291"/>
      <c r="G18" s="932">
        <f t="shared" si="1"/>
        <v>5</v>
      </c>
      <c r="H18" s="395"/>
    </row>
    <row r="19" spans="1:26">
      <c r="A19" s="192">
        <f t="shared" si="0"/>
        <v>6</v>
      </c>
      <c r="B19" s="200" t="s">
        <v>39</v>
      </c>
      <c r="C19" s="261">
        <v>1130372.49642</v>
      </c>
      <c r="D19" s="291"/>
      <c r="E19" s="394">
        <v>1112078.51682</v>
      </c>
      <c r="F19" s="291"/>
      <c r="G19" s="932">
        <f t="shared" si="1"/>
        <v>6</v>
      </c>
    </row>
    <row r="20" spans="1:26">
      <c r="A20" s="192">
        <f>A19+1</f>
        <v>7</v>
      </c>
      <c r="B20" s="200" t="s">
        <v>40</v>
      </c>
      <c r="C20" s="261">
        <v>1140230.47847</v>
      </c>
      <c r="D20" s="291"/>
      <c r="E20" s="394">
        <v>1121827.6635499999</v>
      </c>
      <c r="F20" s="291"/>
      <c r="G20" s="932">
        <f>G19+1</f>
        <v>7</v>
      </c>
    </row>
    <row r="21" spans="1:26">
      <c r="A21" s="192">
        <f t="shared" si="0"/>
        <v>8</v>
      </c>
      <c r="B21" s="200" t="s">
        <v>41</v>
      </c>
      <c r="C21" s="261">
        <v>1151269.26621</v>
      </c>
      <c r="D21" s="291"/>
      <c r="E21" s="394">
        <v>1132711.3733699999</v>
      </c>
      <c r="F21" s="291"/>
      <c r="G21" s="932">
        <f t="shared" si="1"/>
        <v>8</v>
      </c>
    </row>
    <row r="22" spans="1:26">
      <c r="A22" s="192">
        <f t="shared" si="0"/>
        <v>9</v>
      </c>
      <c r="B22" s="200" t="s">
        <v>42</v>
      </c>
      <c r="C22" s="261">
        <v>1152795.3692300001</v>
      </c>
      <c r="D22" s="291"/>
      <c r="E22" s="394">
        <v>1134217.4282500001</v>
      </c>
      <c r="F22" s="291"/>
      <c r="G22" s="932">
        <f t="shared" si="1"/>
        <v>9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0"/>
        <v>10</v>
      </c>
      <c r="B23" s="200" t="s">
        <v>43</v>
      </c>
      <c r="C23" s="261">
        <v>1164079.2976500001</v>
      </c>
      <c r="D23" s="291"/>
      <c r="E23" s="394">
        <v>1145348.25657</v>
      </c>
      <c r="F23" s="291"/>
      <c r="G23" s="932">
        <f t="shared" si="1"/>
        <v>10</v>
      </c>
    </row>
    <row r="24" spans="1:26">
      <c r="A24" s="192">
        <f t="shared" si="0"/>
        <v>11</v>
      </c>
      <c r="B24" s="200" t="s">
        <v>44</v>
      </c>
      <c r="C24" s="261">
        <v>1175573.8274400001</v>
      </c>
      <c r="D24" s="291"/>
      <c r="E24" s="394">
        <v>1156799.03309</v>
      </c>
      <c r="F24" s="291"/>
      <c r="G24" s="932">
        <f t="shared" si="1"/>
        <v>11</v>
      </c>
    </row>
    <row r="25" spans="1:26">
      <c r="A25" s="192">
        <f t="shared" si="0"/>
        <v>12</v>
      </c>
      <c r="B25" s="200" t="s">
        <v>45</v>
      </c>
      <c r="C25" s="261">
        <v>1186914.1404000001</v>
      </c>
      <c r="D25" s="291"/>
      <c r="E25" s="394">
        <v>1168072.1937100003</v>
      </c>
      <c r="F25" s="291"/>
      <c r="G25" s="932">
        <f t="shared" si="1"/>
        <v>12</v>
      </c>
    </row>
    <row r="26" spans="1:26">
      <c r="A26" s="192">
        <f t="shared" si="0"/>
        <v>13</v>
      </c>
      <c r="B26" s="212" t="str">
        <f>"Dec-"&amp;RIGHT(Automation!$B$6,2)</f>
        <v>Dec-18</v>
      </c>
      <c r="C26" s="262">
        <v>1199426.52688</v>
      </c>
      <c r="D26" s="292" t="s">
        <v>442</v>
      </c>
      <c r="E26" s="392">
        <v>1180379.3828799999</v>
      </c>
      <c r="F26" s="281" t="str">
        <f>Automation!B6&amp;" Form 1; Page 450.1; Sch. Pg. 200; Line 33; Col. b"</f>
        <v>2018 Form 1; Page 450.1; Sch. Pg. 200; Line 33; Col. b</v>
      </c>
      <c r="G26" s="932">
        <f t="shared" si="1"/>
        <v>13</v>
      </c>
      <c r="H26" s="205"/>
    </row>
    <row r="27" spans="1:26">
      <c r="A27" s="192">
        <f t="shared" si="0"/>
        <v>14</v>
      </c>
      <c r="B27" s="214"/>
      <c r="C27" s="247"/>
      <c r="D27" s="396"/>
      <c r="E27" s="248"/>
      <c r="F27" s="184"/>
      <c r="G27" s="932">
        <f t="shared" si="1"/>
        <v>14</v>
      </c>
    </row>
    <row r="28" spans="1:26">
      <c r="A28" s="192">
        <f t="shared" si="0"/>
        <v>15</v>
      </c>
      <c r="B28" s="214" t="s">
        <v>46</v>
      </c>
      <c r="C28" s="397">
        <f>SUM(C14:C26)</f>
        <v>14797763.96858</v>
      </c>
      <c r="D28" s="391" t="str">
        <f>"Sum Lines "&amp;A14&amp;" thru "&amp;A26</f>
        <v>Sum Lines 1 thru 13</v>
      </c>
      <c r="E28" s="219">
        <f>SUM(E14:E26)</f>
        <v>14560265.471644999</v>
      </c>
      <c r="F28" s="387" t="str">
        <f>"Sum Lines "&amp;A14&amp;" thru "&amp;A26</f>
        <v>Sum Lines 1 thru 13</v>
      </c>
      <c r="G28" s="932">
        <f t="shared" si="1"/>
        <v>15</v>
      </c>
    </row>
    <row r="29" spans="1:26">
      <c r="A29" s="192">
        <f t="shared" si="0"/>
        <v>16</v>
      </c>
      <c r="B29" s="221"/>
      <c r="C29" s="398"/>
      <c r="D29" s="295"/>
      <c r="E29" s="222"/>
      <c r="F29" s="296"/>
      <c r="G29" s="932">
        <f t="shared" si="1"/>
        <v>16</v>
      </c>
    </row>
    <row r="30" spans="1:26">
      <c r="A30" s="192">
        <f t="shared" si="0"/>
        <v>17</v>
      </c>
      <c r="B30" s="214"/>
      <c r="C30" s="399"/>
      <c r="D30" s="400"/>
      <c r="E30" s="399"/>
      <c r="F30" s="401"/>
      <c r="G30" s="932">
        <f t="shared" si="1"/>
        <v>17</v>
      </c>
    </row>
    <row r="31" spans="1:26">
      <c r="A31" s="192">
        <f t="shared" si="0"/>
        <v>18</v>
      </c>
      <c r="B31" s="214" t="s">
        <v>47</v>
      </c>
      <c r="C31" s="397">
        <f>C28/13</f>
        <v>1138289.5360446153</v>
      </c>
      <c r="D31" s="391" t="str">
        <f>"Average of Lines "&amp;A14&amp;" thru "&amp;A26</f>
        <v>Average of Lines 1 thru 13</v>
      </c>
      <c r="E31" s="219">
        <f>E28/13</f>
        <v>1120020.4208957693</v>
      </c>
      <c r="F31" s="281" t="str">
        <f>Automation!B6&amp;" Form 1; Page 450.2; Sch. Pg. 200; Line 33; Col. b; 13-Month Avg."</f>
        <v>2018 Form 1; Page 450.2; Sch. Pg. 200; Line 33; Col. b; 13-Month Avg.</v>
      </c>
      <c r="G31" s="932">
        <f t="shared" si="1"/>
        <v>18</v>
      </c>
      <c r="H31" s="205"/>
    </row>
    <row r="32" spans="1:26">
      <c r="A32" s="192">
        <f t="shared" si="0"/>
        <v>19</v>
      </c>
      <c r="B32" s="221"/>
      <c r="C32" s="227"/>
      <c r="D32" s="297"/>
      <c r="E32" s="227"/>
      <c r="F32" s="297"/>
      <c r="G32" s="932">
        <f t="shared" si="1"/>
        <v>19</v>
      </c>
    </row>
    <row r="33" spans="1:7">
      <c r="A33" s="192">
        <f t="shared" si="0"/>
        <v>20</v>
      </c>
      <c r="B33" s="232"/>
      <c r="C33" s="232"/>
      <c r="D33" s="278"/>
      <c r="E33" s="232"/>
      <c r="F33" s="232"/>
      <c r="G33" s="932">
        <f t="shared" si="1"/>
        <v>20</v>
      </c>
    </row>
    <row r="34" spans="1:7">
      <c r="A34" s="192">
        <f t="shared" si="0"/>
        <v>21</v>
      </c>
      <c r="B34" s="358" t="s">
        <v>593</v>
      </c>
      <c r="C34" s="232"/>
      <c r="D34" s="278"/>
      <c r="E34" s="1120">
        <f>'AE-1A'!E31</f>
        <v>0</v>
      </c>
      <c r="F34" s="303" t="str">
        <f>"AE-1A; Line "&amp;'AE-1A'!A31</f>
        <v>AE-1A; Line 18</v>
      </c>
      <c r="G34" s="932">
        <f t="shared" si="1"/>
        <v>21</v>
      </c>
    </row>
    <row r="35" spans="1:7">
      <c r="A35" s="192">
        <f t="shared" si="0"/>
        <v>22</v>
      </c>
      <c r="B35" s="232"/>
      <c r="C35" s="232"/>
      <c r="D35" s="278"/>
      <c r="E35" s="232"/>
      <c r="F35" s="232"/>
      <c r="G35" s="932">
        <f t="shared" si="1"/>
        <v>22</v>
      </c>
    </row>
    <row r="36" spans="1:7" ht="16.5" thickBot="1">
      <c r="A36" s="192">
        <f t="shared" si="0"/>
        <v>23</v>
      </c>
      <c r="B36" s="175" t="s">
        <v>592</v>
      </c>
      <c r="C36" s="232"/>
      <c r="D36" s="278"/>
      <c r="E36" s="553">
        <f>E31+E34</f>
        <v>1120020.4208957693</v>
      </c>
      <c r="F36" s="192" t="str">
        <f>"Line "&amp;A31&amp;" + Line "&amp;A34</f>
        <v>Line 18 + Line 21</v>
      </c>
      <c r="G36" s="932">
        <f t="shared" si="1"/>
        <v>23</v>
      </c>
    </row>
    <row r="37" spans="1:7" ht="16.5" thickTop="1">
      <c r="A37" s="192"/>
      <c r="C37" s="232"/>
      <c r="D37" s="278"/>
      <c r="E37" s="232"/>
      <c r="F37" s="232"/>
    </row>
    <row r="38" spans="1:7">
      <c r="C38" s="232"/>
      <c r="D38" s="232"/>
      <c r="E38" s="289"/>
      <c r="F38" s="232"/>
    </row>
    <row r="39" spans="1:7" ht="18.75">
      <c r="A39" s="231">
        <v>1</v>
      </c>
      <c r="B39" s="232" t="s">
        <v>456</v>
      </c>
      <c r="C39" s="232"/>
      <c r="D39" s="232"/>
      <c r="E39" s="232"/>
      <c r="F39" s="232"/>
    </row>
    <row r="40" spans="1:7">
      <c r="B40" s="232" t="s">
        <v>457</v>
      </c>
      <c r="C40" s="232"/>
      <c r="D40" s="232"/>
      <c r="E40" s="232"/>
      <c r="F40" s="232"/>
    </row>
    <row r="41" spans="1:7">
      <c r="B41" s="232"/>
      <c r="C41" s="232"/>
      <c r="D41" s="232"/>
      <c r="E41" s="232"/>
      <c r="F41" s="232"/>
    </row>
    <row r="42" spans="1:7">
      <c r="B42" s="926"/>
      <c r="C42" s="232"/>
      <c r="D42" s="232"/>
      <c r="E42" s="232"/>
      <c r="F42" s="232"/>
    </row>
    <row r="43" spans="1:7">
      <c r="A43" s="290"/>
      <c r="B43" s="926"/>
    </row>
    <row r="46" spans="1:7">
      <c r="A46" s="290"/>
    </row>
    <row r="49" spans="1:1">
      <c r="A49" s="29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1" orientation="landscape" r:id="rId1"/>
  <headerFooter scaleWithDoc="0">
    <oddFooter>&amp;C&amp;"Times New Roman,Regular"&amp;10&amp;A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Z47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28515625" style="175" customWidth="1"/>
    <col min="3" max="3" width="18.5703125" style="181" customWidth="1"/>
    <col min="4" max="4" width="25.140625" style="182" customWidth="1"/>
    <col min="5" max="5" width="18.5703125" style="175" customWidth="1"/>
    <col min="6" max="6" width="62.5703125" style="183" customWidth="1"/>
    <col min="7" max="7" width="5.28515625" style="928" customWidth="1"/>
    <col min="8" max="8" width="24" style="175" customWidth="1"/>
    <col min="9" max="9" width="11" style="175" customWidth="1"/>
    <col min="10" max="10" width="7.28515625" style="175" customWidth="1"/>
    <col min="11" max="11" width="9.28515625" style="175" customWidth="1"/>
    <col min="12" max="12" width="14" style="175" customWidth="1"/>
    <col min="13" max="13" width="13.42578125" style="175" customWidth="1"/>
    <col min="14" max="16384" width="9.140625" style="175"/>
  </cols>
  <sheetData>
    <row r="2" spans="1:9">
      <c r="B2" s="1635" t="s">
        <v>18</v>
      </c>
      <c r="C2" s="1635"/>
      <c r="D2" s="1635"/>
      <c r="E2" s="1635"/>
      <c r="F2" s="1635"/>
    </row>
    <row r="3" spans="1:9">
      <c r="B3" s="1635" t="s">
        <v>106</v>
      </c>
      <c r="C3" s="1635"/>
      <c r="D3" s="1635"/>
      <c r="E3" s="1635"/>
      <c r="F3" s="1635"/>
    </row>
    <row r="4" spans="1:9">
      <c r="B4" s="1635" t="s">
        <v>105</v>
      </c>
      <c r="C4" s="1635"/>
      <c r="D4" s="1635"/>
      <c r="E4" s="1635"/>
      <c r="F4" s="1635"/>
    </row>
    <row r="5" spans="1:9">
      <c r="B5" s="1635" t="str">
        <f>"BASE PERIOD / TRUE UP PERIOD - 12/31/"&amp;Automation!$B$6&amp;" PER BOOK"</f>
        <v>BASE PERIOD / TRUE UP PERIOD - 12/31/2018 PER BOOK</v>
      </c>
      <c r="C5" s="1635"/>
      <c r="D5" s="1635"/>
      <c r="E5" s="1635"/>
      <c r="F5" s="1635"/>
    </row>
    <row r="6" spans="1:9">
      <c r="B6" s="1640" t="s">
        <v>3</v>
      </c>
      <c r="C6" s="1640"/>
      <c r="D6" s="1640"/>
      <c r="E6" s="1640"/>
      <c r="F6" s="1640"/>
    </row>
    <row r="7" spans="1:9">
      <c r="B7" s="177"/>
      <c r="C7" s="178"/>
      <c r="D7" s="179"/>
      <c r="E7" s="177"/>
      <c r="F7" s="180"/>
    </row>
    <row r="8" spans="1:9">
      <c r="B8" s="1635" t="s">
        <v>58</v>
      </c>
      <c r="C8" s="1635"/>
      <c r="D8" s="1635"/>
      <c r="E8" s="1635"/>
      <c r="F8" s="1635"/>
    </row>
    <row r="10" spans="1:9">
      <c r="B10" s="184"/>
      <c r="C10" s="185" t="s">
        <v>31</v>
      </c>
      <c r="D10" s="186"/>
      <c r="E10" s="185"/>
      <c r="F10" s="186"/>
    </row>
    <row r="11" spans="1:9">
      <c r="B11" s="187"/>
      <c r="C11" s="188" t="s">
        <v>59</v>
      </c>
      <c r="D11" s="189"/>
      <c r="E11" s="190" t="s">
        <v>59</v>
      </c>
      <c r="F11" s="191"/>
    </row>
    <row r="12" spans="1:9">
      <c r="A12" s="192" t="s">
        <v>4</v>
      </c>
      <c r="B12" s="194"/>
      <c r="C12" s="188" t="s">
        <v>104</v>
      </c>
      <c r="D12" s="189"/>
      <c r="E12" s="195" t="s">
        <v>104</v>
      </c>
      <c r="F12" s="191"/>
      <c r="G12" s="932" t="s">
        <v>4</v>
      </c>
    </row>
    <row r="13" spans="1:9" ht="18.75">
      <c r="A13" s="192" t="s">
        <v>25</v>
      </c>
      <c r="B13" s="196" t="s">
        <v>23</v>
      </c>
      <c r="C13" s="197" t="s">
        <v>35</v>
      </c>
      <c r="D13" s="198" t="s">
        <v>9</v>
      </c>
      <c r="E13" s="199" t="s">
        <v>441</v>
      </c>
      <c r="F13" s="198" t="s">
        <v>9</v>
      </c>
      <c r="G13" s="932" t="s">
        <v>25</v>
      </c>
    </row>
    <row r="14" spans="1:9">
      <c r="A14" s="192">
        <v>1</v>
      </c>
      <c r="B14" s="200" t="str">
        <f>"Dec-"&amp;RIGHT(Automation!$B$6-1,2)</f>
        <v>Dec-17</v>
      </c>
      <c r="C14" s="393">
        <v>0</v>
      </c>
      <c r="D14" s="281" t="s">
        <v>442</v>
      </c>
      <c r="E14" s="393">
        <f>C14</f>
        <v>0</v>
      </c>
      <c r="F14" s="281" t="s">
        <v>442</v>
      </c>
      <c r="G14" s="932">
        <f>A14</f>
        <v>1</v>
      </c>
      <c r="H14" s="204"/>
      <c r="I14" s="205"/>
    </row>
    <row r="15" spans="1:9">
      <c r="A15" s="192">
        <f>A14+1</f>
        <v>2</v>
      </c>
      <c r="B15" s="200" t="str">
        <f>"Jan-"&amp;RIGHT(Automation!$B$6,2)</f>
        <v>Jan-18</v>
      </c>
      <c r="C15" s="282">
        <v>0</v>
      </c>
      <c r="D15" s="207"/>
      <c r="E15" s="282">
        <f t="shared" ref="E15:E26" si="0">C15</f>
        <v>0</v>
      </c>
      <c r="F15" s="209"/>
      <c r="G15" s="932">
        <f>G14+1</f>
        <v>2</v>
      </c>
      <c r="H15" s="210"/>
    </row>
    <row r="16" spans="1:9">
      <c r="A16" s="192">
        <f t="shared" ref="A16:A32" si="1">A15+1</f>
        <v>3</v>
      </c>
      <c r="B16" s="200" t="s">
        <v>36</v>
      </c>
      <c r="C16" s="282">
        <v>0</v>
      </c>
      <c r="D16" s="207"/>
      <c r="E16" s="282">
        <f t="shared" si="0"/>
        <v>0</v>
      </c>
      <c r="F16" s="209"/>
      <c r="G16" s="932">
        <f t="shared" ref="G16:G32" si="2">G15+1</f>
        <v>3</v>
      </c>
      <c r="H16" s="210"/>
    </row>
    <row r="17" spans="1:26">
      <c r="A17" s="192">
        <f t="shared" si="1"/>
        <v>4</v>
      </c>
      <c r="B17" s="200" t="s">
        <v>37</v>
      </c>
      <c r="C17" s="282">
        <v>0</v>
      </c>
      <c r="D17" s="207"/>
      <c r="E17" s="282">
        <f t="shared" si="0"/>
        <v>0</v>
      </c>
      <c r="F17" s="209"/>
      <c r="G17" s="932">
        <f t="shared" si="2"/>
        <v>4</v>
      </c>
      <c r="H17" s="210"/>
    </row>
    <row r="18" spans="1:26">
      <c r="A18" s="192">
        <f t="shared" si="1"/>
        <v>5</v>
      </c>
      <c r="B18" s="200" t="s">
        <v>38</v>
      </c>
      <c r="C18" s="282">
        <v>0</v>
      </c>
      <c r="D18" s="207"/>
      <c r="E18" s="282">
        <f t="shared" si="0"/>
        <v>0</v>
      </c>
      <c r="F18" s="209"/>
      <c r="G18" s="932">
        <f t="shared" si="2"/>
        <v>5</v>
      </c>
      <c r="H18" s="210"/>
    </row>
    <row r="19" spans="1:26">
      <c r="A19" s="192">
        <f t="shared" si="1"/>
        <v>6</v>
      </c>
      <c r="B19" s="200" t="s">
        <v>39</v>
      </c>
      <c r="C19" s="282">
        <v>0</v>
      </c>
      <c r="D19" s="207"/>
      <c r="E19" s="282">
        <f t="shared" si="0"/>
        <v>0</v>
      </c>
      <c r="F19" s="209"/>
      <c r="G19" s="932">
        <f t="shared" si="2"/>
        <v>6</v>
      </c>
      <c r="H19" s="210"/>
    </row>
    <row r="20" spans="1:26">
      <c r="A20" s="192">
        <f>A19+1</f>
        <v>7</v>
      </c>
      <c r="B20" s="200" t="s">
        <v>40</v>
      </c>
      <c r="C20" s="282">
        <v>0</v>
      </c>
      <c r="D20" s="207"/>
      <c r="E20" s="282">
        <f t="shared" si="0"/>
        <v>0</v>
      </c>
      <c r="F20" s="209"/>
      <c r="G20" s="932">
        <f>G19+1</f>
        <v>7</v>
      </c>
      <c r="H20" s="210"/>
    </row>
    <row r="21" spans="1:26">
      <c r="A21" s="192">
        <f t="shared" si="1"/>
        <v>8</v>
      </c>
      <c r="B21" s="200" t="s">
        <v>41</v>
      </c>
      <c r="C21" s="282">
        <v>0</v>
      </c>
      <c r="D21" s="207"/>
      <c r="E21" s="282">
        <f t="shared" si="0"/>
        <v>0</v>
      </c>
      <c r="F21" s="209"/>
      <c r="G21" s="932">
        <f t="shared" si="2"/>
        <v>8</v>
      </c>
      <c r="H21" s="210"/>
    </row>
    <row r="22" spans="1:26">
      <c r="A22" s="192">
        <f t="shared" si="1"/>
        <v>9</v>
      </c>
      <c r="B22" s="200" t="s">
        <v>42</v>
      </c>
      <c r="C22" s="282">
        <v>0</v>
      </c>
      <c r="D22" s="207"/>
      <c r="E22" s="282">
        <f t="shared" si="0"/>
        <v>0</v>
      </c>
      <c r="F22" s="209"/>
      <c r="G22" s="932">
        <f t="shared" si="2"/>
        <v>9</v>
      </c>
      <c r="H22" s="210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>
      <c r="A23" s="192">
        <f t="shared" si="1"/>
        <v>10</v>
      </c>
      <c r="B23" s="200" t="s">
        <v>43</v>
      </c>
      <c r="C23" s="282">
        <v>0</v>
      </c>
      <c r="D23" s="207"/>
      <c r="E23" s="282">
        <f t="shared" si="0"/>
        <v>0</v>
      </c>
      <c r="F23" s="209"/>
      <c r="G23" s="932">
        <f t="shared" si="2"/>
        <v>10</v>
      </c>
      <c r="H23" s="210"/>
    </row>
    <row r="24" spans="1:26">
      <c r="A24" s="192">
        <f t="shared" si="1"/>
        <v>11</v>
      </c>
      <c r="B24" s="200" t="s">
        <v>44</v>
      </c>
      <c r="C24" s="282">
        <v>0</v>
      </c>
      <c r="D24" s="207"/>
      <c r="E24" s="282">
        <f t="shared" si="0"/>
        <v>0</v>
      </c>
      <c r="F24" s="209"/>
      <c r="G24" s="932">
        <f t="shared" si="2"/>
        <v>11</v>
      </c>
      <c r="H24" s="210"/>
    </row>
    <row r="25" spans="1:26">
      <c r="A25" s="192">
        <f t="shared" si="1"/>
        <v>12</v>
      </c>
      <c r="B25" s="200" t="s">
        <v>45</v>
      </c>
      <c r="C25" s="282">
        <v>0</v>
      </c>
      <c r="D25" s="207"/>
      <c r="E25" s="282">
        <f t="shared" si="0"/>
        <v>0</v>
      </c>
      <c r="F25" s="209"/>
      <c r="G25" s="932">
        <f t="shared" si="2"/>
        <v>12</v>
      </c>
      <c r="H25" s="210"/>
    </row>
    <row r="26" spans="1:26">
      <c r="A26" s="192">
        <f t="shared" si="1"/>
        <v>13</v>
      </c>
      <c r="B26" s="212" t="str">
        <f>"Dec-"&amp;RIGHT(Automation!$B$6,2)</f>
        <v>Dec-18</v>
      </c>
      <c r="C26" s="262">
        <v>0</v>
      </c>
      <c r="D26" s="292" t="s">
        <v>442</v>
      </c>
      <c r="E26" s="262">
        <f t="shared" si="0"/>
        <v>0</v>
      </c>
      <c r="F26" s="292" t="s">
        <v>442</v>
      </c>
      <c r="G26" s="932">
        <f t="shared" si="2"/>
        <v>13</v>
      </c>
      <c r="H26" s="210"/>
      <c r="I26" s="205"/>
    </row>
    <row r="27" spans="1:26">
      <c r="A27" s="192">
        <f t="shared" si="1"/>
        <v>14</v>
      </c>
      <c r="B27" s="214"/>
      <c r="C27" s="215"/>
      <c r="D27" s="396"/>
      <c r="E27" s="217"/>
      <c r="F27" s="218"/>
      <c r="G27" s="932">
        <f t="shared" si="2"/>
        <v>14</v>
      </c>
      <c r="H27" s="210"/>
    </row>
    <row r="28" spans="1:26">
      <c r="A28" s="192">
        <f t="shared" si="1"/>
        <v>15</v>
      </c>
      <c r="B28" s="214" t="s">
        <v>46</v>
      </c>
      <c r="C28" s="219">
        <f>SUM(C14:C26)</f>
        <v>0</v>
      </c>
      <c r="D28" s="391" t="str">
        <f>"Sum Lines "&amp;A14&amp;" thru "&amp;A26</f>
        <v>Sum Lines 1 thru 13</v>
      </c>
      <c r="E28" s="219">
        <f>SUM(E14:E26)</f>
        <v>0</v>
      </c>
      <c r="F28" s="872" t="str">
        <f>"Sum Lines "&amp;A14&amp;" thru "&amp;A26</f>
        <v>Sum Lines 1 thru 13</v>
      </c>
      <c r="G28" s="932">
        <f t="shared" si="2"/>
        <v>15</v>
      </c>
      <c r="H28" s="210"/>
    </row>
    <row r="29" spans="1:26">
      <c r="A29" s="192">
        <f t="shared" si="1"/>
        <v>16</v>
      </c>
      <c r="B29" s="221"/>
      <c r="C29" s="222"/>
      <c r="D29" s="295"/>
      <c r="E29" s="222"/>
      <c r="F29" s="224"/>
      <c r="G29" s="932">
        <f t="shared" si="2"/>
        <v>16</v>
      </c>
      <c r="H29" s="210"/>
    </row>
    <row r="30" spans="1:26">
      <c r="A30" s="192">
        <f t="shared" si="1"/>
        <v>17</v>
      </c>
      <c r="B30" s="214"/>
      <c r="C30" s="219"/>
      <c r="D30" s="400"/>
      <c r="E30" s="219"/>
      <c r="F30" s="226"/>
      <c r="G30" s="932">
        <f t="shared" si="2"/>
        <v>17</v>
      </c>
      <c r="H30" s="210"/>
    </row>
    <row r="31" spans="1:26">
      <c r="A31" s="192">
        <f t="shared" si="1"/>
        <v>18</v>
      </c>
      <c r="B31" s="214" t="s">
        <v>47</v>
      </c>
      <c r="C31" s="219">
        <f>C28/13</f>
        <v>0</v>
      </c>
      <c r="D31" s="391" t="str">
        <f>"Average of Lines "&amp;A14&amp;" thru "&amp;A26</f>
        <v>Average of Lines 1 thru 13</v>
      </c>
      <c r="E31" s="219">
        <f>E28/13</f>
        <v>0</v>
      </c>
      <c r="F31" s="871" t="str">
        <f>"Average of Lines "&amp;A14&amp;" thru "&amp;A26</f>
        <v>Average of Lines 1 thru 13</v>
      </c>
      <c r="G31" s="932">
        <f t="shared" si="2"/>
        <v>18</v>
      </c>
      <c r="H31" s="204"/>
      <c r="I31" s="205"/>
    </row>
    <row r="32" spans="1:26">
      <c r="A32" s="192">
        <f t="shared" si="1"/>
        <v>19</v>
      </c>
      <c r="B32" s="221"/>
      <c r="C32" s="227"/>
      <c r="D32" s="224"/>
      <c r="E32" s="227"/>
      <c r="F32" s="224"/>
      <c r="G32" s="932">
        <f t="shared" si="2"/>
        <v>19</v>
      </c>
    </row>
    <row r="33" spans="1:6">
      <c r="A33" s="192"/>
      <c r="B33" s="211"/>
      <c r="C33" s="228"/>
      <c r="D33" s="229"/>
      <c r="E33" s="228"/>
      <c r="F33" s="229"/>
    </row>
    <row r="34" spans="1:6">
      <c r="C34" s="230"/>
      <c r="D34" s="229"/>
      <c r="E34" s="230"/>
    </row>
    <row r="35" spans="1:6" ht="18.75">
      <c r="A35" s="231">
        <v>1</v>
      </c>
      <c r="B35" s="1001" t="s">
        <v>701</v>
      </c>
      <c r="C35" s="230"/>
      <c r="D35" s="183"/>
      <c r="E35" s="230"/>
    </row>
    <row r="36" spans="1:6">
      <c r="B36" s="1001"/>
      <c r="C36" s="230"/>
      <c r="D36" s="183"/>
      <c r="E36" s="230"/>
    </row>
    <row r="37" spans="1:6">
      <c r="B37" s="1000"/>
      <c r="C37" s="230"/>
      <c r="D37" s="183"/>
      <c r="E37" s="230"/>
    </row>
    <row r="38" spans="1:6">
      <c r="B38" s="1000"/>
      <c r="C38" s="230"/>
      <c r="D38" s="183"/>
      <c r="E38" s="230"/>
    </row>
    <row r="39" spans="1:6">
      <c r="C39" s="233"/>
      <c r="E39" s="230"/>
    </row>
    <row r="40" spans="1:6">
      <c r="C40" s="233"/>
      <c r="E40" s="230"/>
    </row>
    <row r="41" spans="1:6">
      <c r="C41" s="233"/>
      <c r="E41" s="230"/>
    </row>
    <row r="42" spans="1:6">
      <c r="C42" s="233"/>
      <c r="E42" s="230"/>
    </row>
    <row r="43" spans="1:6">
      <c r="C43" s="233"/>
      <c r="E43" s="230"/>
    </row>
    <row r="44" spans="1:6">
      <c r="C44" s="233"/>
      <c r="E44" s="230"/>
    </row>
    <row r="45" spans="1:6">
      <c r="C45" s="233"/>
      <c r="E45" s="230"/>
    </row>
    <row r="46" spans="1:6">
      <c r="C46" s="233"/>
      <c r="E46" s="230"/>
    </row>
    <row r="47" spans="1:6">
      <c r="C47" s="233"/>
      <c r="E47" s="23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zoomScale="80" zoomScaleNormal="80" workbookViewId="0"/>
  </sheetViews>
  <sheetFormatPr defaultColWidth="9.140625" defaultRowHeight="15.75"/>
  <cols>
    <col min="1" max="1" width="5.140625" style="932" customWidth="1"/>
    <col min="2" max="2" width="11.140625" style="358" customWidth="1"/>
    <col min="3" max="3" width="32.5703125" style="358" customWidth="1"/>
    <col min="4" max="11" width="18.5703125" style="343" customWidth="1"/>
    <col min="12" max="12" width="24" style="343" customWidth="1"/>
    <col min="13" max="13" width="5.140625" style="932" customWidth="1"/>
    <col min="14" max="18" width="9.140625" style="358"/>
    <col min="19" max="19" width="10" style="358" bestFit="1" customWidth="1"/>
    <col min="20" max="16384" width="9.140625" style="358"/>
  </cols>
  <sheetData>
    <row r="2" spans="1:13" s="595" customFormat="1">
      <c r="A2" s="928"/>
      <c r="B2" s="1635" t="s">
        <v>18</v>
      </c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928"/>
    </row>
    <row r="3" spans="1:13" s="595" customFormat="1">
      <c r="A3" s="928"/>
      <c r="B3" s="1635" t="s">
        <v>60</v>
      </c>
      <c r="C3" s="1635"/>
      <c r="D3" s="1635"/>
      <c r="E3" s="1635"/>
      <c r="F3" s="1635"/>
      <c r="G3" s="1635"/>
      <c r="H3" s="1635"/>
      <c r="I3" s="1635"/>
      <c r="J3" s="1635"/>
      <c r="K3" s="1635"/>
      <c r="L3" s="1635"/>
      <c r="M3" s="928"/>
    </row>
    <row r="4" spans="1:13">
      <c r="B4" s="1635" t="s">
        <v>112</v>
      </c>
      <c r="C4" s="1635"/>
      <c r="D4" s="1635"/>
      <c r="E4" s="1635"/>
      <c r="F4" s="1635"/>
      <c r="G4" s="1635"/>
      <c r="H4" s="1635"/>
      <c r="I4" s="1635"/>
      <c r="J4" s="1635"/>
      <c r="K4" s="1635"/>
      <c r="L4" s="1635"/>
    </row>
    <row r="5" spans="1:13">
      <c r="B5" s="1635" t="s">
        <v>105</v>
      </c>
      <c r="C5" s="1635"/>
      <c r="D5" s="1635"/>
      <c r="E5" s="1635"/>
      <c r="F5" s="1635"/>
      <c r="G5" s="1635"/>
      <c r="H5" s="1635"/>
      <c r="I5" s="1635"/>
      <c r="J5" s="1635"/>
      <c r="K5" s="1635"/>
      <c r="L5" s="1635"/>
    </row>
    <row r="6" spans="1:13">
      <c r="B6" s="1635" t="str">
        <f>"BALANCES AS OF 12/31/"&amp;Automation!$B$6-1</f>
        <v>BALANCES AS OF 12/31/2017</v>
      </c>
      <c r="C6" s="1635"/>
      <c r="D6" s="1635"/>
      <c r="E6" s="1635"/>
      <c r="F6" s="1635"/>
      <c r="G6" s="1635"/>
      <c r="H6" s="1635"/>
      <c r="I6" s="1635"/>
      <c r="J6" s="1635"/>
      <c r="K6" s="1635"/>
      <c r="L6" s="1635"/>
    </row>
    <row r="7" spans="1:13">
      <c r="B7" s="1640" t="s">
        <v>3</v>
      </c>
      <c r="C7" s="1635"/>
      <c r="D7" s="1635"/>
      <c r="E7" s="1635"/>
      <c r="F7" s="1635"/>
      <c r="G7" s="1635"/>
      <c r="H7" s="1635"/>
      <c r="I7" s="1635"/>
      <c r="J7" s="1635"/>
      <c r="K7" s="1635"/>
      <c r="L7" s="1635"/>
    </row>
    <row r="8" spans="1:13">
      <c r="C8" s="177"/>
      <c r="D8" s="178"/>
      <c r="E8" s="304"/>
      <c r="F8" s="304"/>
      <c r="G8" s="304"/>
      <c r="H8" s="304"/>
      <c r="I8" s="304"/>
      <c r="J8" s="304"/>
      <c r="K8" s="304"/>
      <c r="L8" s="304"/>
    </row>
    <row r="9" spans="1:13" s="176" customFormat="1">
      <c r="A9" s="928"/>
      <c r="B9" s="382"/>
      <c r="C9" s="305"/>
      <c r="D9" s="306" t="s">
        <v>29</v>
      </c>
      <c r="E9" s="307" t="s">
        <v>30</v>
      </c>
      <c r="F9" s="307" t="s">
        <v>62</v>
      </c>
      <c r="G9" s="307" t="s">
        <v>63</v>
      </c>
      <c r="H9" s="307" t="s">
        <v>64</v>
      </c>
      <c r="I9" s="307" t="s">
        <v>65</v>
      </c>
      <c r="J9" s="307" t="s">
        <v>66</v>
      </c>
      <c r="K9" s="402" t="s">
        <v>67</v>
      </c>
      <c r="L9" s="256"/>
      <c r="M9" s="928"/>
    </row>
    <row r="10" spans="1:13">
      <c r="B10" s="403"/>
      <c r="C10" s="309"/>
      <c r="D10" s="310"/>
      <c r="E10" s="311"/>
      <c r="F10" s="404"/>
      <c r="G10" s="311"/>
      <c r="H10" s="311"/>
      <c r="I10" s="311"/>
      <c r="J10" s="311"/>
      <c r="K10" s="405" t="s">
        <v>31</v>
      </c>
      <c r="L10" s="308"/>
    </row>
    <row r="11" spans="1:13">
      <c r="B11" s="403"/>
      <c r="C11" s="309"/>
      <c r="D11" s="310"/>
      <c r="E11" s="311" t="s">
        <v>68</v>
      </c>
      <c r="F11" s="404" t="s">
        <v>56</v>
      </c>
      <c r="G11" s="311" t="s">
        <v>59</v>
      </c>
      <c r="H11" s="311" t="s">
        <v>59</v>
      </c>
      <c r="I11" s="311" t="s">
        <v>59</v>
      </c>
      <c r="J11" s="311" t="s">
        <v>59</v>
      </c>
      <c r="K11" s="404" t="s">
        <v>59</v>
      </c>
      <c r="L11" s="286"/>
    </row>
    <row r="12" spans="1:13">
      <c r="B12" s="406"/>
      <c r="C12" s="314"/>
      <c r="D12" s="316" t="s">
        <v>31</v>
      </c>
      <c r="E12" s="311" t="s">
        <v>110</v>
      </c>
      <c r="F12" s="311" t="s">
        <v>110</v>
      </c>
      <c r="G12" s="311" t="s">
        <v>110</v>
      </c>
      <c r="H12" s="311" t="s">
        <v>110</v>
      </c>
      <c r="I12" s="311" t="s">
        <v>110</v>
      </c>
      <c r="J12" s="311" t="s">
        <v>110</v>
      </c>
      <c r="K12" s="404" t="s">
        <v>104</v>
      </c>
      <c r="L12" s="187"/>
    </row>
    <row r="13" spans="1:13">
      <c r="A13" s="932" t="s">
        <v>4</v>
      </c>
      <c r="B13" s="372"/>
      <c r="C13" s="214"/>
      <c r="D13" s="316" t="s">
        <v>59</v>
      </c>
      <c r="E13" s="311" t="s">
        <v>111</v>
      </c>
      <c r="F13" s="311" t="s">
        <v>111</v>
      </c>
      <c r="G13" s="311" t="s">
        <v>111</v>
      </c>
      <c r="H13" s="311" t="s">
        <v>111</v>
      </c>
      <c r="I13" s="311" t="s">
        <v>111</v>
      </c>
      <c r="J13" s="311" t="s">
        <v>111</v>
      </c>
      <c r="K13" s="404" t="s">
        <v>34</v>
      </c>
      <c r="L13" s="187"/>
      <c r="M13" s="932" t="s">
        <v>4</v>
      </c>
    </row>
    <row r="14" spans="1:13">
      <c r="A14" s="932" t="s">
        <v>25</v>
      </c>
      <c r="B14" s="364" t="s">
        <v>71</v>
      </c>
      <c r="C14" s="196" t="s">
        <v>72</v>
      </c>
      <c r="D14" s="407" t="s">
        <v>110</v>
      </c>
      <c r="E14" s="319" t="s">
        <v>73</v>
      </c>
      <c r="F14" s="319" t="s">
        <v>74</v>
      </c>
      <c r="G14" s="319" t="s">
        <v>109</v>
      </c>
      <c r="H14" s="319" t="s">
        <v>108</v>
      </c>
      <c r="I14" s="319" t="s">
        <v>107</v>
      </c>
      <c r="J14" s="319" t="s">
        <v>77</v>
      </c>
      <c r="K14" s="199" t="s">
        <v>78</v>
      </c>
      <c r="L14" s="196" t="s">
        <v>9</v>
      </c>
      <c r="M14" s="932" t="s">
        <v>25</v>
      </c>
    </row>
    <row r="15" spans="1:13">
      <c r="B15" s="314"/>
      <c r="C15" s="314" t="s">
        <v>79</v>
      </c>
      <c r="D15" s="321"/>
      <c r="E15" s="314"/>
      <c r="F15" s="314"/>
      <c r="G15" s="314"/>
      <c r="H15" s="314"/>
      <c r="I15" s="314"/>
      <c r="J15" s="314"/>
      <c r="K15" s="322"/>
      <c r="L15" s="286"/>
    </row>
    <row r="16" spans="1:13">
      <c r="A16" s="932">
        <v>1</v>
      </c>
      <c r="B16" s="354">
        <v>303</v>
      </c>
      <c r="C16" s="95" t="s">
        <v>80</v>
      </c>
      <c r="D16" s="325">
        <v>0</v>
      </c>
      <c r="E16" s="325">
        <v>0</v>
      </c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244">
        <f>SUM(D16:J16)</f>
        <v>0</v>
      </c>
      <c r="L16" s="286" t="s">
        <v>442</v>
      </c>
      <c r="M16" s="932">
        <f>A16</f>
        <v>1</v>
      </c>
    </row>
    <row r="17" spans="1:15">
      <c r="A17" s="932">
        <f>A16+1</f>
        <v>2</v>
      </c>
      <c r="B17" s="355">
        <v>310.10000000000002</v>
      </c>
      <c r="C17" s="95" t="s">
        <v>81</v>
      </c>
      <c r="D17" s="327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245">
        <f>SUM(D17:J17)</f>
        <v>0</v>
      </c>
      <c r="L17" s="286" t="s">
        <v>442</v>
      </c>
      <c r="M17" s="932">
        <f>M16+1</f>
        <v>2</v>
      </c>
    </row>
    <row r="18" spans="1:15">
      <c r="A18" s="932">
        <f t="shared" ref="A18:A36" si="0">A17+1</f>
        <v>3</v>
      </c>
      <c r="B18" s="354">
        <v>340</v>
      </c>
      <c r="C18" s="356" t="s">
        <v>82</v>
      </c>
      <c r="D18" s="327">
        <v>0</v>
      </c>
      <c r="E18" s="328">
        <v>1.1088500000000001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9">
        <f>SUM(D18:J18)</f>
        <v>1.1088500000000001</v>
      </c>
      <c r="L18" s="286" t="s">
        <v>442</v>
      </c>
      <c r="M18" s="932">
        <f t="shared" ref="M18:M36" si="1">M17+1</f>
        <v>3</v>
      </c>
    </row>
    <row r="19" spans="1:15">
      <c r="A19" s="932">
        <f t="shared" si="0"/>
        <v>4</v>
      </c>
      <c r="B19" s="354">
        <v>360</v>
      </c>
      <c r="C19" s="356" t="s">
        <v>82</v>
      </c>
      <c r="D19" s="327">
        <v>0</v>
      </c>
      <c r="E19" s="328">
        <v>0</v>
      </c>
      <c r="F19" s="328">
        <v>51.554079999999999</v>
      </c>
      <c r="G19" s="328">
        <v>0</v>
      </c>
      <c r="H19" s="328">
        <v>0</v>
      </c>
      <c r="I19" s="328">
        <v>0</v>
      </c>
      <c r="J19" s="328">
        <v>0</v>
      </c>
      <c r="K19" s="329">
        <f>SUM(D19:J19)</f>
        <v>51.554079999999999</v>
      </c>
      <c r="L19" s="286" t="s">
        <v>442</v>
      </c>
      <c r="M19" s="932">
        <f t="shared" si="1"/>
        <v>4</v>
      </c>
    </row>
    <row r="20" spans="1:15">
      <c r="A20" s="932">
        <f t="shared" si="0"/>
        <v>5</v>
      </c>
      <c r="B20" s="354">
        <v>361</v>
      </c>
      <c r="C20" s="95" t="s">
        <v>83</v>
      </c>
      <c r="D20" s="327">
        <v>0</v>
      </c>
      <c r="E20" s="328">
        <v>0</v>
      </c>
      <c r="F20" s="328">
        <v>495.83832000000001</v>
      </c>
      <c r="G20" s="328">
        <v>0</v>
      </c>
      <c r="H20" s="328">
        <v>0</v>
      </c>
      <c r="I20" s="328">
        <v>0</v>
      </c>
      <c r="J20" s="328">
        <v>0</v>
      </c>
      <c r="K20" s="329">
        <f>SUM(D20:J20)</f>
        <v>495.83832000000001</v>
      </c>
      <c r="L20" s="286" t="s">
        <v>442</v>
      </c>
      <c r="M20" s="932">
        <f t="shared" si="1"/>
        <v>5</v>
      </c>
    </row>
    <row r="21" spans="1:15">
      <c r="A21" s="932">
        <f t="shared" si="0"/>
        <v>6</v>
      </c>
      <c r="B21" s="286"/>
      <c r="C21" s="314"/>
      <c r="D21" s="321"/>
      <c r="E21" s="314"/>
      <c r="F21" s="314"/>
      <c r="G21" s="314"/>
      <c r="H21" s="314"/>
      <c r="I21" s="314"/>
      <c r="J21" s="314"/>
      <c r="K21" s="329"/>
      <c r="L21" s="286"/>
      <c r="M21" s="932">
        <f t="shared" si="1"/>
        <v>6</v>
      </c>
    </row>
    <row r="22" spans="1:15" s="595" customFormat="1">
      <c r="A22" s="932">
        <f t="shared" si="0"/>
        <v>7</v>
      </c>
      <c r="B22" s="330" t="s">
        <v>84</v>
      </c>
      <c r="C22" s="331" t="s">
        <v>85</v>
      </c>
      <c r="D22" s="332">
        <f t="shared" ref="D22:I22" si="2">SUM(D16:D21)</f>
        <v>0</v>
      </c>
      <c r="E22" s="332">
        <f t="shared" si="2"/>
        <v>1.1088500000000001</v>
      </c>
      <c r="F22" s="332">
        <f>SUM(F16:F21)</f>
        <v>547.39239999999995</v>
      </c>
      <c r="G22" s="332">
        <f t="shared" si="2"/>
        <v>0</v>
      </c>
      <c r="H22" s="332">
        <f t="shared" si="2"/>
        <v>0</v>
      </c>
      <c r="I22" s="332">
        <f t="shared" si="2"/>
        <v>0</v>
      </c>
      <c r="J22" s="332">
        <f>SUM(J16:J21)</f>
        <v>0</v>
      </c>
      <c r="K22" s="333">
        <f>SUM(K16:K21)</f>
        <v>548.50125000000003</v>
      </c>
      <c r="L22" s="334" t="str">
        <f>"Sum Lines "&amp;A16&amp;" thru "&amp;A20</f>
        <v>Sum Lines 1 thru 5</v>
      </c>
      <c r="M22" s="932">
        <f t="shared" si="1"/>
        <v>7</v>
      </c>
    </row>
    <row r="23" spans="1:15">
      <c r="A23" s="932">
        <f t="shared" si="0"/>
        <v>8</v>
      </c>
      <c r="B23" s="286"/>
      <c r="C23" s="314"/>
      <c r="D23" s="335"/>
      <c r="E23" s="336"/>
      <c r="F23" s="336"/>
      <c r="G23" s="336"/>
      <c r="H23" s="336"/>
      <c r="I23" s="336"/>
      <c r="J23" s="336"/>
      <c r="K23" s="409"/>
      <c r="L23" s="286"/>
      <c r="M23" s="932">
        <f t="shared" si="1"/>
        <v>8</v>
      </c>
    </row>
    <row r="24" spans="1:15">
      <c r="A24" s="932">
        <f t="shared" si="0"/>
        <v>9</v>
      </c>
      <c r="B24" s="354">
        <v>350</v>
      </c>
      <c r="C24" s="95" t="s">
        <v>82</v>
      </c>
      <c r="D24" s="325">
        <v>22318.5864</v>
      </c>
      <c r="E24" s="326">
        <v>0</v>
      </c>
      <c r="F24" s="325">
        <v>0</v>
      </c>
      <c r="G24" s="325">
        <v>0</v>
      </c>
      <c r="H24" s="325">
        <v>0</v>
      </c>
      <c r="I24" s="326">
        <v>0</v>
      </c>
      <c r="J24" s="326">
        <v>-317.15737999999999</v>
      </c>
      <c r="K24" s="244">
        <f t="shared" ref="K24:K32" si="3">SUM(D24:J24)</f>
        <v>22001.42902</v>
      </c>
      <c r="L24" s="286" t="s">
        <v>442</v>
      </c>
      <c r="M24" s="932">
        <f t="shared" si="1"/>
        <v>9</v>
      </c>
    </row>
    <row r="25" spans="1:15">
      <c r="A25" s="932">
        <f t="shared" si="0"/>
        <v>10</v>
      </c>
      <c r="B25" s="354">
        <v>352</v>
      </c>
      <c r="C25" s="95" t="s">
        <v>83</v>
      </c>
      <c r="D25" s="335">
        <v>72434.253959999987</v>
      </c>
      <c r="E25" s="328">
        <v>0</v>
      </c>
      <c r="F25" s="328">
        <v>0</v>
      </c>
      <c r="G25" s="335">
        <v>-388.27064000000001</v>
      </c>
      <c r="H25" s="327">
        <v>0</v>
      </c>
      <c r="I25" s="328">
        <v>0</v>
      </c>
      <c r="J25" s="336">
        <v>-12807.257750000001</v>
      </c>
      <c r="K25" s="329">
        <f t="shared" si="3"/>
        <v>59238.725569999981</v>
      </c>
      <c r="L25" s="286" t="s">
        <v>442</v>
      </c>
      <c r="M25" s="932">
        <f t="shared" si="1"/>
        <v>10</v>
      </c>
      <c r="O25" s="251"/>
    </row>
    <row r="26" spans="1:15">
      <c r="A26" s="932">
        <f t="shared" si="0"/>
        <v>11</v>
      </c>
      <c r="B26" s="354">
        <v>353</v>
      </c>
      <c r="C26" s="95" t="s">
        <v>86</v>
      </c>
      <c r="D26" s="335">
        <v>314844.96137999999</v>
      </c>
      <c r="E26" s="328">
        <v>0</v>
      </c>
      <c r="F26" s="328">
        <v>0</v>
      </c>
      <c r="G26" s="335">
        <v>-2139.87781</v>
      </c>
      <c r="H26" s="327">
        <v>-346.24047999999999</v>
      </c>
      <c r="I26" s="328">
        <v>0</v>
      </c>
      <c r="J26" s="336">
        <v>-1340.24128</v>
      </c>
      <c r="K26" s="329">
        <f t="shared" si="3"/>
        <v>311018.60181000002</v>
      </c>
      <c r="L26" s="286" t="s">
        <v>442</v>
      </c>
      <c r="M26" s="932">
        <f t="shared" si="1"/>
        <v>11</v>
      </c>
    </row>
    <row r="27" spans="1:15">
      <c r="A27" s="932">
        <f t="shared" si="0"/>
        <v>12</v>
      </c>
      <c r="B27" s="354">
        <v>354</v>
      </c>
      <c r="C27" s="95" t="s">
        <v>87</v>
      </c>
      <c r="D27" s="335">
        <v>173364.00844000001</v>
      </c>
      <c r="E27" s="328">
        <v>0</v>
      </c>
      <c r="F27" s="328">
        <v>0</v>
      </c>
      <c r="G27" s="335">
        <v>0</v>
      </c>
      <c r="H27" s="327">
        <v>0</v>
      </c>
      <c r="I27" s="328">
        <v>0</v>
      </c>
      <c r="J27" s="336">
        <v>0</v>
      </c>
      <c r="K27" s="329">
        <f t="shared" si="3"/>
        <v>173364.00844000001</v>
      </c>
      <c r="L27" s="286" t="s">
        <v>442</v>
      </c>
      <c r="M27" s="932">
        <f t="shared" si="1"/>
        <v>12</v>
      </c>
    </row>
    <row r="28" spans="1:15">
      <c r="A28" s="932">
        <f t="shared" si="0"/>
        <v>13</v>
      </c>
      <c r="B28" s="354">
        <v>355</v>
      </c>
      <c r="C28" s="95" t="s">
        <v>88</v>
      </c>
      <c r="D28" s="335">
        <v>107089.71209999999</v>
      </c>
      <c r="E28" s="328">
        <v>0</v>
      </c>
      <c r="F28" s="328">
        <v>0</v>
      </c>
      <c r="G28" s="335">
        <v>0</v>
      </c>
      <c r="H28" s="327">
        <v>0</v>
      </c>
      <c r="I28" s="328">
        <v>0</v>
      </c>
      <c r="J28" s="336">
        <v>0</v>
      </c>
      <c r="K28" s="329">
        <f t="shared" si="3"/>
        <v>107089.71209999999</v>
      </c>
      <c r="L28" s="286" t="s">
        <v>442</v>
      </c>
      <c r="M28" s="932">
        <f t="shared" si="1"/>
        <v>13</v>
      </c>
    </row>
    <row r="29" spans="1:15">
      <c r="A29" s="932">
        <f t="shared" si="0"/>
        <v>14</v>
      </c>
      <c r="B29" s="354">
        <v>356</v>
      </c>
      <c r="C29" s="95" t="s">
        <v>89</v>
      </c>
      <c r="D29" s="335">
        <v>233623.8964</v>
      </c>
      <c r="E29" s="328">
        <v>0</v>
      </c>
      <c r="F29" s="328">
        <v>0</v>
      </c>
      <c r="G29" s="335">
        <v>0</v>
      </c>
      <c r="H29" s="327">
        <v>0</v>
      </c>
      <c r="I29" s="328">
        <v>0</v>
      </c>
      <c r="J29" s="336">
        <v>0</v>
      </c>
      <c r="K29" s="329">
        <f t="shared" si="3"/>
        <v>233623.8964</v>
      </c>
      <c r="L29" s="286" t="s">
        <v>442</v>
      </c>
      <c r="M29" s="932">
        <f t="shared" si="1"/>
        <v>14</v>
      </c>
    </row>
    <row r="30" spans="1:15">
      <c r="A30" s="932">
        <f t="shared" si="0"/>
        <v>15</v>
      </c>
      <c r="B30" s="354">
        <v>357</v>
      </c>
      <c r="C30" s="95" t="s">
        <v>90</v>
      </c>
      <c r="D30" s="335">
        <v>61170.239179999997</v>
      </c>
      <c r="E30" s="328">
        <v>0</v>
      </c>
      <c r="F30" s="328">
        <v>0</v>
      </c>
      <c r="G30" s="335">
        <v>0</v>
      </c>
      <c r="H30" s="327">
        <v>0</v>
      </c>
      <c r="I30" s="328">
        <v>0</v>
      </c>
      <c r="J30" s="336">
        <v>0</v>
      </c>
      <c r="K30" s="329">
        <f t="shared" si="3"/>
        <v>61170.239179999997</v>
      </c>
      <c r="L30" s="286" t="s">
        <v>442</v>
      </c>
      <c r="M30" s="932">
        <f t="shared" si="1"/>
        <v>15</v>
      </c>
    </row>
    <row r="31" spans="1:15">
      <c r="A31" s="932">
        <f t="shared" si="0"/>
        <v>16</v>
      </c>
      <c r="B31" s="354">
        <v>358</v>
      </c>
      <c r="C31" s="95" t="s">
        <v>91</v>
      </c>
      <c r="D31" s="335">
        <v>60017.420600000005</v>
      </c>
      <c r="E31" s="328">
        <v>0</v>
      </c>
      <c r="F31" s="328">
        <v>0</v>
      </c>
      <c r="G31" s="335">
        <v>-469.86541999999997</v>
      </c>
      <c r="H31" s="327">
        <v>0</v>
      </c>
      <c r="I31" s="328">
        <v>0</v>
      </c>
      <c r="J31" s="336">
        <v>0</v>
      </c>
      <c r="K31" s="329">
        <f t="shared" si="3"/>
        <v>59547.555180000003</v>
      </c>
      <c r="L31" s="286" t="s">
        <v>442</v>
      </c>
      <c r="M31" s="932">
        <f t="shared" si="1"/>
        <v>16</v>
      </c>
    </row>
    <row r="32" spans="1:15">
      <c r="A32" s="932">
        <f t="shared" si="0"/>
        <v>17</v>
      </c>
      <c r="B32" s="354">
        <v>359</v>
      </c>
      <c r="C32" s="95" t="s">
        <v>92</v>
      </c>
      <c r="D32" s="335">
        <v>33313.026310000001</v>
      </c>
      <c r="E32" s="328">
        <v>0</v>
      </c>
      <c r="F32" s="328">
        <v>0</v>
      </c>
      <c r="G32" s="335">
        <v>0</v>
      </c>
      <c r="H32" s="327">
        <v>0</v>
      </c>
      <c r="I32" s="328">
        <v>0</v>
      </c>
      <c r="J32" s="336">
        <v>0</v>
      </c>
      <c r="K32" s="329">
        <f t="shared" si="3"/>
        <v>33313.026310000001</v>
      </c>
      <c r="L32" s="286" t="s">
        <v>442</v>
      </c>
      <c r="M32" s="932">
        <f t="shared" si="1"/>
        <v>17</v>
      </c>
    </row>
    <row r="33" spans="1:13">
      <c r="A33" s="932">
        <f t="shared" si="0"/>
        <v>18</v>
      </c>
      <c r="B33" s="410"/>
      <c r="C33" s="314"/>
      <c r="D33" s="335"/>
      <c r="F33" s="344"/>
      <c r="G33" s="344"/>
      <c r="H33" s="344"/>
      <c r="I33" s="344"/>
      <c r="J33" s="336"/>
      <c r="K33" s="411"/>
      <c r="L33" s="323"/>
      <c r="M33" s="932">
        <f t="shared" si="1"/>
        <v>18</v>
      </c>
    </row>
    <row r="34" spans="1:13">
      <c r="A34" s="932">
        <f t="shared" si="0"/>
        <v>19</v>
      </c>
      <c r="B34" s="346" t="s">
        <v>84</v>
      </c>
      <c r="C34" s="331" t="s">
        <v>58</v>
      </c>
      <c r="D34" s="332">
        <f t="shared" ref="D34:I34" si="4">SUM(D24:D33)</f>
        <v>1078176.1047700001</v>
      </c>
      <c r="E34" s="332">
        <f t="shared" si="4"/>
        <v>0</v>
      </c>
      <c r="F34" s="332">
        <f>SUM(F24:F33)</f>
        <v>0</v>
      </c>
      <c r="G34" s="332">
        <f t="shared" si="4"/>
        <v>-2998.0138700000002</v>
      </c>
      <c r="H34" s="332">
        <f t="shared" si="4"/>
        <v>-346.24047999999999</v>
      </c>
      <c r="I34" s="332">
        <f t="shared" si="4"/>
        <v>0</v>
      </c>
      <c r="J34" s="332">
        <f>SUM(J24:J33)</f>
        <v>-14464.656410000001</v>
      </c>
      <c r="K34" s="333">
        <f>SUM(K24:K33)</f>
        <v>1060367.1940100002</v>
      </c>
      <c r="L34" s="347" t="str">
        <f>"Sum Lines "&amp;A24&amp;" thru "&amp;A32</f>
        <v>Sum Lines 9 thru 17</v>
      </c>
      <c r="M34" s="932">
        <f t="shared" si="1"/>
        <v>19</v>
      </c>
    </row>
    <row r="35" spans="1:13">
      <c r="A35" s="932">
        <f t="shared" si="0"/>
        <v>20</v>
      </c>
      <c r="B35" s="406"/>
      <c r="D35" s="348"/>
      <c r="J35" s="337"/>
      <c r="K35" s="337"/>
      <c r="L35" s="349"/>
      <c r="M35" s="932">
        <f t="shared" si="1"/>
        <v>20</v>
      </c>
    </row>
    <row r="36" spans="1:13">
      <c r="A36" s="932">
        <f t="shared" si="0"/>
        <v>21</v>
      </c>
      <c r="B36" s="412" t="s">
        <v>93</v>
      </c>
      <c r="C36" s="351"/>
      <c r="D36" s="352">
        <f t="shared" ref="D36:I36" si="5">D34+D22</f>
        <v>1078176.1047700001</v>
      </c>
      <c r="E36" s="352">
        <f t="shared" si="5"/>
        <v>1.1088500000000001</v>
      </c>
      <c r="F36" s="352">
        <f>F34+F22</f>
        <v>547.39239999999995</v>
      </c>
      <c r="G36" s="352">
        <f t="shared" si="5"/>
        <v>-2998.0138700000002</v>
      </c>
      <c r="H36" s="352">
        <f t="shared" si="5"/>
        <v>-346.24047999999999</v>
      </c>
      <c r="I36" s="353">
        <f t="shared" si="5"/>
        <v>0</v>
      </c>
      <c r="J36" s="352">
        <f>J34+J22</f>
        <v>-14464.656410000001</v>
      </c>
      <c r="K36" s="352">
        <f>K34+K22</f>
        <v>1060915.6952600002</v>
      </c>
      <c r="L36" s="334" t="str">
        <f>"Line "&amp;A22&amp;" + Line "&amp;A34</f>
        <v>Line 7 + Line 19</v>
      </c>
      <c r="M36" s="932">
        <f t="shared" si="1"/>
        <v>21</v>
      </c>
    </row>
    <row r="37" spans="1:13">
      <c r="D37" s="358"/>
      <c r="K37" s="413"/>
      <c r="L37" s="413"/>
    </row>
    <row r="38" spans="1:13">
      <c r="D38" s="358"/>
      <c r="K38" s="413"/>
      <c r="L38" s="413"/>
    </row>
    <row r="39" spans="1:13">
      <c r="B39" s="358" t="s">
        <v>458</v>
      </c>
      <c r="D39" s="358"/>
    </row>
    <row r="40" spans="1:13">
      <c r="D40" s="358"/>
    </row>
    <row r="41" spans="1:13">
      <c r="D41" s="358"/>
    </row>
    <row r="42" spans="1:13">
      <c r="D42" s="358"/>
    </row>
    <row r="43" spans="1:13">
      <c r="B43" s="926"/>
      <c r="D43" s="358"/>
    </row>
    <row r="44" spans="1:13">
      <c r="D44" s="358"/>
    </row>
    <row r="45" spans="1:13">
      <c r="D45" s="358"/>
    </row>
    <row r="46" spans="1:13">
      <c r="D46" s="358"/>
    </row>
    <row r="47" spans="1:13">
      <c r="D47" s="358"/>
    </row>
    <row r="48" spans="1:13">
      <c r="D48" s="358"/>
    </row>
    <row r="49" spans="4:4">
      <c r="D49" s="358"/>
    </row>
    <row r="50" spans="4:4">
      <c r="D50" s="358"/>
    </row>
    <row r="51" spans="4:4">
      <c r="D51" s="358"/>
    </row>
    <row r="52" spans="4:4">
      <c r="D52" s="358"/>
    </row>
    <row r="53" spans="4:4">
      <c r="D53" s="358"/>
    </row>
    <row r="54" spans="4:4">
      <c r="D54" s="358"/>
    </row>
    <row r="55" spans="4:4">
      <c r="D55" s="358"/>
    </row>
    <row r="56" spans="4:4">
      <c r="D56" s="358"/>
    </row>
    <row r="57" spans="4:4">
      <c r="D57" s="358"/>
    </row>
    <row r="58" spans="4:4">
      <c r="D58" s="358"/>
    </row>
    <row r="59" spans="4:4">
      <c r="D59" s="358"/>
    </row>
    <row r="60" spans="4:4">
      <c r="D60" s="358"/>
    </row>
    <row r="61" spans="4:4">
      <c r="D61" s="358"/>
    </row>
    <row r="62" spans="4:4">
      <c r="D62" s="358"/>
    </row>
    <row r="63" spans="4:4">
      <c r="D63" s="358"/>
    </row>
    <row r="64" spans="4:4">
      <c r="D64" s="358"/>
    </row>
    <row r="65" spans="4:4">
      <c r="D65" s="358"/>
    </row>
    <row r="66" spans="4:4">
      <c r="D66" s="358"/>
    </row>
    <row r="67" spans="4:4">
      <c r="D67" s="358"/>
    </row>
    <row r="68" spans="4:4">
      <c r="D68" s="358"/>
    </row>
    <row r="69" spans="4:4">
      <c r="D69" s="358"/>
    </row>
    <row r="70" spans="4:4">
      <c r="D70" s="358"/>
    </row>
    <row r="71" spans="4:4">
      <c r="D71" s="358"/>
    </row>
    <row r="72" spans="4:4">
      <c r="D72" s="358"/>
    </row>
    <row r="73" spans="4:4">
      <c r="D73" s="358"/>
    </row>
    <row r="74" spans="4:4">
      <c r="D74" s="358"/>
    </row>
    <row r="75" spans="4:4">
      <c r="D75" s="358"/>
    </row>
    <row r="76" spans="4:4">
      <c r="D76" s="358"/>
    </row>
    <row r="77" spans="4:4">
      <c r="D77" s="358"/>
    </row>
    <row r="78" spans="4:4">
      <c r="D78" s="358"/>
    </row>
    <row r="79" spans="4:4">
      <c r="D79" s="358"/>
    </row>
    <row r="80" spans="4:4">
      <c r="D80" s="358"/>
    </row>
    <row r="81" spans="4:4">
      <c r="D81" s="358"/>
    </row>
    <row r="82" spans="4:4">
      <c r="D82" s="358"/>
    </row>
    <row r="83" spans="4:4">
      <c r="D83" s="358"/>
    </row>
    <row r="84" spans="4:4">
      <c r="D84" s="358"/>
    </row>
    <row r="85" spans="4:4">
      <c r="D85" s="358"/>
    </row>
    <row r="86" spans="4:4">
      <c r="D86" s="358"/>
    </row>
    <row r="87" spans="4:4">
      <c r="D87" s="358"/>
    </row>
    <row r="88" spans="4:4">
      <c r="D88" s="358"/>
    </row>
    <row r="89" spans="4:4">
      <c r="D89" s="358"/>
    </row>
    <row r="90" spans="4:4">
      <c r="D90" s="358"/>
    </row>
    <row r="91" spans="4:4">
      <c r="D91" s="358"/>
    </row>
    <row r="92" spans="4:4">
      <c r="D92" s="358"/>
    </row>
    <row r="93" spans="4:4">
      <c r="D93" s="358"/>
    </row>
    <row r="94" spans="4:4">
      <c r="D94" s="358"/>
    </row>
    <row r="95" spans="4:4">
      <c r="D95" s="358"/>
    </row>
    <row r="96" spans="4:4">
      <c r="D96" s="358"/>
    </row>
    <row r="97" spans="4:4">
      <c r="D97" s="358"/>
    </row>
    <row r="98" spans="4:4">
      <c r="D98" s="358"/>
    </row>
    <row r="99" spans="4:4">
      <c r="D99" s="358"/>
    </row>
    <row r="100" spans="4:4">
      <c r="D100" s="358"/>
    </row>
    <row r="101" spans="4:4">
      <c r="D101" s="358"/>
    </row>
    <row r="102" spans="4:4">
      <c r="D102" s="358"/>
    </row>
    <row r="103" spans="4:4">
      <c r="D103" s="358"/>
    </row>
    <row r="104" spans="4:4">
      <c r="D104" s="358"/>
    </row>
    <row r="105" spans="4:4">
      <c r="D105" s="358"/>
    </row>
    <row r="106" spans="4:4">
      <c r="D106" s="358"/>
    </row>
    <row r="107" spans="4:4">
      <c r="D107" s="358"/>
    </row>
    <row r="108" spans="4:4">
      <c r="D108" s="358"/>
    </row>
    <row r="109" spans="4:4">
      <c r="D109" s="358"/>
    </row>
    <row r="110" spans="4:4">
      <c r="D110" s="358"/>
    </row>
    <row r="111" spans="4:4">
      <c r="D111" s="358"/>
    </row>
    <row r="112" spans="4:4">
      <c r="D112" s="358"/>
    </row>
    <row r="113" spans="4:4">
      <c r="D113" s="358"/>
    </row>
    <row r="114" spans="4:4">
      <c r="D114" s="358"/>
    </row>
    <row r="115" spans="4:4">
      <c r="D115" s="358"/>
    </row>
    <row r="116" spans="4:4">
      <c r="D116" s="358"/>
    </row>
    <row r="117" spans="4:4">
      <c r="D117" s="358"/>
    </row>
    <row r="118" spans="4:4">
      <c r="D118" s="358"/>
    </row>
    <row r="119" spans="4:4">
      <c r="D119" s="358"/>
    </row>
    <row r="120" spans="4:4">
      <c r="D120" s="358"/>
    </row>
    <row r="121" spans="4:4">
      <c r="D121" s="358"/>
    </row>
    <row r="122" spans="4:4">
      <c r="D122" s="358"/>
    </row>
    <row r="123" spans="4:4">
      <c r="D123" s="358"/>
    </row>
    <row r="124" spans="4:4">
      <c r="D124" s="358"/>
    </row>
    <row r="125" spans="4:4">
      <c r="D125" s="358"/>
    </row>
    <row r="126" spans="4:4">
      <c r="D126" s="358"/>
    </row>
    <row r="127" spans="4:4">
      <c r="D127" s="358"/>
    </row>
    <row r="128" spans="4:4">
      <c r="D128" s="358"/>
    </row>
    <row r="129" spans="4:4">
      <c r="D129" s="358"/>
    </row>
    <row r="130" spans="4:4">
      <c r="D130" s="358"/>
    </row>
    <row r="131" spans="4:4">
      <c r="D131" s="358"/>
    </row>
    <row r="132" spans="4:4">
      <c r="D132" s="358"/>
    </row>
    <row r="133" spans="4:4">
      <c r="D133" s="358"/>
    </row>
    <row r="134" spans="4:4">
      <c r="D134" s="358"/>
    </row>
    <row r="135" spans="4:4">
      <c r="D135" s="358"/>
    </row>
    <row r="136" spans="4:4">
      <c r="D136" s="358"/>
    </row>
    <row r="137" spans="4:4">
      <c r="D137" s="358"/>
    </row>
    <row r="138" spans="4:4">
      <c r="D138" s="358"/>
    </row>
    <row r="139" spans="4:4">
      <c r="D139" s="358"/>
    </row>
    <row r="140" spans="4:4">
      <c r="D140" s="358"/>
    </row>
    <row r="141" spans="4:4">
      <c r="D141" s="358"/>
    </row>
    <row r="142" spans="4:4">
      <c r="D142" s="358"/>
    </row>
    <row r="143" spans="4:4">
      <c r="D143" s="358"/>
    </row>
    <row r="144" spans="4:4">
      <c r="D144" s="358"/>
    </row>
    <row r="145" spans="4:4">
      <c r="D145" s="358"/>
    </row>
    <row r="146" spans="4:4">
      <c r="D146" s="358"/>
    </row>
    <row r="147" spans="4:4">
      <c r="D147" s="358"/>
    </row>
    <row r="148" spans="4:4">
      <c r="D148" s="358"/>
    </row>
    <row r="149" spans="4:4">
      <c r="D149" s="358"/>
    </row>
    <row r="150" spans="4:4">
      <c r="D150" s="358"/>
    </row>
    <row r="151" spans="4:4">
      <c r="D151" s="358"/>
    </row>
    <row r="152" spans="4:4">
      <c r="D152" s="358"/>
    </row>
    <row r="153" spans="4:4">
      <c r="D153" s="358"/>
    </row>
    <row r="154" spans="4:4">
      <c r="D154" s="358"/>
    </row>
    <row r="155" spans="4:4">
      <c r="D155" s="358"/>
    </row>
    <row r="156" spans="4:4">
      <c r="D156" s="358"/>
    </row>
    <row r="157" spans="4:4">
      <c r="D157" s="358"/>
    </row>
    <row r="158" spans="4:4">
      <c r="D158" s="358"/>
    </row>
    <row r="159" spans="4:4">
      <c r="D159" s="358"/>
    </row>
    <row r="160" spans="4:4">
      <c r="D160" s="358"/>
    </row>
    <row r="161" spans="4:4">
      <c r="D161" s="358"/>
    </row>
    <row r="162" spans="4:4">
      <c r="D162" s="358"/>
    </row>
    <row r="163" spans="4:4">
      <c r="D163" s="358"/>
    </row>
    <row r="164" spans="4:4">
      <c r="D164" s="358"/>
    </row>
    <row r="165" spans="4:4">
      <c r="D165" s="358"/>
    </row>
    <row r="166" spans="4:4">
      <c r="D166" s="358"/>
    </row>
    <row r="167" spans="4:4">
      <c r="D167" s="358"/>
    </row>
    <row r="168" spans="4:4">
      <c r="D168" s="358"/>
    </row>
    <row r="169" spans="4:4">
      <c r="D169" s="358"/>
    </row>
    <row r="170" spans="4:4">
      <c r="D170" s="358"/>
    </row>
    <row r="171" spans="4:4">
      <c r="D171" s="358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/>
  </sheetViews>
  <sheetFormatPr defaultColWidth="9.140625" defaultRowHeight="15.75"/>
  <cols>
    <col min="1" max="1" width="5.140625" style="932" customWidth="1"/>
    <col min="2" max="2" width="11.140625" style="232" customWidth="1"/>
    <col min="3" max="3" width="32.5703125" style="232" customWidth="1"/>
    <col min="4" max="11" width="18.5703125" style="343" customWidth="1"/>
    <col min="12" max="12" width="24" style="343" customWidth="1"/>
    <col min="13" max="13" width="5.140625" style="932" customWidth="1"/>
    <col min="14" max="16384" width="9.140625" style="232"/>
  </cols>
  <sheetData>
    <row r="2" spans="1:13" s="175" customFormat="1">
      <c r="A2" s="928"/>
      <c r="B2" s="1635" t="s">
        <v>18</v>
      </c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928"/>
    </row>
    <row r="3" spans="1:13" s="175" customFormat="1">
      <c r="A3" s="928"/>
      <c r="B3" s="1635" t="s">
        <v>60</v>
      </c>
      <c r="C3" s="1635"/>
      <c r="D3" s="1635"/>
      <c r="E3" s="1635"/>
      <c r="F3" s="1635"/>
      <c r="G3" s="1635"/>
      <c r="H3" s="1635"/>
      <c r="I3" s="1635"/>
      <c r="J3" s="1635"/>
      <c r="K3" s="1635"/>
      <c r="L3" s="1635"/>
      <c r="M3" s="928"/>
    </row>
    <row r="4" spans="1:13">
      <c r="B4" s="1635" t="s">
        <v>112</v>
      </c>
      <c r="C4" s="1635"/>
      <c r="D4" s="1635"/>
      <c r="E4" s="1635"/>
      <c r="F4" s="1635"/>
      <c r="G4" s="1635"/>
      <c r="H4" s="1635"/>
      <c r="I4" s="1635"/>
      <c r="J4" s="1635"/>
      <c r="K4" s="1635"/>
      <c r="L4" s="1635"/>
    </row>
    <row r="5" spans="1:13">
      <c r="B5" s="1635" t="s">
        <v>105</v>
      </c>
      <c r="C5" s="1635"/>
      <c r="D5" s="1635"/>
      <c r="E5" s="1635"/>
      <c r="F5" s="1635"/>
      <c r="G5" s="1635"/>
      <c r="H5" s="1635"/>
      <c r="I5" s="1635"/>
      <c r="J5" s="1635"/>
      <c r="K5" s="1635"/>
      <c r="L5" s="1635"/>
    </row>
    <row r="6" spans="1:13">
      <c r="B6" s="1635" t="str">
        <f>"BALANCES AS OF 12/31/"&amp;Automation!$B$6</f>
        <v>BALANCES AS OF 12/31/2018</v>
      </c>
      <c r="C6" s="1635"/>
      <c r="D6" s="1635"/>
      <c r="E6" s="1635"/>
      <c r="F6" s="1635"/>
      <c r="G6" s="1635"/>
      <c r="H6" s="1635"/>
      <c r="I6" s="1635"/>
      <c r="J6" s="1635"/>
      <c r="K6" s="1635"/>
      <c r="L6" s="1635"/>
    </row>
    <row r="7" spans="1:13">
      <c r="B7" s="1640" t="s">
        <v>3</v>
      </c>
      <c r="C7" s="1635"/>
      <c r="D7" s="1635"/>
      <c r="E7" s="1635"/>
      <c r="F7" s="1635"/>
      <c r="G7" s="1635"/>
      <c r="H7" s="1635"/>
      <c r="I7" s="1635"/>
      <c r="J7" s="1635"/>
      <c r="K7" s="1635"/>
      <c r="L7" s="1635"/>
    </row>
    <row r="8" spans="1:13">
      <c r="C8" s="177"/>
      <c r="D8" s="178"/>
      <c r="E8" s="304"/>
      <c r="F8" s="304"/>
      <c r="G8" s="304"/>
      <c r="H8" s="304"/>
      <c r="I8" s="304"/>
      <c r="J8" s="304"/>
      <c r="K8" s="304"/>
      <c r="L8" s="304"/>
    </row>
    <row r="9" spans="1:13" s="174" customFormat="1">
      <c r="A9" s="928"/>
      <c r="B9" s="382"/>
      <c r="C9" s="305"/>
      <c r="D9" s="306" t="s">
        <v>29</v>
      </c>
      <c r="E9" s="307" t="s">
        <v>30</v>
      </c>
      <c r="F9" s="307" t="s">
        <v>62</v>
      </c>
      <c r="G9" s="307" t="s">
        <v>63</v>
      </c>
      <c r="H9" s="307" t="s">
        <v>64</v>
      </c>
      <c r="I9" s="307" t="s">
        <v>65</v>
      </c>
      <c r="J9" s="307" t="s">
        <v>66</v>
      </c>
      <c r="K9" s="402" t="s">
        <v>67</v>
      </c>
      <c r="L9" s="256"/>
      <c r="M9" s="928"/>
    </row>
    <row r="10" spans="1:13">
      <c r="B10" s="403"/>
      <c r="C10" s="309"/>
      <c r="D10" s="310"/>
      <c r="E10" s="311"/>
      <c r="F10" s="404"/>
      <c r="G10" s="311"/>
      <c r="H10" s="311"/>
      <c r="I10" s="311"/>
      <c r="J10" s="311"/>
      <c r="K10" s="405" t="s">
        <v>31</v>
      </c>
      <c r="L10" s="308"/>
    </row>
    <row r="11" spans="1:13">
      <c r="B11" s="403"/>
      <c r="C11" s="309"/>
      <c r="D11" s="310"/>
      <c r="E11" s="311" t="s">
        <v>68</v>
      </c>
      <c r="F11" s="404" t="s">
        <v>56</v>
      </c>
      <c r="G11" s="311" t="s">
        <v>59</v>
      </c>
      <c r="H11" s="311" t="s">
        <v>59</v>
      </c>
      <c r="I11" s="311" t="s">
        <v>59</v>
      </c>
      <c r="J11" s="311" t="s">
        <v>59</v>
      </c>
      <c r="K11" s="404" t="s">
        <v>59</v>
      </c>
      <c r="L11" s="286"/>
    </row>
    <row r="12" spans="1:13">
      <c r="B12" s="406"/>
      <c r="C12" s="314"/>
      <c r="D12" s="316" t="s">
        <v>31</v>
      </c>
      <c r="E12" s="311" t="s">
        <v>110</v>
      </c>
      <c r="F12" s="311" t="s">
        <v>110</v>
      </c>
      <c r="G12" s="311" t="s">
        <v>110</v>
      </c>
      <c r="H12" s="311" t="s">
        <v>110</v>
      </c>
      <c r="I12" s="311" t="s">
        <v>110</v>
      </c>
      <c r="J12" s="311" t="s">
        <v>110</v>
      </c>
      <c r="K12" s="404" t="s">
        <v>104</v>
      </c>
      <c r="L12" s="187"/>
    </row>
    <row r="13" spans="1:13">
      <c r="A13" s="932" t="s">
        <v>4</v>
      </c>
      <c r="B13" s="372"/>
      <c r="C13" s="214"/>
      <c r="D13" s="316" t="s">
        <v>59</v>
      </c>
      <c r="E13" s="311" t="s">
        <v>111</v>
      </c>
      <c r="F13" s="311" t="s">
        <v>111</v>
      </c>
      <c r="G13" s="311" t="s">
        <v>111</v>
      </c>
      <c r="H13" s="311" t="s">
        <v>111</v>
      </c>
      <c r="I13" s="311" t="s">
        <v>111</v>
      </c>
      <c r="J13" s="311" t="s">
        <v>111</v>
      </c>
      <c r="K13" s="404" t="s">
        <v>34</v>
      </c>
      <c r="L13" s="187"/>
      <c r="M13" s="932" t="s">
        <v>4</v>
      </c>
    </row>
    <row r="14" spans="1:13">
      <c r="A14" s="932" t="s">
        <v>25</v>
      </c>
      <c r="B14" s="364" t="s">
        <v>71</v>
      </c>
      <c r="C14" s="196" t="s">
        <v>72</v>
      </c>
      <c r="D14" s="407" t="s">
        <v>110</v>
      </c>
      <c r="E14" s="319" t="s">
        <v>73</v>
      </c>
      <c r="F14" s="319" t="s">
        <v>74</v>
      </c>
      <c r="G14" s="319" t="s">
        <v>109</v>
      </c>
      <c r="H14" s="319" t="s">
        <v>108</v>
      </c>
      <c r="I14" s="319" t="s">
        <v>107</v>
      </c>
      <c r="J14" s="319" t="s">
        <v>77</v>
      </c>
      <c r="K14" s="199" t="s">
        <v>78</v>
      </c>
      <c r="L14" s="196" t="s">
        <v>9</v>
      </c>
      <c r="M14" s="932" t="s">
        <v>25</v>
      </c>
    </row>
    <row r="15" spans="1:13">
      <c r="B15" s="314"/>
      <c r="C15" s="314" t="s">
        <v>79</v>
      </c>
      <c r="D15" s="321"/>
      <c r="E15" s="314"/>
      <c r="F15" s="314"/>
      <c r="G15" s="314"/>
      <c r="H15" s="314"/>
      <c r="I15" s="314"/>
      <c r="J15" s="314"/>
      <c r="K15" s="322"/>
      <c r="L15" s="286"/>
    </row>
    <row r="16" spans="1:13">
      <c r="A16" s="932">
        <v>1</v>
      </c>
      <c r="B16" s="354">
        <v>303</v>
      </c>
      <c r="C16" s="95" t="s">
        <v>80</v>
      </c>
      <c r="D16" s="325">
        <v>0</v>
      </c>
      <c r="E16" s="325">
        <v>0</v>
      </c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244">
        <f>SUM(D16:J16)</f>
        <v>0</v>
      </c>
      <c r="L16" s="286" t="s">
        <v>442</v>
      </c>
      <c r="M16" s="932">
        <f>A16</f>
        <v>1</v>
      </c>
    </row>
    <row r="17" spans="1:15">
      <c r="A17" s="932">
        <f>A16+1</f>
        <v>2</v>
      </c>
      <c r="B17" s="355">
        <v>310.10000000000002</v>
      </c>
      <c r="C17" s="95" t="s">
        <v>81</v>
      </c>
      <c r="D17" s="327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245">
        <f>SUM(D17:J17)</f>
        <v>0</v>
      </c>
      <c r="L17" s="286" t="s">
        <v>442</v>
      </c>
      <c r="M17" s="932">
        <f>M16+1</f>
        <v>2</v>
      </c>
    </row>
    <row r="18" spans="1:15">
      <c r="A18" s="932">
        <f t="shared" ref="A18:A36" si="0">A17+1</f>
        <v>3</v>
      </c>
      <c r="B18" s="354">
        <v>340</v>
      </c>
      <c r="C18" s="356" t="s">
        <v>82</v>
      </c>
      <c r="D18" s="327">
        <v>0</v>
      </c>
      <c r="E18" s="328">
        <v>1.1260899999999998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9">
        <f>SUM(D18:J18)</f>
        <v>1.1260899999999998</v>
      </c>
      <c r="L18" s="286" t="s">
        <v>442</v>
      </c>
      <c r="M18" s="932">
        <f t="shared" ref="M18:M36" si="1">M17+1</f>
        <v>3</v>
      </c>
    </row>
    <row r="19" spans="1:15">
      <c r="A19" s="932">
        <f t="shared" si="0"/>
        <v>4</v>
      </c>
      <c r="B19" s="354">
        <v>360</v>
      </c>
      <c r="C19" s="356" t="s">
        <v>82</v>
      </c>
      <c r="D19" s="327">
        <v>0</v>
      </c>
      <c r="E19" s="328">
        <v>0</v>
      </c>
      <c r="F19" s="328">
        <v>52.354930000000003</v>
      </c>
      <c r="G19" s="328">
        <v>0</v>
      </c>
      <c r="H19" s="328">
        <v>0</v>
      </c>
      <c r="I19" s="328">
        <v>0</v>
      </c>
      <c r="J19" s="328">
        <v>0</v>
      </c>
      <c r="K19" s="329">
        <f>SUM(D19:J19)</f>
        <v>52.354930000000003</v>
      </c>
      <c r="L19" s="286" t="s">
        <v>442</v>
      </c>
      <c r="M19" s="932">
        <f t="shared" si="1"/>
        <v>4</v>
      </c>
    </row>
    <row r="20" spans="1:15">
      <c r="A20" s="932">
        <f t="shared" si="0"/>
        <v>5</v>
      </c>
      <c r="B20" s="354">
        <v>361</v>
      </c>
      <c r="C20" s="95" t="s">
        <v>83</v>
      </c>
      <c r="D20" s="327">
        <v>0</v>
      </c>
      <c r="E20" s="328">
        <v>0</v>
      </c>
      <c r="F20" s="328">
        <v>392.33690000000001</v>
      </c>
      <c r="G20" s="328">
        <v>0</v>
      </c>
      <c r="H20" s="328">
        <v>0</v>
      </c>
      <c r="I20" s="328">
        <v>0</v>
      </c>
      <c r="J20" s="328">
        <v>0</v>
      </c>
      <c r="K20" s="329">
        <f>SUM(D20:J20)</f>
        <v>392.33690000000001</v>
      </c>
      <c r="L20" s="286" t="s">
        <v>442</v>
      </c>
      <c r="M20" s="932">
        <f t="shared" si="1"/>
        <v>5</v>
      </c>
    </row>
    <row r="21" spans="1:15">
      <c r="A21" s="932">
        <f t="shared" si="0"/>
        <v>6</v>
      </c>
      <c r="B21" s="286"/>
      <c r="C21" s="314"/>
      <c r="D21" s="321"/>
      <c r="E21" s="314"/>
      <c r="F21" s="314"/>
      <c r="G21" s="314"/>
      <c r="H21" s="314"/>
      <c r="I21" s="314"/>
      <c r="J21" s="314"/>
      <c r="K21" s="329"/>
      <c r="L21" s="286"/>
      <c r="M21" s="932">
        <f t="shared" si="1"/>
        <v>6</v>
      </c>
    </row>
    <row r="22" spans="1:15" s="175" customFormat="1">
      <c r="A22" s="932">
        <f t="shared" si="0"/>
        <v>7</v>
      </c>
      <c r="B22" s="330" t="s">
        <v>84</v>
      </c>
      <c r="C22" s="331" t="s">
        <v>85</v>
      </c>
      <c r="D22" s="332">
        <f t="shared" ref="D22:I22" si="2">SUM(D16:D21)</f>
        <v>0</v>
      </c>
      <c r="E22" s="332">
        <f t="shared" si="2"/>
        <v>1.1260899999999998</v>
      </c>
      <c r="F22" s="332">
        <f>SUM(F16:F21)</f>
        <v>444.69183000000004</v>
      </c>
      <c r="G22" s="332">
        <f t="shared" si="2"/>
        <v>0</v>
      </c>
      <c r="H22" s="332">
        <f t="shared" si="2"/>
        <v>0</v>
      </c>
      <c r="I22" s="332">
        <f t="shared" si="2"/>
        <v>0</v>
      </c>
      <c r="J22" s="332">
        <f>SUM(J16:J21)</f>
        <v>0</v>
      </c>
      <c r="K22" s="333">
        <f>SUM(K16:K21)</f>
        <v>445.81792000000002</v>
      </c>
      <c r="L22" s="334" t="str">
        <f>"Sum Lines "&amp;A16&amp;" thru "&amp;A20</f>
        <v>Sum Lines 1 thru 5</v>
      </c>
      <c r="M22" s="932">
        <f t="shared" si="1"/>
        <v>7</v>
      </c>
    </row>
    <row r="23" spans="1:15">
      <c r="A23" s="932">
        <f t="shared" si="0"/>
        <v>8</v>
      </c>
      <c r="B23" s="286"/>
      <c r="C23" s="314"/>
      <c r="D23" s="335"/>
      <c r="E23" s="336"/>
      <c r="F23" s="336"/>
      <c r="G23" s="336"/>
      <c r="H23" s="336"/>
      <c r="I23" s="336"/>
      <c r="J23" s="336"/>
      <c r="K23" s="409"/>
      <c r="L23" s="286"/>
      <c r="M23" s="932">
        <f t="shared" si="1"/>
        <v>8</v>
      </c>
    </row>
    <row r="24" spans="1:15">
      <c r="A24" s="932">
        <f t="shared" si="0"/>
        <v>9</v>
      </c>
      <c r="B24" s="354">
        <v>350</v>
      </c>
      <c r="C24" s="95" t="s">
        <v>82</v>
      </c>
      <c r="D24" s="325">
        <v>24265.432989999998</v>
      </c>
      <c r="E24" s="326">
        <v>0</v>
      </c>
      <c r="F24" s="325">
        <v>0</v>
      </c>
      <c r="G24" s="325">
        <v>0</v>
      </c>
      <c r="H24" s="325">
        <v>0</v>
      </c>
      <c r="I24" s="326">
        <v>0</v>
      </c>
      <c r="J24" s="326">
        <v>-330.98513000000003</v>
      </c>
      <c r="K24" s="244">
        <f t="shared" ref="K24:K32" si="3">SUM(D24:J24)</f>
        <v>23934.447859999997</v>
      </c>
      <c r="L24" s="286" t="s">
        <v>442</v>
      </c>
      <c r="M24" s="932">
        <f t="shared" si="1"/>
        <v>9</v>
      </c>
    </row>
    <row r="25" spans="1:15">
      <c r="A25" s="932">
        <f t="shared" si="0"/>
        <v>10</v>
      </c>
      <c r="B25" s="354">
        <v>352</v>
      </c>
      <c r="C25" s="95" t="s">
        <v>83</v>
      </c>
      <c r="D25" s="335">
        <v>81405.142129999993</v>
      </c>
      <c r="E25" s="328">
        <v>0</v>
      </c>
      <c r="F25" s="328">
        <v>0</v>
      </c>
      <c r="G25" s="335">
        <v>-423.49828000000002</v>
      </c>
      <c r="H25" s="327"/>
      <c r="I25" s="328">
        <v>0</v>
      </c>
      <c r="J25" s="336">
        <v>-14032.55299</v>
      </c>
      <c r="K25" s="329">
        <f t="shared" si="3"/>
        <v>66949.090859999997</v>
      </c>
      <c r="L25" s="286" t="s">
        <v>442</v>
      </c>
      <c r="M25" s="932">
        <f t="shared" si="1"/>
        <v>10</v>
      </c>
      <c r="O25" s="251"/>
    </row>
    <row r="26" spans="1:15">
      <c r="A26" s="932">
        <f t="shared" si="0"/>
        <v>11</v>
      </c>
      <c r="B26" s="354">
        <v>353</v>
      </c>
      <c r="C26" s="95" t="s">
        <v>86</v>
      </c>
      <c r="D26" s="335">
        <v>358277.25706999999</v>
      </c>
      <c r="E26" s="328">
        <v>0</v>
      </c>
      <c r="F26" s="328">
        <v>0</v>
      </c>
      <c r="G26" s="335">
        <v>-2374.1533799999997</v>
      </c>
      <c r="H26" s="327">
        <v>-392.40328000000005</v>
      </c>
      <c r="I26" s="328">
        <v>0</v>
      </c>
      <c r="J26" s="336">
        <v>-1444.59915</v>
      </c>
      <c r="K26" s="329">
        <f t="shared" si="3"/>
        <v>354066.10125999997</v>
      </c>
      <c r="L26" s="286" t="s">
        <v>442</v>
      </c>
      <c r="M26" s="932">
        <f t="shared" si="1"/>
        <v>11</v>
      </c>
    </row>
    <row r="27" spans="1:15">
      <c r="A27" s="932">
        <f t="shared" si="0"/>
        <v>12</v>
      </c>
      <c r="B27" s="354">
        <v>354</v>
      </c>
      <c r="C27" s="95" t="s">
        <v>87</v>
      </c>
      <c r="D27" s="335">
        <v>188386.41672000001</v>
      </c>
      <c r="E27" s="328">
        <v>0</v>
      </c>
      <c r="F27" s="328">
        <v>0</v>
      </c>
      <c r="G27" s="335">
        <v>0</v>
      </c>
      <c r="H27" s="327">
        <v>0</v>
      </c>
      <c r="I27" s="328">
        <v>0</v>
      </c>
      <c r="J27" s="336">
        <v>0</v>
      </c>
      <c r="K27" s="329">
        <f t="shared" si="3"/>
        <v>188386.41672000001</v>
      </c>
      <c r="L27" s="286" t="s">
        <v>442</v>
      </c>
      <c r="M27" s="932">
        <f t="shared" si="1"/>
        <v>12</v>
      </c>
    </row>
    <row r="28" spans="1:15">
      <c r="A28" s="932">
        <f t="shared" si="0"/>
        <v>13</v>
      </c>
      <c r="B28" s="354">
        <v>355</v>
      </c>
      <c r="C28" s="95" t="s">
        <v>88</v>
      </c>
      <c r="D28" s="335">
        <v>124281.54041</v>
      </c>
      <c r="E28" s="328">
        <v>0</v>
      </c>
      <c r="F28" s="328">
        <v>0</v>
      </c>
      <c r="G28" s="335">
        <v>0</v>
      </c>
      <c r="H28" s="327">
        <v>0</v>
      </c>
      <c r="I28" s="328">
        <v>0</v>
      </c>
      <c r="J28" s="336">
        <v>0</v>
      </c>
      <c r="K28" s="329">
        <f t="shared" si="3"/>
        <v>124281.54041</v>
      </c>
      <c r="L28" s="286" t="s">
        <v>442</v>
      </c>
      <c r="M28" s="932">
        <f t="shared" si="1"/>
        <v>13</v>
      </c>
    </row>
    <row r="29" spans="1:15">
      <c r="A29" s="932">
        <f t="shared" si="0"/>
        <v>14</v>
      </c>
      <c r="B29" s="354">
        <v>356</v>
      </c>
      <c r="C29" s="95" t="s">
        <v>89</v>
      </c>
      <c r="D29" s="335">
        <v>246075.50532</v>
      </c>
      <c r="E29" s="328">
        <v>0</v>
      </c>
      <c r="F29" s="328">
        <v>0</v>
      </c>
      <c r="G29" s="335">
        <v>0</v>
      </c>
      <c r="H29" s="327">
        <v>0</v>
      </c>
      <c r="I29" s="328">
        <v>0</v>
      </c>
      <c r="J29" s="336">
        <v>0</v>
      </c>
      <c r="K29" s="329">
        <f t="shared" si="3"/>
        <v>246075.50532</v>
      </c>
      <c r="L29" s="286" t="s">
        <v>442</v>
      </c>
      <c r="M29" s="932">
        <f t="shared" si="1"/>
        <v>14</v>
      </c>
    </row>
    <row r="30" spans="1:15">
      <c r="A30" s="932">
        <f t="shared" si="0"/>
        <v>15</v>
      </c>
      <c r="B30" s="354">
        <v>357</v>
      </c>
      <c r="C30" s="95" t="s">
        <v>90</v>
      </c>
      <c r="D30" s="335">
        <v>69948.701680000013</v>
      </c>
      <c r="E30" s="328">
        <v>0</v>
      </c>
      <c r="F30" s="328">
        <v>0</v>
      </c>
      <c r="G30" s="335">
        <v>0</v>
      </c>
      <c r="H30" s="327">
        <v>0</v>
      </c>
      <c r="I30" s="328">
        <v>0</v>
      </c>
      <c r="J30" s="336">
        <v>0</v>
      </c>
      <c r="K30" s="329">
        <f t="shared" si="3"/>
        <v>69948.701680000013</v>
      </c>
      <c r="L30" s="286" t="s">
        <v>442</v>
      </c>
      <c r="M30" s="932">
        <f t="shared" si="1"/>
        <v>15</v>
      </c>
    </row>
    <row r="31" spans="1:15">
      <c r="A31" s="932">
        <f t="shared" si="0"/>
        <v>16</v>
      </c>
      <c r="B31" s="354">
        <v>358</v>
      </c>
      <c r="C31" s="95" t="s">
        <v>91</v>
      </c>
      <c r="D31" s="335">
        <v>68576.952059999996</v>
      </c>
      <c r="E31" s="328">
        <v>0</v>
      </c>
      <c r="F31" s="328">
        <v>0</v>
      </c>
      <c r="G31" s="335">
        <v>-494.76971000000003</v>
      </c>
      <c r="H31" s="327">
        <v>0</v>
      </c>
      <c r="I31" s="328">
        <v>0</v>
      </c>
      <c r="J31" s="336">
        <v>0</v>
      </c>
      <c r="K31" s="329">
        <f t="shared" si="3"/>
        <v>68082.182350000003</v>
      </c>
      <c r="L31" s="286" t="s">
        <v>442</v>
      </c>
      <c r="M31" s="932">
        <f t="shared" si="1"/>
        <v>16</v>
      </c>
    </row>
    <row r="32" spans="1:15">
      <c r="A32" s="932">
        <f t="shared" si="0"/>
        <v>17</v>
      </c>
      <c r="B32" s="354">
        <v>359</v>
      </c>
      <c r="C32" s="95" t="s">
        <v>92</v>
      </c>
      <c r="D32" s="335">
        <v>38209.578500000003</v>
      </c>
      <c r="E32" s="328">
        <v>0</v>
      </c>
      <c r="F32" s="328">
        <v>0</v>
      </c>
      <c r="G32" s="335">
        <v>0</v>
      </c>
      <c r="H32" s="327">
        <v>0</v>
      </c>
      <c r="I32" s="328">
        <v>0</v>
      </c>
      <c r="J32" s="336">
        <v>0</v>
      </c>
      <c r="K32" s="329">
        <f t="shared" si="3"/>
        <v>38209.578500000003</v>
      </c>
      <c r="L32" s="286" t="s">
        <v>442</v>
      </c>
      <c r="M32" s="932">
        <f t="shared" si="1"/>
        <v>17</v>
      </c>
    </row>
    <row r="33" spans="1:13">
      <c r="A33" s="932">
        <f t="shared" si="0"/>
        <v>18</v>
      </c>
      <c r="B33" s="410"/>
      <c r="C33" s="314"/>
      <c r="D33" s="335"/>
      <c r="F33" s="344"/>
      <c r="G33" s="344"/>
      <c r="H33" s="344"/>
      <c r="I33" s="344"/>
      <c r="J33" s="336"/>
      <c r="K33" s="411"/>
      <c r="L33" s="323"/>
      <c r="M33" s="932">
        <f t="shared" si="1"/>
        <v>18</v>
      </c>
    </row>
    <row r="34" spans="1:13">
      <c r="A34" s="932">
        <f t="shared" si="0"/>
        <v>19</v>
      </c>
      <c r="B34" s="346" t="s">
        <v>84</v>
      </c>
      <c r="C34" s="331" t="s">
        <v>58</v>
      </c>
      <c r="D34" s="332">
        <f t="shared" ref="D34:I34" si="4">SUM(D24:D33)</f>
        <v>1199426.52688</v>
      </c>
      <c r="E34" s="332">
        <f t="shared" si="4"/>
        <v>0</v>
      </c>
      <c r="F34" s="332">
        <f>SUM(F24:F33)</f>
        <v>0</v>
      </c>
      <c r="G34" s="332">
        <f t="shared" si="4"/>
        <v>-3292.4213699999996</v>
      </c>
      <c r="H34" s="332">
        <f t="shared" si="4"/>
        <v>-392.40328000000005</v>
      </c>
      <c r="I34" s="332">
        <f t="shared" si="4"/>
        <v>0</v>
      </c>
      <c r="J34" s="332">
        <f>SUM(J24:J33)</f>
        <v>-15808.137270000001</v>
      </c>
      <c r="K34" s="333">
        <f>SUM(K24:K33)</f>
        <v>1179933.5649599999</v>
      </c>
      <c r="L34" s="347" t="str">
        <f>"Sum Lines "&amp;A24&amp;" thru "&amp;A32</f>
        <v>Sum Lines 9 thru 17</v>
      </c>
      <c r="M34" s="932">
        <f t="shared" si="1"/>
        <v>19</v>
      </c>
    </row>
    <row r="35" spans="1:13">
      <c r="A35" s="932">
        <f t="shared" si="0"/>
        <v>20</v>
      </c>
      <c r="B35" s="406"/>
      <c r="D35" s="348"/>
      <c r="J35" s="337"/>
      <c r="K35" s="337"/>
      <c r="L35" s="349"/>
      <c r="M35" s="932">
        <f t="shared" si="1"/>
        <v>20</v>
      </c>
    </row>
    <row r="36" spans="1:13">
      <c r="A36" s="932">
        <f t="shared" si="0"/>
        <v>21</v>
      </c>
      <c r="B36" s="412" t="s">
        <v>93</v>
      </c>
      <c r="C36" s="351"/>
      <c r="D36" s="352">
        <f t="shared" ref="D36:I36" si="5">D34+D22</f>
        <v>1199426.52688</v>
      </c>
      <c r="E36" s="352">
        <f t="shared" si="5"/>
        <v>1.1260899999999998</v>
      </c>
      <c r="F36" s="352">
        <f>F34+F22</f>
        <v>444.69183000000004</v>
      </c>
      <c r="G36" s="352">
        <f t="shared" si="5"/>
        <v>-3292.4213699999996</v>
      </c>
      <c r="H36" s="352">
        <f t="shared" si="5"/>
        <v>-392.40328000000005</v>
      </c>
      <c r="I36" s="353">
        <f t="shared" si="5"/>
        <v>0</v>
      </c>
      <c r="J36" s="352">
        <f>J34+J22</f>
        <v>-15808.137270000001</v>
      </c>
      <c r="K36" s="352">
        <f>K34+K22</f>
        <v>1180379.3828799999</v>
      </c>
      <c r="L36" s="334" t="str">
        <f>"Line "&amp;A22&amp;" + Line "&amp;A34</f>
        <v>Line 7 + Line 19</v>
      </c>
      <c r="M36" s="932">
        <f t="shared" si="1"/>
        <v>21</v>
      </c>
    </row>
    <row r="37" spans="1:13">
      <c r="D37" s="232"/>
      <c r="K37" s="413"/>
      <c r="L37" s="413"/>
    </row>
    <row r="38" spans="1:13">
      <c r="D38" s="232"/>
      <c r="K38" s="413"/>
      <c r="L38" s="413"/>
    </row>
    <row r="39" spans="1:13">
      <c r="B39" s="232" t="s">
        <v>458</v>
      </c>
      <c r="D39" s="232"/>
    </row>
    <row r="40" spans="1:13">
      <c r="D40" s="232"/>
    </row>
    <row r="41" spans="1:13">
      <c r="D41" s="232"/>
    </row>
    <row r="42" spans="1:13">
      <c r="D42" s="232"/>
    </row>
    <row r="43" spans="1:13">
      <c r="D43" s="232"/>
    </row>
    <row r="44" spans="1:13">
      <c r="D44" s="232"/>
    </row>
    <row r="45" spans="1:13">
      <c r="D45" s="232"/>
    </row>
    <row r="46" spans="1:13">
      <c r="D46" s="232"/>
    </row>
    <row r="47" spans="1:13">
      <c r="D47" s="232"/>
    </row>
    <row r="48" spans="1:13">
      <c r="D48" s="232"/>
    </row>
    <row r="49" spans="4:4">
      <c r="D49" s="232"/>
    </row>
    <row r="50" spans="4:4">
      <c r="D50" s="232"/>
    </row>
    <row r="51" spans="4:4">
      <c r="D51" s="232"/>
    </row>
    <row r="52" spans="4:4">
      <c r="D52" s="232"/>
    </row>
    <row r="53" spans="4:4">
      <c r="D53" s="232"/>
    </row>
    <row r="54" spans="4:4">
      <c r="D54" s="232"/>
    </row>
    <row r="55" spans="4:4">
      <c r="D55" s="232"/>
    </row>
    <row r="56" spans="4:4">
      <c r="D56" s="232"/>
    </row>
    <row r="57" spans="4:4">
      <c r="D57" s="232"/>
    </row>
    <row r="58" spans="4:4">
      <c r="D58" s="232"/>
    </row>
    <row r="59" spans="4:4">
      <c r="D59" s="232"/>
    </row>
    <row r="60" spans="4:4">
      <c r="D60" s="232"/>
    </row>
    <row r="61" spans="4:4">
      <c r="D61" s="232"/>
    </row>
    <row r="62" spans="4:4">
      <c r="D62" s="232"/>
    </row>
    <row r="63" spans="4:4">
      <c r="D63" s="232"/>
    </row>
    <row r="64" spans="4:4">
      <c r="D64" s="232"/>
    </row>
    <row r="65" spans="4:4">
      <c r="D65" s="232"/>
    </row>
    <row r="66" spans="4:4">
      <c r="D66" s="232"/>
    </row>
    <row r="67" spans="4:4">
      <c r="D67" s="232"/>
    </row>
    <row r="68" spans="4:4">
      <c r="D68" s="232"/>
    </row>
    <row r="69" spans="4:4">
      <c r="D69" s="232"/>
    </row>
    <row r="70" spans="4:4">
      <c r="D70" s="232"/>
    </row>
    <row r="71" spans="4:4">
      <c r="D71" s="232"/>
    </row>
    <row r="72" spans="4:4">
      <c r="D72" s="232"/>
    </row>
    <row r="73" spans="4:4">
      <c r="D73" s="232"/>
    </row>
    <row r="74" spans="4:4">
      <c r="D74" s="232"/>
    </row>
    <row r="75" spans="4:4">
      <c r="D75" s="232"/>
    </row>
    <row r="76" spans="4:4">
      <c r="D76" s="232"/>
    </row>
    <row r="77" spans="4:4">
      <c r="D77" s="232"/>
    </row>
    <row r="78" spans="4:4">
      <c r="D78" s="232"/>
    </row>
    <row r="79" spans="4:4">
      <c r="D79" s="232"/>
    </row>
    <row r="80" spans="4:4">
      <c r="D80" s="232"/>
    </row>
    <row r="81" spans="4:4">
      <c r="D81" s="232"/>
    </row>
    <row r="82" spans="4:4">
      <c r="D82" s="232"/>
    </row>
    <row r="83" spans="4:4">
      <c r="D83" s="232"/>
    </row>
    <row r="84" spans="4:4">
      <c r="D84" s="232"/>
    </row>
    <row r="85" spans="4:4">
      <c r="D85" s="232"/>
    </row>
    <row r="86" spans="4:4">
      <c r="D86" s="232"/>
    </row>
    <row r="87" spans="4:4">
      <c r="D87" s="232"/>
    </row>
    <row r="88" spans="4:4">
      <c r="D88" s="232"/>
    </row>
    <row r="89" spans="4:4">
      <c r="D89" s="232"/>
    </row>
    <row r="90" spans="4:4">
      <c r="D90" s="232"/>
    </row>
    <row r="91" spans="4:4">
      <c r="D91" s="232"/>
    </row>
    <row r="92" spans="4:4">
      <c r="D92" s="232"/>
    </row>
    <row r="93" spans="4:4">
      <c r="D93" s="232"/>
    </row>
    <row r="94" spans="4:4">
      <c r="D94" s="232"/>
    </row>
    <row r="95" spans="4:4">
      <c r="D95" s="232"/>
    </row>
    <row r="96" spans="4:4">
      <c r="D96" s="232"/>
    </row>
    <row r="97" spans="4:4">
      <c r="D97" s="232"/>
    </row>
    <row r="98" spans="4:4">
      <c r="D98" s="232"/>
    </row>
    <row r="99" spans="4:4">
      <c r="D99" s="232"/>
    </row>
    <row r="100" spans="4:4">
      <c r="D100" s="232"/>
    </row>
    <row r="101" spans="4:4">
      <c r="D101" s="232"/>
    </row>
    <row r="102" spans="4:4">
      <c r="D102" s="232"/>
    </row>
    <row r="103" spans="4:4">
      <c r="D103" s="232"/>
    </row>
    <row r="104" spans="4:4">
      <c r="D104" s="232"/>
    </row>
    <row r="105" spans="4:4">
      <c r="D105" s="232"/>
    </row>
    <row r="106" spans="4:4">
      <c r="D106" s="232"/>
    </row>
    <row r="107" spans="4:4">
      <c r="D107" s="232"/>
    </row>
    <row r="108" spans="4:4">
      <c r="D108" s="232"/>
    </row>
    <row r="109" spans="4:4">
      <c r="D109" s="232"/>
    </row>
    <row r="110" spans="4:4">
      <c r="D110" s="232"/>
    </row>
    <row r="111" spans="4:4">
      <c r="D111" s="232"/>
    </row>
    <row r="112" spans="4:4">
      <c r="D112" s="232"/>
    </row>
    <row r="113" spans="4:4">
      <c r="D113" s="232"/>
    </row>
    <row r="114" spans="4:4">
      <c r="D114" s="232"/>
    </row>
    <row r="115" spans="4:4">
      <c r="D115" s="232"/>
    </row>
    <row r="116" spans="4:4">
      <c r="D116" s="232"/>
    </row>
    <row r="117" spans="4:4">
      <c r="D117" s="232"/>
    </row>
    <row r="118" spans="4:4">
      <c r="D118" s="232"/>
    </row>
    <row r="119" spans="4:4">
      <c r="D119" s="232"/>
    </row>
    <row r="120" spans="4:4">
      <c r="D120" s="232"/>
    </row>
    <row r="121" spans="4:4">
      <c r="D121" s="232"/>
    </row>
    <row r="122" spans="4:4">
      <c r="D122" s="232"/>
    </row>
    <row r="123" spans="4:4">
      <c r="D123" s="232"/>
    </row>
    <row r="124" spans="4:4">
      <c r="D124" s="232"/>
    </row>
    <row r="125" spans="4:4">
      <c r="D125" s="232"/>
    </row>
    <row r="126" spans="4:4">
      <c r="D126" s="232"/>
    </row>
    <row r="127" spans="4:4">
      <c r="D127" s="232"/>
    </row>
    <row r="128" spans="4:4">
      <c r="D128" s="232"/>
    </row>
    <row r="129" spans="4:4">
      <c r="D129" s="232"/>
    </row>
    <row r="130" spans="4:4">
      <c r="D130" s="232"/>
    </row>
    <row r="131" spans="4:4">
      <c r="D131" s="232"/>
    </row>
    <row r="132" spans="4:4">
      <c r="D132" s="232"/>
    </row>
    <row r="133" spans="4:4">
      <c r="D133" s="232"/>
    </row>
    <row r="134" spans="4:4">
      <c r="D134" s="232"/>
    </row>
    <row r="135" spans="4:4">
      <c r="D135" s="232"/>
    </row>
    <row r="136" spans="4:4">
      <c r="D136" s="232"/>
    </row>
    <row r="137" spans="4:4">
      <c r="D137" s="232"/>
    </row>
    <row r="138" spans="4:4">
      <c r="D138" s="232"/>
    </row>
    <row r="139" spans="4:4">
      <c r="D139" s="232"/>
    </row>
    <row r="140" spans="4:4">
      <c r="D140" s="232"/>
    </row>
    <row r="141" spans="4:4">
      <c r="D141" s="232"/>
    </row>
    <row r="142" spans="4:4">
      <c r="D142" s="232"/>
    </row>
    <row r="143" spans="4:4">
      <c r="D143" s="232"/>
    </row>
    <row r="144" spans="4:4">
      <c r="D144" s="232"/>
    </row>
    <row r="145" spans="4:4">
      <c r="D145" s="232"/>
    </row>
    <row r="146" spans="4:4">
      <c r="D146" s="232"/>
    </row>
    <row r="147" spans="4:4">
      <c r="D147" s="232"/>
    </row>
    <row r="148" spans="4:4">
      <c r="D148" s="232"/>
    </row>
    <row r="149" spans="4:4">
      <c r="D149" s="232"/>
    </row>
    <row r="150" spans="4:4">
      <c r="D150" s="232"/>
    </row>
    <row r="151" spans="4:4">
      <c r="D151" s="232"/>
    </row>
    <row r="152" spans="4:4">
      <c r="D152" s="232"/>
    </row>
    <row r="153" spans="4:4">
      <c r="D153" s="232"/>
    </row>
    <row r="154" spans="4:4">
      <c r="D154" s="232"/>
    </row>
    <row r="155" spans="4:4">
      <c r="D155" s="232"/>
    </row>
    <row r="156" spans="4:4">
      <c r="D156" s="232"/>
    </row>
    <row r="157" spans="4:4">
      <c r="D157" s="232"/>
    </row>
    <row r="158" spans="4:4">
      <c r="D158" s="232"/>
    </row>
    <row r="159" spans="4:4">
      <c r="D159" s="232"/>
    </row>
    <row r="160" spans="4:4">
      <c r="D160" s="232"/>
    </row>
    <row r="161" spans="4:4">
      <c r="D161" s="232"/>
    </row>
    <row r="162" spans="4:4">
      <c r="D162" s="232"/>
    </row>
    <row r="163" spans="4:4">
      <c r="D163" s="232"/>
    </row>
    <row r="164" spans="4:4">
      <c r="D164" s="232"/>
    </row>
    <row r="165" spans="4:4">
      <c r="D165" s="232"/>
    </row>
    <row r="166" spans="4:4">
      <c r="D166" s="232"/>
    </row>
    <row r="167" spans="4:4">
      <c r="D167" s="232"/>
    </row>
    <row r="168" spans="4:4">
      <c r="D168" s="232"/>
    </row>
    <row r="169" spans="4:4">
      <c r="D169" s="232"/>
    </row>
    <row r="170" spans="4:4">
      <c r="D170" s="232"/>
    </row>
    <row r="171" spans="4:4">
      <c r="D171" s="23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L41"/>
  <sheetViews>
    <sheetView zoomScale="80" zoomScaleNormal="80" workbookViewId="0"/>
  </sheetViews>
  <sheetFormatPr defaultColWidth="9.140625" defaultRowHeight="15.75"/>
  <cols>
    <col min="1" max="1" width="5.28515625" style="174" customWidth="1"/>
    <col min="2" max="2" width="35.140625" style="175" customWidth="1"/>
    <col min="3" max="3" width="18.5703125" style="175" customWidth="1"/>
    <col min="4" max="4" width="62.5703125" style="175" customWidth="1"/>
    <col min="5" max="5" width="5.28515625" style="928" customWidth="1"/>
    <col min="6" max="6" width="11" style="175" customWidth="1"/>
    <col min="7" max="7" width="7.28515625" style="175" customWidth="1"/>
    <col min="8" max="8" width="9.28515625" style="175" customWidth="1"/>
    <col min="9" max="9" width="14" style="175" customWidth="1"/>
    <col min="10" max="10" width="13.42578125" style="175" customWidth="1"/>
    <col min="11" max="16384" width="9.140625" style="175"/>
  </cols>
  <sheetData>
    <row r="2" spans="1:6">
      <c r="B2" s="1635" t="s">
        <v>18</v>
      </c>
      <c r="C2" s="1635"/>
      <c r="D2" s="1635"/>
    </row>
    <row r="3" spans="1:6">
      <c r="B3" s="1635" t="s">
        <v>106</v>
      </c>
      <c r="C3" s="1635"/>
      <c r="D3" s="1635"/>
    </row>
    <row r="4" spans="1:6">
      <c r="B4" s="1635" t="s">
        <v>105</v>
      </c>
      <c r="C4" s="1635"/>
      <c r="D4" s="163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</row>
    <row r="6" spans="1:6">
      <c r="B6" s="1640" t="s">
        <v>3</v>
      </c>
      <c r="C6" s="1640"/>
      <c r="D6" s="1640"/>
    </row>
    <row r="7" spans="1:6">
      <c r="B7" s="177"/>
      <c r="C7" s="177"/>
      <c r="D7" s="177"/>
    </row>
    <row r="8" spans="1:6">
      <c r="B8" s="1635" t="s">
        <v>21</v>
      </c>
      <c r="C8" s="1635"/>
      <c r="D8" s="1635"/>
    </row>
    <row r="9" spans="1:6">
      <c r="A9" s="192"/>
    </row>
    <row r="10" spans="1:6">
      <c r="A10" s="192"/>
      <c r="B10" s="360"/>
      <c r="C10" s="361" t="s">
        <v>22</v>
      </c>
      <c r="D10" s="382"/>
      <c r="E10" s="932"/>
    </row>
    <row r="11" spans="1:6">
      <c r="A11" s="192" t="s">
        <v>4</v>
      </c>
      <c r="B11" s="315"/>
      <c r="C11" s="187" t="s">
        <v>113</v>
      </c>
      <c r="D11" s="309"/>
      <c r="E11" s="932" t="s">
        <v>4</v>
      </c>
    </row>
    <row r="12" spans="1:6">
      <c r="A12" s="192" t="s">
        <v>25</v>
      </c>
      <c r="B12" s="364" t="s">
        <v>23</v>
      </c>
      <c r="C12" s="196" t="s">
        <v>26</v>
      </c>
      <c r="D12" s="196" t="s">
        <v>9</v>
      </c>
      <c r="E12" s="932" t="s">
        <v>25</v>
      </c>
    </row>
    <row r="13" spans="1:6">
      <c r="A13" s="277"/>
      <c r="B13" s="365"/>
      <c r="C13" s="366"/>
      <c r="D13" s="384"/>
      <c r="E13" s="277"/>
    </row>
    <row r="14" spans="1:6">
      <c r="A14" s="192">
        <v>1</v>
      </c>
      <c r="B14" s="368" t="str">
        <f>"Dec-"&amp;RIGHT(Automation!$B$6-1,2)</f>
        <v>Dec-17</v>
      </c>
      <c r="C14" s="369">
        <v>107099.78851</v>
      </c>
      <c r="D14" s="281" t="str">
        <f>Automation!B6-1&amp;" Form 1; Page 450.1; Sch. Pg. 200; Line 33; Col. b"</f>
        <v>2017 Form 1; Page 450.1; Sch. Pg. 200; Line 33; Col. b</v>
      </c>
      <c r="E14" s="932">
        <f>A14</f>
        <v>1</v>
      </c>
      <c r="F14" s="205"/>
    </row>
    <row r="15" spans="1:6">
      <c r="A15" s="192">
        <f>A14+1</f>
        <v>2</v>
      </c>
      <c r="B15" s="370"/>
      <c r="C15" s="294"/>
      <c r="D15" s="294"/>
      <c r="E15" s="932">
        <f>E14+1</f>
        <v>2</v>
      </c>
    </row>
    <row r="16" spans="1:6">
      <c r="A16" s="192">
        <f t="shared" ref="A16:A20" si="0">A15+1</f>
        <v>3</v>
      </c>
      <c r="B16" s="368" t="str">
        <f>"Dec-"&amp;RIGHT(Automation!$B$6,2)</f>
        <v>Dec-18</v>
      </c>
      <c r="C16" s="335">
        <v>131071.19467</v>
      </c>
      <c r="D16" s="281" t="str">
        <f>Automation!B6&amp;" Form 1; Page 450.1; Sch. Pg. 200; Line 33; Col. b"</f>
        <v>2018 Form 1; Page 450.1; Sch. Pg. 200; Line 33; Col. b</v>
      </c>
      <c r="E16" s="932">
        <f t="shared" ref="E16:E20" si="1">E15+1</f>
        <v>3</v>
      </c>
      <c r="F16" s="205"/>
    </row>
    <row r="17" spans="1:12">
      <c r="A17" s="192">
        <f t="shared" si="0"/>
        <v>4</v>
      </c>
      <c r="B17" s="406"/>
      <c r="C17" s="295"/>
      <c r="D17" s="295"/>
      <c r="E17" s="932">
        <f t="shared" si="1"/>
        <v>4</v>
      </c>
    </row>
    <row r="18" spans="1:12">
      <c r="A18" s="192">
        <f t="shared" si="0"/>
        <v>5</v>
      </c>
      <c r="B18" s="360"/>
      <c r="C18" s="375"/>
      <c r="D18" s="385"/>
      <c r="E18" s="932">
        <f t="shared" si="1"/>
        <v>5</v>
      </c>
    </row>
    <row r="19" spans="1:12">
      <c r="A19" s="192">
        <f t="shared" si="0"/>
        <v>6</v>
      </c>
      <c r="B19" s="372" t="s">
        <v>27</v>
      </c>
      <c r="C19" s="377">
        <f>(C14+C16)/2</f>
        <v>119085.49158999999</v>
      </c>
      <c r="D19" s="387" t="str">
        <f>"Average of Line "&amp;A14&amp;" and Line "&amp;A16</f>
        <v>Average of Line 1 and Line 3</v>
      </c>
      <c r="E19" s="932">
        <f t="shared" si="1"/>
        <v>6</v>
      </c>
    </row>
    <row r="20" spans="1:12">
      <c r="A20" s="192">
        <f t="shared" si="0"/>
        <v>7</v>
      </c>
      <c r="B20" s="379"/>
      <c r="C20" s="380"/>
      <c r="D20" s="266"/>
      <c r="E20" s="932">
        <f t="shared" si="1"/>
        <v>7</v>
      </c>
    </row>
    <row r="21" spans="1:12">
      <c r="A21" s="192"/>
      <c r="B21" s="232"/>
      <c r="C21" s="381"/>
      <c r="D21" s="232"/>
      <c r="E21" s="932"/>
    </row>
    <row r="22" spans="1:12">
      <c r="A22" s="192"/>
      <c r="B22" s="232"/>
      <c r="C22" s="232"/>
      <c r="D22" s="232"/>
    </row>
    <row r="23" spans="1:12">
      <c r="B23" s="232"/>
      <c r="C23" s="232"/>
      <c r="D23" s="232"/>
      <c r="L23" s="210"/>
    </row>
    <row r="24" spans="1:12">
      <c r="B24" s="232"/>
      <c r="C24" s="232"/>
      <c r="D24" s="232"/>
    </row>
    <row r="25" spans="1:12">
      <c r="B25" s="232"/>
      <c r="C25" s="232"/>
      <c r="D25" s="232"/>
    </row>
    <row r="26" spans="1:12">
      <c r="B26" s="232"/>
      <c r="C26" s="232"/>
      <c r="D26" s="232"/>
    </row>
    <row r="27" spans="1:12">
      <c r="B27" s="232"/>
      <c r="C27" s="232"/>
      <c r="D27" s="232"/>
    </row>
    <row r="28" spans="1:12">
      <c r="B28" s="232"/>
      <c r="C28" s="232"/>
      <c r="D28" s="232"/>
    </row>
    <row r="29" spans="1:12">
      <c r="B29" s="232"/>
      <c r="C29" s="232"/>
      <c r="D29" s="232"/>
    </row>
    <row r="30" spans="1:12">
      <c r="B30" s="232"/>
      <c r="C30" s="232"/>
      <c r="D30" s="232"/>
    </row>
    <row r="31" spans="1:12">
      <c r="B31" s="232"/>
      <c r="C31" s="232"/>
      <c r="D31" s="232"/>
    </row>
    <row r="32" spans="1:12">
      <c r="B32" s="232"/>
      <c r="C32" s="232"/>
      <c r="D32" s="232"/>
    </row>
    <row r="33" spans="1:5">
      <c r="B33" s="232"/>
      <c r="C33" s="232"/>
      <c r="D33" s="232"/>
    </row>
    <row r="34" spans="1:5">
      <c r="B34" s="232"/>
      <c r="C34" s="232"/>
      <c r="D34" s="232"/>
    </row>
    <row r="35" spans="1:5" s="232" customFormat="1">
      <c r="A35" s="192"/>
      <c r="E35" s="932"/>
    </row>
    <row r="36" spans="1:5" s="232" customFormat="1">
      <c r="A36" s="192"/>
      <c r="E36" s="932"/>
    </row>
    <row r="37" spans="1:5" s="232" customFormat="1">
      <c r="A37" s="192"/>
      <c r="E37" s="932"/>
    </row>
    <row r="38" spans="1:5" s="232" customFormat="1">
      <c r="A38" s="192"/>
      <c r="E38" s="932"/>
    </row>
    <row r="39" spans="1:5" s="232" customFormat="1">
      <c r="A39" s="192"/>
      <c r="E39" s="932"/>
    </row>
    <row r="40" spans="1:5" s="232" customFormat="1">
      <c r="A40" s="192"/>
      <c r="E40" s="932"/>
    </row>
    <row r="41" spans="1:5" s="232" customFormat="1">
      <c r="A41" s="192"/>
      <c r="E41" s="93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28"/>
  <sheetViews>
    <sheetView zoomScale="80" zoomScaleNormal="80" workbookViewId="0"/>
  </sheetViews>
  <sheetFormatPr defaultColWidth="8.7109375" defaultRowHeight="15.75"/>
  <cols>
    <col min="1" max="1" width="5.140625" style="600" customWidth="1"/>
    <col min="2" max="2" width="89.85546875" style="4" bestFit="1" customWidth="1"/>
    <col min="3" max="3" width="10.42578125" style="4" customWidth="1"/>
    <col min="4" max="4" width="1.5703125" style="4" customWidth="1"/>
    <col min="5" max="5" width="16.85546875" style="4" customWidth="1"/>
    <col min="6" max="6" width="1.5703125" style="4" customWidth="1"/>
    <col min="7" max="7" width="43.42578125" style="4" customWidth="1"/>
    <col min="8" max="8" width="5.140625" style="600" customWidth="1"/>
    <col min="9" max="16384" width="8.7109375" style="4"/>
  </cols>
  <sheetData>
    <row r="2" spans="1:8">
      <c r="B2" s="1617" t="str">
        <f>'Summary of Cost Components'!B2:D2</f>
        <v>SAN DIEGO GAS &amp; ELECTRIC COMPANY</v>
      </c>
      <c r="C2" s="1617"/>
      <c r="D2" s="1617"/>
      <c r="E2" s="1617"/>
      <c r="F2" s="1617"/>
      <c r="G2" s="1617"/>
    </row>
    <row r="3" spans="1:8" ht="15.6" customHeight="1">
      <c r="B3" s="1617" t="str">
        <f>'Summary of Cost Components'!B3:D3</f>
        <v>CITIZENS' SHARE OF THE SX-PQ UNDERGROUND LINE SEGMENT</v>
      </c>
      <c r="C3" s="1617"/>
      <c r="D3" s="1617"/>
      <c r="E3" s="1617"/>
      <c r="F3" s="1617"/>
      <c r="G3" s="1617"/>
      <c r="H3" s="977"/>
    </row>
    <row r="4" spans="1:8">
      <c r="B4" s="1618" t="s">
        <v>286</v>
      </c>
      <c r="C4" s="1618"/>
      <c r="D4" s="1618"/>
      <c r="E4" s="1618"/>
      <c r="F4" s="1618"/>
      <c r="G4" s="1618"/>
      <c r="H4" s="976"/>
    </row>
    <row r="5" spans="1:8">
      <c r="B5" s="1619" t="str">
        <f>"Base Period &amp; True-Up Period 12 - Months Ending December 31, "&amp;Automation!B6</f>
        <v>Base Period &amp; True-Up Period 12 - Months Ending December 31, 2018</v>
      </c>
      <c r="C5" s="1619"/>
      <c r="D5" s="1619"/>
      <c r="E5" s="1619"/>
      <c r="F5" s="1619"/>
      <c r="G5" s="1619"/>
      <c r="H5" s="976"/>
    </row>
    <row r="6" spans="1:8">
      <c r="B6" s="1620" t="s">
        <v>3</v>
      </c>
      <c r="C6" s="1620"/>
      <c r="D6" s="1620"/>
      <c r="E6" s="1620"/>
      <c r="F6" s="1620"/>
      <c r="G6" s="1620"/>
      <c r="H6" s="978"/>
    </row>
    <row r="8" spans="1:8">
      <c r="A8" s="975" t="s">
        <v>4</v>
      </c>
      <c r="B8" s="76"/>
      <c r="C8" s="76"/>
      <c r="D8" s="76"/>
      <c r="E8" s="1194"/>
      <c r="F8" s="1194"/>
      <c r="G8" s="70"/>
      <c r="H8" s="975" t="s">
        <v>4</v>
      </c>
    </row>
    <row r="9" spans="1:8">
      <c r="A9" s="975" t="s">
        <v>25</v>
      </c>
      <c r="B9" s="76"/>
      <c r="C9" s="76"/>
      <c r="D9" s="76"/>
      <c r="E9" s="951" t="s">
        <v>128</v>
      </c>
      <c r="F9" s="69"/>
      <c r="G9" s="951" t="s">
        <v>9</v>
      </c>
      <c r="H9" s="975" t="s">
        <v>25</v>
      </c>
    </row>
    <row r="10" spans="1:8">
      <c r="A10" s="976"/>
      <c r="B10" s="70"/>
      <c r="C10" s="70"/>
      <c r="D10" s="70"/>
      <c r="E10" s="91"/>
      <c r="F10" s="69"/>
      <c r="G10" s="91"/>
      <c r="H10" s="972"/>
    </row>
    <row r="11" spans="1:8">
      <c r="A11" s="972">
        <v>1</v>
      </c>
      <c r="B11" s="22" t="s">
        <v>868</v>
      </c>
      <c r="C11" s="22"/>
      <c r="D11" s="22"/>
      <c r="E11" s="70"/>
      <c r="F11" s="70"/>
      <c r="G11" s="70"/>
      <c r="H11" s="972">
        <f>A11</f>
        <v>1</v>
      </c>
    </row>
    <row r="12" spans="1:8">
      <c r="A12" s="972">
        <f>A11+1</f>
        <v>2</v>
      </c>
      <c r="B12" s="91" t="s">
        <v>283</v>
      </c>
      <c r="C12" s="91"/>
      <c r="D12" s="91"/>
      <c r="E12" s="1025">
        <f>'Stmt AH'!E12</f>
        <v>0</v>
      </c>
      <c r="F12" s="70"/>
      <c r="G12" s="69" t="str">
        <f>"Statement AH; Line "&amp;'Stmt AH'!A12</f>
        <v>Statement AH; Line 2</v>
      </c>
      <c r="H12" s="972">
        <f>H11+1</f>
        <v>2</v>
      </c>
    </row>
    <row r="13" spans="1:8">
      <c r="A13" s="972">
        <f t="shared" ref="A13:A27" si="0">A12+1</f>
        <v>3</v>
      </c>
      <c r="B13" s="91" t="s">
        <v>284</v>
      </c>
      <c r="C13" s="91"/>
      <c r="D13" s="91"/>
      <c r="E13" s="1027">
        <v>0.13100000000000001</v>
      </c>
      <c r="F13" s="70"/>
      <c r="G13" s="70"/>
      <c r="H13" s="972">
        <f t="shared" ref="H13:H27" si="1">H12+1</f>
        <v>3</v>
      </c>
    </row>
    <row r="14" spans="1:8">
      <c r="A14" s="972">
        <f t="shared" si="0"/>
        <v>4</v>
      </c>
      <c r="B14" s="91" t="s">
        <v>816</v>
      </c>
      <c r="C14" s="91"/>
      <c r="D14" s="91"/>
      <c r="E14" s="1026">
        <f>E12*E13</f>
        <v>0</v>
      </c>
      <c r="F14" s="21"/>
      <c r="G14" s="69" t="str">
        <f>"Line "&amp;A12&amp;" x Line "&amp;A13</f>
        <v>Line 2 x Line 3</v>
      </c>
      <c r="H14" s="972">
        <f t="shared" si="1"/>
        <v>4</v>
      </c>
    </row>
    <row r="15" spans="1:8">
      <c r="A15" s="972">
        <f t="shared" si="0"/>
        <v>5</v>
      </c>
      <c r="B15" s="91"/>
      <c r="C15" s="91"/>
      <c r="D15" s="91"/>
      <c r="E15" s="980"/>
      <c r="F15" s="91"/>
      <c r="G15" s="69"/>
      <c r="H15" s="972">
        <f t="shared" si="1"/>
        <v>5</v>
      </c>
    </row>
    <row r="16" spans="1:8">
      <c r="A16" s="972">
        <f t="shared" si="0"/>
        <v>6</v>
      </c>
      <c r="B16" s="1200" t="s">
        <v>627</v>
      </c>
      <c r="C16" s="1200"/>
      <c r="D16" s="1200"/>
      <c r="E16" s="1027">
        <f>1/8</f>
        <v>0.125</v>
      </c>
      <c r="F16" s="70"/>
      <c r="G16" s="69" t="s">
        <v>219</v>
      </c>
      <c r="H16" s="972">
        <f t="shared" si="1"/>
        <v>6</v>
      </c>
    </row>
    <row r="17" spans="1:8">
      <c r="A17" s="972">
        <f t="shared" si="0"/>
        <v>7</v>
      </c>
      <c r="B17" s="91" t="s">
        <v>700</v>
      </c>
      <c r="C17" s="91"/>
      <c r="D17" s="91"/>
      <c r="E17" s="1026">
        <f>E14*E16</f>
        <v>0</v>
      </c>
      <c r="F17" s="21"/>
      <c r="G17" s="28" t="str">
        <f>"Line "&amp;A14&amp;" x Line "&amp;A16</f>
        <v>Line 4 x Line 6</v>
      </c>
      <c r="H17" s="972">
        <f t="shared" si="1"/>
        <v>7</v>
      </c>
    </row>
    <row r="18" spans="1:8">
      <c r="A18" s="972">
        <f t="shared" si="0"/>
        <v>8</v>
      </c>
      <c r="B18" s="91"/>
      <c r="C18" s="91"/>
      <c r="D18" s="91"/>
      <c r="E18" s="980"/>
      <c r="F18" s="91"/>
      <c r="G18" s="28"/>
      <c r="H18" s="972">
        <f t="shared" si="1"/>
        <v>8</v>
      </c>
    </row>
    <row r="19" spans="1:8">
      <c r="A19" s="972">
        <f t="shared" si="0"/>
        <v>9</v>
      </c>
      <c r="B19" s="927" t="s">
        <v>865</v>
      </c>
      <c r="C19" s="927"/>
      <c r="D19" s="927"/>
      <c r="E19" s="1028">
        <f>'Stmt AV'!G110</f>
        <v>0.10650576129497175</v>
      </c>
      <c r="F19" s="70"/>
      <c r="G19" s="34" t="str">
        <f>"Statement AV2; Line "&amp;'Stmt AV'!A110</f>
        <v>Statement AV2; Line 31</v>
      </c>
      <c r="H19" s="972">
        <f t="shared" si="1"/>
        <v>9</v>
      </c>
    </row>
    <row r="20" spans="1:8">
      <c r="A20" s="972">
        <f t="shared" si="0"/>
        <v>10</v>
      </c>
      <c r="B20" s="91"/>
      <c r="C20" s="91"/>
      <c r="D20" s="91"/>
      <c r="E20" s="980"/>
      <c r="F20" s="91"/>
      <c r="G20" s="69"/>
      <c r="H20" s="972">
        <f t="shared" si="1"/>
        <v>10</v>
      </c>
    </row>
    <row r="21" spans="1:8">
      <c r="A21" s="972">
        <f t="shared" si="0"/>
        <v>11</v>
      </c>
      <c r="B21" s="91" t="s">
        <v>918</v>
      </c>
      <c r="C21" s="91"/>
      <c r="D21" s="91"/>
      <c r="E21" s="1029">
        <f>E19*E17</f>
        <v>0</v>
      </c>
      <c r="F21" s="875"/>
      <c r="G21" s="28" t="str">
        <f>"Line "&amp;A17&amp;" x Line "&amp;A19</f>
        <v>Line 7 x Line 9</v>
      </c>
      <c r="H21" s="972">
        <f t="shared" si="1"/>
        <v>11</v>
      </c>
    </row>
    <row r="22" spans="1:8">
      <c r="A22" s="972">
        <f t="shared" si="0"/>
        <v>12</v>
      </c>
      <c r="B22" s="91"/>
      <c r="C22" s="91"/>
      <c r="D22" s="91"/>
      <c r="E22" s="980"/>
      <c r="F22" s="91"/>
      <c r="G22" s="69"/>
      <c r="H22" s="972">
        <f t="shared" si="1"/>
        <v>12</v>
      </c>
    </row>
    <row r="23" spans="1:8">
      <c r="A23" s="972">
        <f t="shared" si="0"/>
        <v>13</v>
      </c>
      <c r="B23" s="91" t="s">
        <v>920</v>
      </c>
      <c r="C23" s="91"/>
      <c r="D23" s="91"/>
      <c r="E23" s="1030">
        <f>E21+E14</f>
        <v>0</v>
      </c>
      <c r="F23" s="875"/>
      <c r="G23" s="28" t="str">
        <f>"Line "&amp;A14&amp;" + Line "&amp;A21</f>
        <v>Line 4 + Line 11</v>
      </c>
      <c r="H23" s="972">
        <f t="shared" si="1"/>
        <v>13</v>
      </c>
    </row>
    <row r="24" spans="1:8">
      <c r="A24" s="972">
        <f t="shared" si="0"/>
        <v>14</v>
      </c>
      <c r="B24" s="91"/>
      <c r="C24" s="91"/>
      <c r="D24" s="91"/>
      <c r="E24" s="1031"/>
      <c r="F24" s="29"/>
      <c r="G24" s="69"/>
      <c r="H24" s="972">
        <f t="shared" si="1"/>
        <v>14</v>
      </c>
    </row>
    <row r="25" spans="1:8">
      <c r="A25" s="972">
        <f t="shared" si="0"/>
        <v>15</v>
      </c>
      <c r="B25" s="91" t="s">
        <v>867</v>
      </c>
      <c r="C25" s="1034">
        <v>1.0277E-2</v>
      </c>
      <c r="D25" s="91"/>
      <c r="E25" s="1029">
        <f>E23*C25</f>
        <v>0</v>
      </c>
      <c r="F25" s="875"/>
      <c r="G25" s="28" t="str">
        <f>"Line "&amp;A23&amp;" x Franchise Fee Rate"</f>
        <v>Line 13 x Franchise Fee Rate</v>
      </c>
      <c r="H25" s="972">
        <f t="shared" si="1"/>
        <v>15</v>
      </c>
    </row>
    <row r="26" spans="1:8">
      <c r="A26" s="972">
        <f t="shared" si="0"/>
        <v>16</v>
      </c>
      <c r="B26" s="91"/>
      <c r="C26" s="91"/>
      <c r="D26" s="91"/>
      <c r="E26" s="1032"/>
      <c r="F26" s="30"/>
      <c r="G26" s="69"/>
      <c r="H26" s="972">
        <f t="shared" si="1"/>
        <v>16</v>
      </c>
    </row>
    <row r="27" spans="1:8" ht="16.5" thickBot="1">
      <c r="A27" s="972">
        <f t="shared" si="0"/>
        <v>17</v>
      </c>
      <c r="B27" s="70" t="s">
        <v>919</v>
      </c>
      <c r="C27" s="91"/>
      <c r="D27" s="91"/>
      <c r="E27" s="1033">
        <f>E25+E23</f>
        <v>0</v>
      </c>
      <c r="F27" s="946"/>
      <c r="G27" s="28" t="str">
        <f>"Line "&amp;A23&amp;" + Line "&amp;A25</f>
        <v>Line 13 + Line 15</v>
      </c>
      <c r="H27" s="972">
        <f t="shared" si="1"/>
        <v>17</v>
      </c>
    </row>
    <row r="28" spans="1:8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4" orientation="portrait" r:id="rId1"/>
  <headerFooter scaleWithDoc="0">
    <oddFooter>&amp;C&amp;"Times New Roman,Regular"&amp;10Section 1
Page 1 of 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L41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140625" style="175" customWidth="1"/>
    <col min="3" max="3" width="18.5703125" style="175" customWidth="1"/>
    <col min="4" max="4" width="62.5703125" style="175" customWidth="1"/>
    <col min="5" max="5" width="5.140625" style="928" customWidth="1"/>
    <col min="6" max="6" width="11" style="175" customWidth="1"/>
    <col min="7" max="7" width="7.28515625" style="175" customWidth="1"/>
    <col min="8" max="8" width="9.28515625" style="175" customWidth="1"/>
    <col min="9" max="9" width="14" style="175" customWidth="1"/>
    <col min="10" max="10" width="13.42578125" style="175" customWidth="1"/>
    <col min="11" max="16384" width="9.140625" style="175"/>
  </cols>
  <sheetData>
    <row r="2" spans="1:6">
      <c r="B2" s="1635" t="s">
        <v>18</v>
      </c>
      <c r="C2" s="1635"/>
      <c r="D2" s="1635"/>
    </row>
    <row r="3" spans="1:6">
      <c r="B3" s="1635" t="s">
        <v>106</v>
      </c>
      <c r="C3" s="1635"/>
      <c r="D3" s="1635"/>
    </row>
    <row r="4" spans="1:6">
      <c r="B4" s="1635" t="s">
        <v>105</v>
      </c>
      <c r="C4" s="1635"/>
      <c r="D4" s="163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</row>
    <row r="6" spans="1:6">
      <c r="B6" s="1640" t="s">
        <v>3</v>
      </c>
      <c r="C6" s="1640"/>
      <c r="D6" s="1640"/>
    </row>
    <row r="7" spans="1:6">
      <c r="B7" s="177"/>
      <c r="C7" s="177"/>
      <c r="D7" s="177"/>
    </row>
    <row r="8" spans="1:6">
      <c r="A8" s="192"/>
      <c r="B8" s="1635" t="s">
        <v>94</v>
      </c>
      <c r="C8" s="1635"/>
      <c r="D8" s="1635"/>
    </row>
    <row r="9" spans="1:6">
      <c r="A9" s="192"/>
      <c r="E9" s="932"/>
    </row>
    <row r="10" spans="1:6">
      <c r="A10" s="192"/>
      <c r="B10" s="360"/>
      <c r="C10" s="414" t="s">
        <v>22</v>
      </c>
      <c r="D10" s="382"/>
      <c r="E10" s="932"/>
    </row>
    <row r="11" spans="1:6">
      <c r="A11" s="192" t="s">
        <v>4</v>
      </c>
      <c r="B11" s="315"/>
      <c r="C11" s="187" t="s">
        <v>114</v>
      </c>
      <c r="D11" s="309"/>
      <c r="E11" s="932" t="s">
        <v>4</v>
      </c>
    </row>
    <row r="12" spans="1:6">
      <c r="A12" s="192" t="s">
        <v>25</v>
      </c>
      <c r="B12" s="364" t="s">
        <v>23</v>
      </c>
      <c r="C12" s="196" t="s">
        <v>26</v>
      </c>
      <c r="D12" s="196" t="s">
        <v>9</v>
      </c>
      <c r="E12" s="932" t="s">
        <v>25</v>
      </c>
    </row>
    <row r="13" spans="1:6">
      <c r="A13" s="277"/>
      <c r="B13" s="365"/>
      <c r="C13" s="366"/>
      <c r="D13" s="384"/>
      <c r="E13" s="277"/>
    </row>
    <row r="14" spans="1:6">
      <c r="A14" s="192">
        <v>1</v>
      </c>
      <c r="B14" s="368" t="str">
        <f>"Dec-"&amp;RIGHT(Automation!$B$6-1,2)</f>
        <v>Dec-17</v>
      </c>
      <c r="C14" s="369">
        <v>153384.79769000001</v>
      </c>
      <c r="D14" s="281" t="str">
        <f>Automation!B6-1&amp;" Form 1; Page 450.1; Sch. Pg. 200; Line 33; Col. b"</f>
        <v>2017 Form 1; Page 450.1; Sch. Pg. 200; Line 33; Col. b</v>
      </c>
      <c r="E14" s="932">
        <f>A14</f>
        <v>1</v>
      </c>
      <c r="F14" s="205"/>
    </row>
    <row r="15" spans="1:6">
      <c r="A15" s="192">
        <f>A14+1</f>
        <v>2</v>
      </c>
      <c r="B15" s="370"/>
      <c r="C15" s="294"/>
      <c r="D15" s="294"/>
      <c r="E15" s="932">
        <f>E14+1</f>
        <v>2</v>
      </c>
    </row>
    <row r="16" spans="1:6">
      <c r="A16" s="192">
        <f t="shared" ref="A16:A20" si="0">A15+1</f>
        <v>3</v>
      </c>
      <c r="B16" s="368" t="str">
        <f>"Dec-"&amp;RIGHT(Automation!$B$6,2)</f>
        <v>Dec-18</v>
      </c>
      <c r="C16" s="335">
        <v>162544.22695999997</v>
      </c>
      <c r="D16" s="281" t="str">
        <f>Automation!B6&amp;" Form 1; Page 450.1; Sch. Pg. 200; Line 33; Col. b"</f>
        <v>2018 Form 1; Page 450.1; Sch. Pg. 200; Line 33; Col. b</v>
      </c>
      <c r="E16" s="932">
        <f t="shared" ref="E16:E20" si="1">E15+1</f>
        <v>3</v>
      </c>
      <c r="F16" s="205"/>
    </row>
    <row r="17" spans="1:12">
      <c r="A17" s="192">
        <f t="shared" si="0"/>
        <v>4</v>
      </c>
      <c r="B17" s="379"/>
      <c r="C17" s="415"/>
      <c r="D17" s="373"/>
      <c r="E17" s="932">
        <f t="shared" si="1"/>
        <v>4</v>
      </c>
    </row>
    <row r="18" spans="1:12">
      <c r="A18" s="192">
        <f t="shared" si="0"/>
        <v>5</v>
      </c>
      <c r="B18" s="372"/>
      <c r="C18" s="375"/>
      <c r="D18" s="384"/>
      <c r="E18" s="932">
        <f t="shared" si="1"/>
        <v>5</v>
      </c>
    </row>
    <row r="19" spans="1:12">
      <c r="A19" s="192">
        <f t="shared" si="0"/>
        <v>6</v>
      </c>
      <c r="B19" s="372" t="s">
        <v>27</v>
      </c>
      <c r="C19" s="377">
        <f>(C14+C16)/2</f>
        <v>157964.51232499999</v>
      </c>
      <c r="D19" s="387" t="str">
        <f>"Average of Line "&amp;A14&amp;" and Line "&amp;A16</f>
        <v>Average of Line 1 and Line 3</v>
      </c>
      <c r="E19" s="932">
        <f t="shared" si="1"/>
        <v>6</v>
      </c>
    </row>
    <row r="20" spans="1:12">
      <c r="A20" s="192">
        <f t="shared" si="0"/>
        <v>7</v>
      </c>
      <c r="B20" s="379"/>
      <c r="C20" s="380"/>
      <c r="D20" s="266"/>
      <c r="E20" s="932">
        <f t="shared" si="1"/>
        <v>7</v>
      </c>
    </row>
    <row r="21" spans="1:12">
      <c r="A21" s="192"/>
      <c r="B21" s="232"/>
      <c r="C21" s="381"/>
      <c r="D21" s="232"/>
      <c r="E21" s="932"/>
    </row>
    <row r="22" spans="1:12">
      <c r="A22" s="192"/>
      <c r="B22" s="232"/>
      <c r="C22" s="232"/>
      <c r="D22" s="232"/>
    </row>
    <row r="23" spans="1:12">
      <c r="B23" s="232"/>
      <c r="C23" s="232"/>
      <c r="D23" s="232"/>
      <c r="L23" s="210"/>
    </row>
    <row r="24" spans="1:12">
      <c r="B24" s="232"/>
      <c r="C24" s="232"/>
      <c r="D24" s="232"/>
    </row>
    <row r="25" spans="1:12">
      <c r="B25" s="232"/>
      <c r="C25" s="232"/>
      <c r="D25" s="232"/>
    </row>
    <row r="26" spans="1:12">
      <c r="B26" s="232"/>
      <c r="C26" s="232"/>
      <c r="D26" s="232"/>
    </row>
    <row r="27" spans="1:12">
      <c r="B27" s="232"/>
      <c r="C27" s="232"/>
      <c r="D27" s="232"/>
    </row>
    <row r="28" spans="1:12">
      <c r="B28" s="232"/>
      <c r="C28" s="232"/>
      <c r="D28" s="232"/>
    </row>
    <row r="29" spans="1:12">
      <c r="B29" s="232"/>
      <c r="C29" s="232"/>
      <c r="D29" s="232"/>
    </row>
    <row r="30" spans="1:12">
      <c r="B30" s="232"/>
      <c r="C30" s="232"/>
      <c r="D30" s="232"/>
    </row>
    <row r="31" spans="1:12">
      <c r="B31" s="232"/>
      <c r="C31" s="232"/>
      <c r="D31" s="232"/>
    </row>
    <row r="32" spans="1:12">
      <c r="B32" s="232"/>
      <c r="C32" s="232"/>
      <c r="D32" s="232"/>
    </row>
    <row r="33" spans="1:5">
      <c r="B33" s="232"/>
      <c r="C33" s="232"/>
      <c r="D33" s="232"/>
    </row>
    <row r="34" spans="1:5">
      <c r="B34" s="232"/>
      <c r="C34" s="232"/>
      <c r="D34" s="232"/>
    </row>
    <row r="35" spans="1:5" s="232" customFormat="1">
      <c r="A35" s="192"/>
      <c r="E35" s="932"/>
    </row>
    <row r="36" spans="1:5" s="232" customFormat="1">
      <c r="A36" s="192"/>
      <c r="E36" s="932"/>
    </row>
    <row r="37" spans="1:5" s="232" customFormat="1">
      <c r="A37" s="192"/>
      <c r="E37" s="932"/>
    </row>
    <row r="38" spans="1:5" s="232" customFormat="1">
      <c r="A38" s="192"/>
      <c r="E38" s="932"/>
    </row>
    <row r="39" spans="1:5" s="232" customFormat="1">
      <c r="A39" s="192"/>
      <c r="E39" s="932"/>
    </row>
    <row r="40" spans="1:5" s="232" customFormat="1">
      <c r="A40" s="192"/>
      <c r="E40" s="932"/>
    </row>
    <row r="41" spans="1:5" s="232" customFormat="1">
      <c r="A41" s="192"/>
      <c r="E41" s="93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H27"/>
  <sheetViews>
    <sheetView zoomScale="80" zoomScaleNormal="80" workbookViewId="0"/>
  </sheetViews>
  <sheetFormatPr defaultColWidth="9.140625" defaultRowHeight="15.75"/>
  <cols>
    <col min="1" max="1" width="5.140625" style="176" customWidth="1"/>
    <col min="2" max="3" width="20.5703125" style="595" hidden="1" customWidth="1"/>
    <col min="4" max="4" width="8.5703125" style="595" customWidth="1"/>
    <col min="5" max="5" width="41.28515625" style="595" customWidth="1"/>
    <col min="6" max="6" width="18.5703125" style="595" customWidth="1"/>
    <col min="7" max="7" width="62.5703125" style="595" customWidth="1"/>
    <col min="8" max="8" width="5.140625" style="928" customWidth="1"/>
    <col min="9" max="9" width="24" style="595" customWidth="1"/>
    <col min="10" max="10" width="11" style="595" customWidth="1"/>
    <col min="11" max="11" width="7.28515625" style="595" customWidth="1"/>
    <col min="12" max="12" width="9.28515625" style="595" customWidth="1"/>
    <col min="13" max="13" width="14" style="595" customWidth="1"/>
    <col min="14" max="14" width="13.42578125" style="595" customWidth="1"/>
    <col min="15" max="16384" width="9.140625" style="595"/>
  </cols>
  <sheetData>
    <row r="2" spans="1:8">
      <c r="D2" s="1635" t="s">
        <v>18</v>
      </c>
      <c r="E2" s="1635"/>
      <c r="F2" s="1635"/>
      <c r="G2" s="1635"/>
    </row>
    <row r="3" spans="1:8">
      <c r="D3" s="1635" t="s">
        <v>106</v>
      </c>
      <c r="E3" s="1635"/>
      <c r="F3" s="1635"/>
      <c r="G3" s="1635"/>
    </row>
    <row r="4" spans="1:8">
      <c r="D4" s="1635" t="s">
        <v>105</v>
      </c>
      <c r="E4" s="1635"/>
      <c r="F4" s="1635"/>
      <c r="G4" s="1635"/>
    </row>
    <row r="5" spans="1:8">
      <c r="D5" s="1635" t="str">
        <f>"BASE PERIOD / TRUE UP PERIOD - 12/31/"&amp;Automation!$B$6&amp;" PER BOOK"</f>
        <v>BASE PERIOD / TRUE UP PERIOD - 12/31/2018 PER BOOK</v>
      </c>
      <c r="E5" s="1635"/>
      <c r="F5" s="1635"/>
      <c r="G5" s="1635"/>
    </row>
    <row r="6" spans="1:8">
      <c r="D6" s="1640" t="s">
        <v>3</v>
      </c>
      <c r="E6" s="1640"/>
      <c r="F6" s="1640"/>
      <c r="G6" s="1640"/>
    </row>
    <row r="7" spans="1:8">
      <c r="D7" s="177"/>
      <c r="E7" s="177"/>
      <c r="F7" s="177"/>
      <c r="G7" s="177"/>
    </row>
    <row r="8" spans="1:8">
      <c r="D8" s="1635" t="s">
        <v>96</v>
      </c>
      <c r="E8" s="1635"/>
      <c r="F8" s="1635"/>
      <c r="G8" s="1635"/>
    </row>
    <row r="9" spans="1:8">
      <c r="A9" s="416"/>
      <c r="B9" s="358"/>
      <c r="C9" s="358"/>
      <c r="H9" s="932"/>
    </row>
    <row r="10" spans="1:8">
      <c r="A10" s="416" t="s">
        <v>4</v>
      </c>
      <c r="B10" s="193"/>
      <c r="C10" s="193"/>
      <c r="D10" s="877"/>
      <c r="E10" s="877"/>
      <c r="F10" s="878"/>
      <c r="G10" s="879"/>
      <c r="H10" s="932" t="s">
        <v>4</v>
      </c>
    </row>
    <row r="11" spans="1:8">
      <c r="A11" s="416" t="s">
        <v>25</v>
      </c>
      <c r="B11" s="389" t="s">
        <v>440</v>
      </c>
      <c r="C11" s="257" t="s">
        <v>440</v>
      </c>
      <c r="D11" s="880" t="s">
        <v>23</v>
      </c>
      <c r="E11" s="880" t="s">
        <v>72</v>
      </c>
      <c r="F11" s="880" t="s">
        <v>128</v>
      </c>
      <c r="G11" s="914" t="s">
        <v>9</v>
      </c>
      <c r="H11" s="932" t="s">
        <v>25</v>
      </c>
    </row>
    <row r="12" spans="1:8">
      <c r="A12" s="277"/>
      <c r="B12" s="278"/>
      <c r="C12" s="278"/>
      <c r="D12" s="881"/>
      <c r="E12" s="881"/>
      <c r="F12" s="881"/>
      <c r="G12" s="882"/>
      <c r="H12" s="277"/>
    </row>
    <row r="13" spans="1:8">
      <c r="A13" s="416">
        <v>1</v>
      </c>
      <c r="B13" s="324" t="s">
        <v>280</v>
      </c>
      <c r="C13" s="910" t="str">
        <f>Automation!$B$6-1&amp;"12"</f>
        <v>201712</v>
      </c>
      <c r="D13" s="884" t="str">
        <f>"Dec-"&amp;RIGHT(Automation!$B$6-1,2)</f>
        <v>Dec-17</v>
      </c>
      <c r="E13" s="884" t="s">
        <v>594</v>
      </c>
      <c r="F13" s="903">
        <v>553468.94363999995</v>
      </c>
      <c r="G13" s="886" t="str">
        <f>Automation!B6-1&amp;" Form 1; Page 356.1; Accts 303 to 398"</f>
        <v>2017 Form 1; Page 356.1; Accts 303 to 398</v>
      </c>
      <c r="H13" s="932">
        <f>A13</f>
        <v>1</v>
      </c>
    </row>
    <row r="14" spans="1:8">
      <c r="A14" s="416">
        <f>A13+1</f>
        <v>2</v>
      </c>
      <c r="B14" s="235" t="s">
        <v>277</v>
      </c>
      <c r="C14" s="883"/>
      <c r="D14" s="884"/>
      <c r="E14" s="884" t="s">
        <v>595</v>
      </c>
      <c r="F14" s="888">
        <v>0.74619999999999997</v>
      </c>
      <c r="G14" s="922" t="str">
        <f>Automation!B6-1&amp;" Form 1; Page 356.1; Electric"</f>
        <v>2017 Form 1; Page 356.1; Electric</v>
      </c>
      <c r="H14" s="932">
        <f>H13+1</f>
        <v>2</v>
      </c>
    </row>
    <row r="15" spans="1:8">
      <c r="A15" s="416">
        <f t="shared" ref="A15:A23" si="0">A14+1</f>
        <v>3</v>
      </c>
      <c r="B15" s="324"/>
      <c r="C15" s="883"/>
      <c r="D15" s="884"/>
      <c r="E15" s="884" t="s">
        <v>277</v>
      </c>
      <c r="F15" s="904">
        <f>F13*F14</f>
        <v>412998.52574416797</v>
      </c>
      <c r="G15" s="281" t="str">
        <f>"Line "&amp;A13&amp;" x Line "&amp;A14</f>
        <v>Line 1 x Line 2</v>
      </c>
      <c r="H15" s="932">
        <f t="shared" ref="H15:H23" si="1">H14+1</f>
        <v>3</v>
      </c>
    </row>
    <row r="16" spans="1:8">
      <c r="A16" s="416">
        <f t="shared" si="0"/>
        <v>4</v>
      </c>
      <c r="C16" s="883"/>
      <c r="D16" s="884"/>
      <c r="E16" s="884"/>
      <c r="F16" s="904"/>
      <c r="G16" s="281"/>
      <c r="H16" s="932">
        <f t="shared" si="1"/>
        <v>4</v>
      </c>
    </row>
    <row r="17" spans="1:8">
      <c r="A17" s="416">
        <f t="shared" si="0"/>
        <v>5</v>
      </c>
      <c r="C17" s="883" t="str">
        <f>Automation!$B$6&amp;"12"</f>
        <v>201812</v>
      </c>
      <c r="D17" s="884" t="str">
        <f>"Dec-"&amp;RIGHT(Automation!$B$6,2)</f>
        <v>Dec-18</v>
      </c>
      <c r="E17" s="884" t="s">
        <v>594</v>
      </c>
      <c r="F17" s="903">
        <v>634023.745</v>
      </c>
      <c r="G17" s="886" t="str">
        <f>Automation!B6&amp;" Form 1; Page 356.1; Accts 303 to 398"</f>
        <v>2018 Form 1; Page 356.1; Accts 303 to 398</v>
      </c>
      <c r="H17" s="932">
        <f t="shared" si="1"/>
        <v>5</v>
      </c>
    </row>
    <row r="18" spans="1:8">
      <c r="A18" s="416">
        <f t="shared" si="0"/>
        <v>6</v>
      </c>
      <c r="B18" s="193"/>
      <c r="C18" s="883"/>
      <c r="D18" s="884"/>
      <c r="E18" s="884" t="s">
        <v>595</v>
      </c>
      <c r="F18" s="888">
        <v>0.73509999999999998</v>
      </c>
      <c r="G18" s="922" t="str">
        <f>Automation!B6&amp;" Form 1; Page 356.1; Electric"</f>
        <v>2018 Form 1; Page 356.1; Electric</v>
      </c>
      <c r="H18" s="932">
        <f t="shared" si="1"/>
        <v>6</v>
      </c>
    </row>
    <row r="19" spans="1:8">
      <c r="A19" s="416">
        <f t="shared" si="0"/>
        <v>7</v>
      </c>
      <c r="B19" s="193"/>
      <c r="C19" s="883"/>
      <c r="D19" s="884"/>
      <c r="E19" s="884" t="s">
        <v>277</v>
      </c>
      <c r="F19" s="904">
        <f>F17*F18</f>
        <v>466070.8549495</v>
      </c>
      <c r="G19" s="281" t="str">
        <f>"Line "&amp;A17&amp;" x Line "&amp;A18</f>
        <v>Line 5 x Line 6</v>
      </c>
      <c r="H19" s="932">
        <f t="shared" si="1"/>
        <v>7</v>
      </c>
    </row>
    <row r="20" spans="1:8">
      <c r="A20" s="416">
        <f t="shared" si="0"/>
        <v>8</v>
      </c>
      <c r="B20" s="193"/>
      <c r="C20" s="193"/>
      <c r="D20" s="889"/>
      <c r="E20" s="880"/>
      <c r="F20" s="905"/>
      <c r="G20" s="891"/>
      <c r="H20" s="932">
        <f t="shared" si="1"/>
        <v>8</v>
      </c>
    </row>
    <row r="21" spans="1:8">
      <c r="A21" s="416">
        <f t="shared" si="0"/>
        <v>9</v>
      </c>
      <c r="B21" s="193"/>
      <c r="C21" s="193"/>
      <c r="D21" s="892"/>
      <c r="E21" s="893"/>
      <c r="F21" s="896"/>
      <c r="G21" s="895"/>
      <c r="H21" s="932">
        <f t="shared" si="1"/>
        <v>9</v>
      </c>
    </row>
    <row r="22" spans="1:8">
      <c r="A22" s="416">
        <f t="shared" si="0"/>
        <v>10</v>
      </c>
      <c r="B22" s="193"/>
      <c r="C22" s="193"/>
      <c r="D22" s="896" t="s">
        <v>27</v>
      </c>
      <c r="E22" s="893"/>
      <c r="F22" s="386">
        <f>(F15+F19)/2</f>
        <v>439534.69034683402</v>
      </c>
      <c r="G22" s="897" t="str">
        <f>"Average of Line "&amp;A15&amp;" and Line "&amp;A19</f>
        <v>Average of Line 3 and Line 7</v>
      </c>
      <c r="H22" s="932">
        <f t="shared" si="1"/>
        <v>10</v>
      </c>
    </row>
    <row r="23" spans="1:8">
      <c r="A23" s="416">
        <f t="shared" si="0"/>
        <v>11</v>
      </c>
      <c r="B23" s="193"/>
      <c r="C23" s="193"/>
      <c r="D23" s="898"/>
      <c r="E23" s="899"/>
      <c r="F23" s="898"/>
      <c r="G23" s="901"/>
      <c r="H23" s="932">
        <f t="shared" si="1"/>
        <v>11</v>
      </c>
    </row>
    <row r="24" spans="1:8">
      <c r="A24" s="416"/>
      <c r="B24" s="358"/>
      <c r="C24" s="358"/>
      <c r="D24" s="298"/>
      <c r="E24" s="298"/>
      <c r="F24" s="358"/>
      <c r="G24" s="358"/>
    </row>
    <row r="25" spans="1:8">
      <c r="D25" s="358"/>
      <c r="E25" s="358"/>
      <c r="F25" s="358"/>
      <c r="G25" s="358"/>
    </row>
    <row r="26" spans="1:8">
      <c r="D26" s="358"/>
      <c r="E26" s="358"/>
      <c r="F26" s="358"/>
      <c r="G26" s="358"/>
    </row>
    <row r="27" spans="1:8">
      <c r="D27" s="358"/>
      <c r="E27" s="358"/>
      <c r="F27" s="358"/>
      <c r="G27" s="358"/>
    </row>
  </sheetData>
  <mergeCells count="6">
    <mergeCell ref="D8:G8"/>
    <mergeCell ref="D2:G2"/>
    <mergeCell ref="D3:G3"/>
    <mergeCell ref="D4:G4"/>
    <mergeCell ref="D5:G5"/>
    <mergeCell ref="D6:G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28"/>
  <sheetViews>
    <sheetView zoomScale="80" zoomScaleNormal="80" zoomScalePageLayoutView="80" workbookViewId="0"/>
  </sheetViews>
  <sheetFormatPr defaultColWidth="9.140625" defaultRowHeight="15.75"/>
  <cols>
    <col min="1" max="1" width="5.28515625" style="600" customWidth="1"/>
    <col min="2" max="2" width="56" style="408" customWidth="1"/>
    <col min="3" max="3" width="24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16.85546875" style="408" customWidth="1"/>
    <col min="8" max="8" width="1.5703125" style="408" customWidth="1"/>
    <col min="9" max="9" width="17.7109375" style="408" bestFit="1" customWidth="1"/>
    <col min="10" max="10" width="1.5703125" style="408" customWidth="1"/>
    <col min="11" max="11" width="39.42578125" style="408" bestFit="1" customWidth="1"/>
    <col min="12" max="12" width="5.140625" style="408" customWidth="1"/>
    <col min="13" max="13" width="9.140625" style="408"/>
    <col min="14" max="14" width="20.42578125" style="408" bestFit="1" customWidth="1"/>
    <col min="15" max="16384" width="9.140625" style="408"/>
  </cols>
  <sheetData>
    <row r="1" spans="1:14">
      <c r="A1" s="596"/>
      <c r="H1" s="600"/>
      <c r="I1" s="600"/>
      <c r="J1" s="600"/>
      <c r="K1" s="600"/>
      <c r="L1" s="596"/>
    </row>
    <row r="2" spans="1:14">
      <c r="A2" s="596"/>
      <c r="B2" s="1643" t="s">
        <v>18</v>
      </c>
      <c r="C2" s="1643"/>
      <c r="D2" s="1643"/>
      <c r="E2" s="1643"/>
      <c r="F2" s="1643"/>
      <c r="G2" s="1643"/>
      <c r="H2" s="1628"/>
      <c r="I2" s="1628"/>
      <c r="J2" s="1628"/>
      <c r="K2" s="1628"/>
      <c r="L2" s="596"/>
    </row>
    <row r="3" spans="1:14">
      <c r="A3" s="596"/>
      <c r="B3" s="1643" t="s">
        <v>115</v>
      </c>
      <c r="C3" s="1643"/>
      <c r="D3" s="1643"/>
      <c r="E3" s="1643"/>
      <c r="F3" s="1643"/>
      <c r="G3" s="1643"/>
      <c r="H3" s="1628"/>
      <c r="I3" s="1628"/>
      <c r="J3" s="1628"/>
      <c r="K3" s="1628"/>
      <c r="L3" s="596"/>
    </row>
    <row r="4" spans="1:14">
      <c r="A4" s="596"/>
      <c r="B4" s="1643" t="s">
        <v>116</v>
      </c>
      <c r="C4" s="1643"/>
      <c r="D4" s="1643"/>
      <c r="E4" s="1643"/>
      <c r="F4" s="1643"/>
      <c r="G4" s="1643"/>
      <c r="H4" s="1628"/>
      <c r="I4" s="1628"/>
      <c r="J4" s="1628"/>
      <c r="K4" s="1628"/>
      <c r="L4" s="596"/>
    </row>
    <row r="5" spans="1:14">
      <c r="A5" s="596"/>
      <c r="B5" s="1644" t="str">
        <f>'A. Sec.1 - Direct Maintenance'!B5</f>
        <v>Base Period &amp; True-Up Period 12 - Months Ending December 31, 2018</v>
      </c>
      <c r="C5" s="1644"/>
      <c r="D5" s="1644"/>
      <c r="E5" s="1644"/>
      <c r="F5" s="1644"/>
      <c r="G5" s="1644"/>
      <c r="H5" s="1644"/>
      <c r="I5" s="1644"/>
      <c r="J5" s="1644"/>
      <c r="K5" s="1644"/>
      <c r="L5" s="596"/>
    </row>
    <row r="6" spans="1:14">
      <c r="A6" s="596"/>
      <c r="B6" s="1645" t="s">
        <v>3</v>
      </c>
      <c r="C6" s="1646"/>
      <c r="D6" s="1646"/>
      <c r="E6" s="1646"/>
      <c r="F6" s="1646"/>
      <c r="G6" s="1646"/>
      <c r="H6" s="1646"/>
      <c r="I6" s="1646"/>
      <c r="J6" s="1646"/>
      <c r="K6" s="1646"/>
      <c r="L6" s="596"/>
    </row>
    <row r="7" spans="1:14">
      <c r="A7" s="596"/>
      <c r="B7" s="596"/>
      <c r="C7" s="596"/>
      <c r="D7" s="596"/>
      <c r="E7" s="596"/>
      <c r="F7" s="596"/>
      <c r="G7" s="596"/>
      <c r="H7" s="600"/>
      <c r="I7" s="600"/>
      <c r="J7" s="600"/>
      <c r="K7" s="600"/>
      <c r="L7" s="596"/>
    </row>
    <row r="8" spans="1:14">
      <c r="A8" s="596" t="s">
        <v>4</v>
      </c>
      <c r="B8" s="677"/>
      <c r="C8" s="596" t="s">
        <v>511</v>
      </c>
      <c r="D8" s="677"/>
      <c r="E8" s="702" t="s">
        <v>5</v>
      </c>
      <c r="F8" s="596"/>
      <c r="G8" s="702" t="s">
        <v>6</v>
      </c>
      <c r="H8" s="600"/>
      <c r="I8" s="702" t="s">
        <v>7</v>
      </c>
      <c r="J8" s="600"/>
      <c r="K8" s="600"/>
      <c r="L8" s="596" t="s">
        <v>4</v>
      </c>
    </row>
    <row r="9" spans="1:14">
      <c r="A9" s="703" t="s">
        <v>25</v>
      </c>
      <c r="C9" s="598" t="s">
        <v>512</v>
      </c>
      <c r="E9" s="704" t="str">
        <f>'Stmt AD'!E9</f>
        <v>31-Dec-17</v>
      </c>
      <c r="F9" s="613"/>
      <c r="G9" s="704" t="str">
        <f>'Stmt AD'!G9</f>
        <v>31-Dec-18</v>
      </c>
      <c r="H9" s="677"/>
      <c r="I9" s="679" t="s">
        <v>8</v>
      </c>
      <c r="J9" s="677"/>
      <c r="K9" s="497" t="s">
        <v>9</v>
      </c>
      <c r="L9" s="703" t="s">
        <v>25</v>
      </c>
    </row>
    <row r="10" spans="1:14">
      <c r="A10" s="703"/>
      <c r="H10" s="600"/>
      <c r="I10" s="596"/>
      <c r="J10" s="600"/>
      <c r="K10" s="600"/>
      <c r="L10" s="703"/>
    </row>
    <row r="11" spans="1:14">
      <c r="A11" s="703">
        <v>1</v>
      </c>
      <c r="B11" s="408" t="s">
        <v>673</v>
      </c>
      <c r="E11" s="601">
        <f>'AF-1'!I16+'AF-1'!I32</f>
        <v>273109.32299999997</v>
      </c>
      <c r="F11" s="650"/>
      <c r="G11" s="601">
        <f>'AF-2'!I16+'AF-2'!I32</f>
        <v>235502.73007505928</v>
      </c>
      <c r="H11" s="600"/>
      <c r="I11" s="650">
        <f>(E11+G11)/2</f>
        <v>254306.02653752963</v>
      </c>
      <c r="J11" s="600"/>
      <c r="K11" s="600" t="str">
        <f>"AF-1 and AF-2; Line "&amp;'AF-1'!A16&amp;" + Line "&amp;'AF-1'!A32&amp;"; Col. d"</f>
        <v>AF-1 and AF-2; Line 5 + Line 21; Col. d</v>
      </c>
      <c r="L11" s="703">
        <f>A11</f>
        <v>1</v>
      </c>
    </row>
    <row r="12" spans="1:14">
      <c r="A12" s="703">
        <f>A11+1</f>
        <v>2</v>
      </c>
      <c r="H12" s="600"/>
      <c r="I12" s="596"/>
      <c r="J12" s="600"/>
      <c r="K12" s="600"/>
      <c r="L12" s="703">
        <f>L11+1</f>
        <v>2</v>
      </c>
    </row>
    <row r="13" spans="1:14" s="705" customFormat="1">
      <c r="A13" s="703">
        <f t="shared" ref="A13:A23" si="0">A12+1</f>
        <v>3</v>
      </c>
      <c r="B13" s="408" t="s">
        <v>722</v>
      </c>
      <c r="C13" s="408"/>
      <c r="D13" s="408"/>
      <c r="E13" s="970">
        <f>'AF-1'!I21+'AF-1'!I37</f>
        <v>-1028062.389</v>
      </c>
      <c r="F13" s="408"/>
      <c r="G13" s="970">
        <f>'AF-2'!I21+'AF-2'!I37</f>
        <v>-1046922.3745459035</v>
      </c>
      <c r="H13" s="600"/>
      <c r="I13" s="971">
        <f>(E13+G13)/2</f>
        <v>-1037492.3817729517</v>
      </c>
      <c r="J13" s="600"/>
      <c r="K13" s="600" t="str">
        <f>"AF-1 and AF-2; Line "&amp;'AF-1'!A21&amp;" + Line "&amp;'AF-1'!A37&amp;"; Col. d"</f>
        <v>AF-1 and AF-2; Line 10 + Line 26; Col. d</v>
      </c>
      <c r="L13" s="703">
        <f t="shared" ref="L13:L23" si="1">L12+1</f>
        <v>3</v>
      </c>
      <c r="M13" s="408"/>
    </row>
    <row r="14" spans="1:14" s="705" customFormat="1">
      <c r="A14" s="703">
        <f t="shared" si="0"/>
        <v>4</v>
      </c>
      <c r="B14" s="408"/>
      <c r="C14" s="408"/>
      <c r="D14" s="408"/>
      <c r="E14" s="408"/>
      <c r="F14" s="408"/>
      <c r="G14" s="408"/>
      <c r="H14" s="600"/>
      <c r="I14" s="596"/>
      <c r="J14" s="600"/>
      <c r="K14" s="5"/>
      <c r="L14" s="703">
        <f t="shared" si="1"/>
        <v>4</v>
      </c>
    </row>
    <row r="15" spans="1:14" s="705" customFormat="1">
      <c r="A15" s="703">
        <f t="shared" si="0"/>
        <v>5</v>
      </c>
      <c r="B15" s="408" t="s">
        <v>674</v>
      </c>
      <c r="C15" s="408"/>
      <c r="D15" s="408"/>
      <c r="E15" s="1569">
        <f>'AF-1'!I26+'AF-1'!I42</f>
        <v>-6398.4429999999993</v>
      </c>
      <c r="F15" s="1565"/>
      <c r="G15" s="1569">
        <f>'AF-2'!I26+'AF-2'!I42</f>
        <v>-5328</v>
      </c>
      <c r="H15" s="600"/>
      <c r="I15" s="706">
        <f>(E15+G15)/2</f>
        <v>-5863.2214999999997</v>
      </c>
      <c r="J15" s="600"/>
      <c r="K15" s="600" t="str">
        <f>"AF-1 and AF-2; Line "&amp;'AF-1'!A26&amp;" + Line "&amp;'AF-1'!A42&amp;"; Col. d"</f>
        <v>AF-1 and AF-2; Line 15 + Line 31; Col. d</v>
      </c>
      <c r="L15" s="703">
        <f t="shared" si="1"/>
        <v>5</v>
      </c>
      <c r="M15" s="408"/>
      <c r="N15" s="408"/>
    </row>
    <row r="16" spans="1:14">
      <c r="A16" s="703">
        <f t="shared" si="0"/>
        <v>6</v>
      </c>
      <c r="B16" s="6"/>
      <c r="E16" s="650"/>
      <c r="F16" s="650"/>
      <c r="G16" s="650"/>
      <c r="I16" s="650"/>
      <c r="J16" s="600"/>
      <c r="K16" s="5"/>
      <c r="L16" s="703">
        <f t="shared" si="1"/>
        <v>6</v>
      </c>
    </row>
    <row r="17" spans="1:12" ht="19.5" thickBot="1">
      <c r="A17" s="703">
        <f t="shared" si="0"/>
        <v>7</v>
      </c>
      <c r="B17" s="6" t="s">
        <v>721</v>
      </c>
      <c r="C17" s="600"/>
      <c r="E17" s="708">
        <f>SUM(E11:E15)</f>
        <v>-761351.50899999996</v>
      </c>
      <c r="F17" s="709"/>
      <c r="G17" s="708">
        <f>SUM(G11:G15)</f>
        <v>-816747.64447084418</v>
      </c>
      <c r="H17" s="709"/>
      <c r="I17" s="708">
        <f>SUM(I11:I15)</f>
        <v>-789049.57673542202</v>
      </c>
      <c r="J17" s="600"/>
      <c r="K17" s="7" t="str">
        <f>"Sum Lines "&amp;A11&amp;" thru "&amp;A15</f>
        <v>Sum Lines 1 thru 5</v>
      </c>
      <c r="L17" s="703">
        <f t="shared" si="1"/>
        <v>7</v>
      </c>
    </row>
    <row r="18" spans="1:12" ht="16.5" thickTop="1">
      <c r="A18" s="703">
        <f t="shared" si="0"/>
        <v>8</v>
      </c>
      <c r="J18" s="600"/>
      <c r="K18" s="5"/>
      <c r="L18" s="703">
        <f t="shared" si="1"/>
        <v>8</v>
      </c>
    </row>
    <row r="19" spans="1:12" s="1482" customFormat="1" ht="16.5" thickBot="1">
      <c r="A19" s="703">
        <f t="shared" si="0"/>
        <v>9</v>
      </c>
      <c r="B19" s="6" t="s">
        <v>939</v>
      </c>
      <c r="E19" s="1544">
        <v>0</v>
      </c>
      <c r="G19" s="1544">
        <v>0</v>
      </c>
      <c r="I19" s="1507">
        <f>(E19+G19)/2</f>
        <v>0</v>
      </c>
      <c r="J19" s="600"/>
      <c r="K19" s="600" t="s">
        <v>130</v>
      </c>
      <c r="L19" s="703">
        <f t="shared" si="1"/>
        <v>9</v>
      </c>
    </row>
    <row r="20" spans="1:12" s="1482" customFormat="1" ht="16.5" thickTop="1">
      <c r="A20" s="703">
        <f t="shared" si="0"/>
        <v>10</v>
      </c>
      <c r="B20" s="4"/>
      <c r="I20" s="1477"/>
      <c r="J20" s="600"/>
      <c r="K20" s="5"/>
      <c r="L20" s="703">
        <f t="shared" si="1"/>
        <v>10</v>
      </c>
    </row>
    <row r="21" spans="1:12" ht="16.5" thickBot="1">
      <c r="A21" s="703">
        <f t="shared" si="0"/>
        <v>11</v>
      </c>
      <c r="B21" s="6" t="s">
        <v>117</v>
      </c>
      <c r="E21" s="710">
        <f>'AF-1'!I45</f>
        <v>0</v>
      </c>
      <c r="F21" s="711"/>
      <c r="G21" s="710">
        <f>'AF-2'!I45</f>
        <v>0</v>
      </c>
      <c r="H21" s="712"/>
      <c r="I21" s="1507">
        <f>(E21+G21)/2</f>
        <v>0</v>
      </c>
      <c r="K21" s="600" t="str">
        <f>"AF-1 and AF-2; Line "&amp;'AF-1'!A45&amp;"; Col. d"</f>
        <v>AF-1 and AF-2; Line 34; Col. d</v>
      </c>
      <c r="L21" s="703">
        <f t="shared" si="1"/>
        <v>11</v>
      </c>
    </row>
    <row r="22" spans="1:12" s="1482" customFormat="1" ht="16.5" thickTop="1">
      <c r="A22" s="703">
        <f t="shared" si="0"/>
        <v>12</v>
      </c>
      <c r="B22" s="4"/>
      <c r="E22" s="1009"/>
      <c r="F22" s="1506"/>
      <c r="G22" s="1009"/>
      <c r="H22" s="712"/>
      <c r="I22" s="1477"/>
      <c r="K22" s="5"/>
      <c r="L22" s="703">
        <f t="shared" si="1"/>
        <v>12</v>
      </c>
    </row>
    <row r="23" spans="1:12" s="1482" customFormat="1" ht="16.5" thickBot="1">
      <c r="A23" s="703">
        <f t="shared" si="0"/>
        <v>13</v>
      </c>
      <c r="B23" s="6" t="s">
        <v>940</v>
      </c>
      <c r="E23" s="1544">
        <v>0</v>
      </c>
      <c r="F23" s="711"/>
      <c r="G23" s="1544">
        <v>0</v>
      </c>
      <c r="H23" s="712"/>
      <c r="I23" s="1507">
        <f>(E23+G23)/2</f>
        <v>0</v>
      </c>
      <c r="K23" s="600" t="s">
        <v>130</v>
      </c>
      <c r="L23" s="703">
        <f t="shared" si="1"/>
        <v>13</v>
      </c>
    </row>
    <row r="24" spans="1:12" ht="16.5" thickTop="1">
      <c r="L24" s="703"/>
    </row>
    <row r="26" spans="1:12" ht="18.75">
      <c r="A26" s="646">
        <v>1</v>
      </c>
      <c r="B26" s="6" t="s">
        <v>609</v>
      </c>
    </row>
    <row r="27" spans="1:12" ht="18.75">
      <c r="A27" s="646">
        <v>2</v>
      </c>
      <c r="B27" s="1482" t="s">
        <v>704</v>
      </c>
    </row>
    <row r="28" spans="1:12">
      <c r="A28" s="408"/>
      <c r="B28" s="714" t="s">
        <v>705</v>
      </c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Roman,Regular"&amp;10AF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K48"/>
  <sheetViews>
    <sheetView zoomScale="80" zoomScaleNormal="80" zoomScaleSheetLayoutView="70" workbookViewId="0"/>
  </sheetViews>
  <sheetFormatPr defaultColWidth="8.7109375" defaultRowHeight="15.75"/>
  <cols>
    <col min="1" max="1" width="5.7109375" style="600" customWidth="1"/>
    <col min="2" max="2" width="62.85546875" style="1482" bestFit="1" customWidth="1"/>
    <col min="3" max="3" width="16.85546875" style="1482" customWidth="1"/>
    <col min="4" max="4" width="1.5703125" style="1482" customWidth="1"/>
    <col min="5" max="5" width="16.85546875" style="1482" customWidth="1"/>
    <col min="6" max="6" width="1.5703125" style="1482" customWidth="1"/>
    <col min="7" max="7" width="16.85546875" style="1482" customWidth="1"/>
    <col min="8" max="8" width="1.5703125" style="1482" customWidth="1"/>
    <col min="9" max="9" width="23.42578125" style="1482" bestFit="1" customWidth="1"/>
    <col min="10" max="10" width="62.5703125" style="1482" customWidth="1"/>
    <col min="11" max="11" width="5.28515625" style="600" customWidth="1"/>
    <col min="12" max="16384" width="8.7109375" style="1482"/>
  </cols>
  <sheetData>
    <row r="2" spans="1:11">
      <c r="B2" s="1628" t="s">
        <v>18</v>
      </c>
      <c r="C2" s="1628"/>
      <c r="D2" s="1628"/>
      <c r="E2" s="1628"/>
      <c r="F2" s="1628"/>
      <c r="G2" s="1628"/>
      <c r="H2" s="1628"/>
      <c r="I2" s="1628"/>
      <c r="J2" s="1628"/>
    </row>
    <row r="3" spans="1:11">
      <c r="B3" s="1628" t="s">
        <v>941</v>
      </c>
      <c r="C3" s="1628"/>
      <c r="D3" s="1628"/>
      <c r="E3" s="1628"/>
      <c r="F3" s="1628"/>
      <c r="G3" s="1628"/>
      <c r="H3" s="1628"/>
      <c r="I3" s="1628"/>
      <c r="J3" s="1628"/>
    </row>
    <row r="4" spans="1:11">
      <c r="B4" s="1628" t="s">
        <v>942</v>
      </c>
      <c r="C4" s="1628"/>
      <c r="D4" s="1628"/>
      <c r="E4" s="1628"/>
      <c r="F4" s="1628"/>
      <c r="G4" s="1628"/>
      <c r="H4" s="1628"/>
      <c r="I4" s="1628"/>
      <c r="J4" s="1628"/>
    </row>
    <row r="5" spans="1:11">
      <c r="B5" s="1628" t="str">
        <f>"Base Period 12 Months Ending December 31, "&amp;Automation!$B$6-1</f>
        <v>Base Period 12 Months Ending December 31, 2017</v>
      </c>
      <c r="C5" s="1628"/>
      <c r="D5" s="1628"/>
      <c r="E5" s="1628"/>
      <c r="F5" s="1628"/>
      <c r="G5" s="1628"/>
      <c r="H5" s="1628"/>
      <c r="I5" s="1628"/>
      <c r="J5" s="1628"/>
    </row>
    <row r="6" spans="1:11" ht="15.6" customHeight="1">
      <c r="B6" s="1645" t="s">
        <v>3</v>
      </c>
      <c r="C6" s="1645"/>
      <c r="D6" s="1645"/>
      <c r="E6" s="1645"/>
      <c r="F6" s="1645"/>
      <c r="G6" s="1645"/>
      <c r="H6" s="1645"/>
      <c r="I6" s="1645"/>
      <c r="J6" s="1645"/>
    </row>
    <row r="8" spans="1:11">
      <c r="B8" s="1477"/>
      <c r="C8" s="1476" t="s">
        <v>5</v>
      </c>
      <c r="D8" s="1476"/>
      <c r="E8" s="1476" t="s">
        <v>6</v>
      </c>
      <c r="F8" s="1476"/>
      <c r="G8" s="1476" t="s">
        <v>232</v>
      </c>
      <c r="H8" s="1476"/>
      <c r="I8" s="1429" t="s">
        <v>943</v>
      </c>
      <c r="J8" s="1476"/>
    </row>
    <row r="9" spans="1:11">
      <c r="A9" s="600" t="s">
        <v>4</v>
      </c>
      <c r="B9" s="1477"/>
      <c r="C9" s="1476" t="s">
        <v>944</v>
      </c>
      <c r="D9" s="1476"/>
      <c r="E9" s="1476" t="s">
        <v>886</v>
      </c>
      <c r="F9" s="1476"/>
      <c r="G9" s="1476" t="s">
        <v>886</v>
      </c>
      <c r="H9" s="1476"/>
      <c r="I9" s="1476"/>
      <c r="J9" s="1476"/>
      <c r="K9" s="600" t="s">
        <v>4</v>
      </c>
    </row>
    <row r="10" spans="1:11">
      <c r="A10" s="456" t="s">
        <v>25</v>
      </c>
      <c r="B10" s="1431" t="s">
        <v>72</v>
      </c>
      <c r="C10" s="1432" t="s">
        <v>945</v>
      </c>
      <c r="D10" s="1432"/>
      <c r="E10" s="1432" t="s">
        <v>887</v>
      </c>
      <c r="F10" s="1432"/>
      <c r="G10" s="1432" t="s">
        <v>888</v>
      </c>
      <c r="H10" s="1432"/>
      <c r="I10" s="1431" t="s">
        <v>31</v>
      </c>
      <c r="J10" s="1431" t="s">
        <v>9</v>
      </c>
      <c r="K10" s="456" t="s">
        <v>25</v>
      </c>
    </row>
    <row r="11" spans="1:11">
      <c r="A11" s="456"/>
      <c r="B11" s="444"/>
      <c r="C11" s="1433"/>
      <c r="D11" s="1433"/>
      <c r="E11" s="1433"/>
      <c r="F11" s="1433"/>
      <c r="G11" s="1433"/>
      <c r="H11" s="1433"/>
      <c r="I11" s="806"/>
      <c r="J11" s="806"/>
      <c r="K11" s="456"/>
    </row>
    <row r="12" spans="1:11">
      <c r="A12" s="600">
        <v>1</v>
      </c>
      <c r="B12" s="714" t="s">
        <v>949</v>
      </c>
      <c r="C12" s="1434"/>
      <c r="D12" s="1434"/>
      <c r="E12" s="1434"/>
      <c r="F12" s="1434"/>
      <c r="G12" s="1434"/>
      <c r="H12" s="1434"/>
      <c r="I12" s="804"/>
      <c r="J12" s="804"/>
      <c r="K12" s="600">
        <f>A12</f>
        <v>1</v>
      </c>
    </row>
    <row r="13" spans="1:11">
      <c r="A13" s="600">
        <f>A12+1</f>
        <v>2</v>
      </c>
      <c r="B13" s="714" t="s">
        <v>889</v>
      </c>
      <c r="C13" s="793">
        <v>605.21900000000005</v>
      </c>
      <c r="D13" s="793"/>
      <c r="E13" s="793">
        <v>0</v>
      </c>
      <c r="F13" s="793"/>
      <c r="G13" s="793">
        <v>403.48</v>
      </c>
      <c r="H13" s="1435"/>
      <c r="I13" s="650">
        <f>SUM(C13:G13)</f>
        <v>1008.6990000000001</v>
      </c>
      <c r="J13" s="689" t="str">
        <f>Automation!B6&amp;" Form 1; Page 450.1; Sch. Pg. 234; Line 2; Col. b"</f>
        <v>2018 Form 1; Page 450.1; Sch. Pg. 234; Line 2; Col. b</v>
      </c>
      <c r="K13" s="600">
        <f>K12+1</f>
        <v>2</v>
      </c>
    </row>
    <row r="14" spans="1:11">
      <c r="A14" s="600">
        <f t="shared" ref="A14:A45" si="0">A13+1</f>
        <v>3</v>
      </c>
      <c r="B14" s="714" t="s">
        <v>890</v>
      </c>
      <c r="C14" s="825">
        <v>833.17399999999998</v>
      </c>
      <c r="D14" s="825"/>
      <c r="E14" s="825">
        <v>0</v>
      </c>
      <c r="F14" s="825"/>
      <c r="G14" s="825">
        <v>555.45000000000005</v>
      </c>
      <c r="H14" s="825"/>
      <c r="I14" s="301">
        <f>SUM(C14:G14)</f>
        <v>1388.624</v>
      </c>
      <c r="J14" s="689" t="str">
        <f>Automation!B6&amp;" Form 1; Page 450.1; Sch. Pg. 234; Line 2; Col. b"</f>
        <v>2018 Form 1; Page 450.1; Sch. Pg. 234; Line 2; Col. b</v>
      </c>
      <c r="K14" s="600">
        <f t="shared" ref="K14:K45" si="1">K13+1</f>
        <v>3</v>
      </c>
    </row>
    <row r="15" spans="1:11">
      <c r="A15" s="600">
        <f t="shared" si="0"/>
        <v>4</v>
      </c>
      <c r="B15" s="714" t="s">
        <v>891</v>
      </c>
      <c r="C15" s="825">
        <v>162428</v>
      </c>
      <c r="D15" s="825"/>
      <c r="E15" s="825">
        <v>108284</v>
      </c>
      <c r="F15" s="825"/>
      <c r="G15" s="825">
        <v>0</v>
      </c>
      <c r="H15" s="825"/>
      <c r="I15" s="301">
        <f>SUM(C15:G15)</f>
        <v>270712</v>
      </c>
      <c r="J15" s="689" t="str">
        <f>Automation!B6&amp;" Form 1; Page 450.1; Sch. Pg. 234; Line 2; Col. b"</f>
        <v>2018 Form 1; Page 450.1; Sch. Pg. 234; Line 2; Col. b</v>
      </c>
      <c r="K15" s="600">
        <f t="shared" si="1"/>
        <v>4</v>
      </c>
    </row>
    <row r="16" spans="1:11" ht="16.5" thickBot="1">
      <c r="A16" s="600">
        <f t="shared" si="0"/>
        <v>5</v>
      </c>
      <c r="B16" s="1135" t="s">
        <v>719</v>
      </c>
      <c r="C16" s="1436">
        <f>SUM(C13:C15)</f>
        <v>163866.39300000001</v>
      </c>
      <c r="D16" s="301"/>
      <c r="E16" s="1436">
        <f>SUM(E13:E15)</f>
        <v>108284</v>
      </c>
      <c r="F16" s="554"/>
      <c r="G16" s="1436">
        <f>SUM(G13:G15)</f>
        <v>958.93000000000006</v>
      </c>
      <c r="H16" s="301"/>
      <c r="I16" s="1436">
        <f>SUM(I13:I15)</f>
        <v>273109.32299999997</v>
      </c>
      <c r="J16" s="1437" t="str">
        <f>"Sum Lines "&amp;A13&amp;" thru "&amp;A15</f>
        <v>Sum Lines 2 thru 4</v>
      </c>
      <c r="K16" s="600">
        <f t="shared" si="1"/>
        <v>5</v>
      </c>
    </row>
    <row r="17" spans="1:11" ht="16.5" thickTop="1">
      <c r="A17" s="600">
        <f t="shared" si="0"/>
        <v>6</v>
      </c>
      <c r="C17" s="1438"/>
      <c r="D17" s="1438"/>
      <c r="E17" s="1438"/>
      <c r="F17" s="1438"/>
      <c r="G17" s="1438"/>
      <c r="H17" s="1438"/>
      <c r="I17" s="1438"/>
      <c r="J17" s="1438"/>
      <c r="K17" s="600">
        <f t="shared" si="1"/>
        <v>6</v>
      </c>
    </row>
    <row r="18" spans="1:11">
      <c r="A18" s="600">
        <f t="shared" si="0"/>
        <v>7</v>
      </c>
      <c r="B18" s="714" t="s">
        <v>947</v>
      </c>
      <c r="C18" s="1434"/>
      <c r="D18" s="1434"/>
      <c r="E18" s="1434"/>
      <c r="F18" s="1434"/>
      <c r="G18" s="1434"/>
      <c r="H18" s="1434"/>
      <c r="I18" s="804"/>
      <c r="J18" s="804"/>
      <c r="K18" s="600">
        <f t="shared" si="1"/>
        <v>7</v>
      </c>
    </row>
    <row r="19" spans="1:11">
      <c r="A19" s="600">
        <f t="shared" si="0"/>
        <v>8</v>
      </c>
      <c r="B19" s="1439" t="s">
        <v>892</v>
      </c>
      <c r="C19" s="650">
        <v>-639177.60199999996</v>
      </c>
      <c r="D19" s="650"/>
      <c r="E19" s="650">
        <v>-384031.77299999999</v>
      </c>
      <c r="F19" s="650"/>
      <c r="G19" s="650">
        <v>-4853.0140000000001</v>
      </c>
      <c r="H19" s="650"/>
      <c r="I19" s="650">
        <f>SUM(C19:G19)</f>
        <v>-1028062.389</v>
      </c>
      <c r="J19" s="689" t="str">
        <f>Automation!B6&amp;" Form 1; Page 450.1; Sch. Pg. 274; Line 2; Col. b"</f>
        <v>2018 Form 1; Page 450.1; Sch. Pg. 274; Line 2; Col. b</v>
      </c>
      <c r="K19" s="600">
        <f t="shared" si="1"/>
        <v>8</v>
      </c>
    </row>
    <row r="20" spans="1:11">
      <c r="A20" s="600">
        <f t="shared" si="0"/>
        <v>9</v>
      </c>
      <c r="C20" s="301">
        <v>0</v>
      </c>
      <c r="D20" s="301"/>
      <c r="E20" s="301">
        <v>0</v>
      </c>
      <c r="F20" s="301"/>
      <c r="G20" s="301">
        <v>0</v>
      </c>
      <c r="H20" s="301"/>
      <c r="I20" s="301">
        <f>SUM(C20:G20)</f>
        <v>0</v>
      </c>
      <c r="J20" s="301"/>
      <c r="K20" s="600">
        <f t="shared" si="1"/>
        <v>9</v>
      </c>
    </row>
    <row r="21" spans="1:11" ht="16.5" thickBot="1">
      <c r="A21" s="600">
        <f t="shared" si="0"/>
        <v>10</v>
      </c>
      <c r="B21" s="1135" t="s">
        <v>720</v>
      </c>
      <c r="C21" s="1436">
        <f>SUM(C19:C20)</f>
        <v>-639177.60199999996</v>
      </c>
      <c r="D21" s="301"/>
      <c r="E21" s="1436">
        <f>SUM(E19:E20)</f>
        <v>-384031.77299999999</v>
      </c>
      <c r="F21" s="554"/>
      <c r="G21" s="1436">
        <f>SUM(G19:G20)</f>
        <v>-4853.0140000000001</v>
      </c>
      <c r="H21" s="301"/>
      <c r="I21" s="1436">
        <f>SUM(I19:I20)</f>
        <v>-1028062.389</v>
      </c>
      <c r="J21" s="1437" t="str">
        <f>"Sum Lines "&amp;A19&amp;" thru "&amp;A20</f>
        <v>Sum Lines 8 thru 9</v>
      </c>
      <c r="K21" s="600">
        <f t="shared" si="1"/>
        <v>10</v>
      </c>
    </row>
    <row r="22" spans="1:11" ht="16.5" thickTop="1">
      <c r="A22" s="600">
        <f t="shared" si="0"/>
        <v>11</v>
      </c>
      <c r="K22" s="600">
        <f t="shared" si="1"/>
        <v>11</v>
      </c>
    </row>
    <row r="23" spans="1:11">
      <c r="A23" s="600">
        <f t="shared" si="0"/>
        <v>12</v>
      </c>
      <c r="B23" s="714" t="s">
        <v>946</v>
      </c>
      <c r="C23" s="1434"/>
      <c r="D23" s="1434"/>
      <c r="E23" s="1434"/>
      <c r="F23" s="1434"/>
      <c r="G23" s="1434"/>
      <c r="H23" s="1434"/>
      <c r="I23" s="804"/>
      <c r="J23" s="600"/>
      <c r="K23" s="600">
        <f t="shared" si="1"/>
        <v>12</v>
      </c>
    </row>
    <row r="24" spans="1:11">
      <c r="A24" s="600">
        <f t="shared" si="0"/>
        <v>13</v>
      </c>
      <c r="B24" s="714" t="s">
        <v>894</v>
      </c>
      <c r="C24" s="793">
        <v>-3839.0659999999998</v>
      </c>
      <c r="D24" s="793"/>
      <c r="E24" s="793">
        <v>0</v>
      </c>
      <c r="F24" s="793"/>
      <c r="G24" s="793">
        <v>-2559.377</v>
      </c>
      <c r="H24" s="1435"/>
      <c r="I24" s="650">
        <f>SUM(C24:G24)</f>
        <v>-6398.4429999999993</v>
      </c>
      <c r="J24" s="689" t="str">
        <f>Automation!B6&amp;" Form 1; Page 450.1; Sch. Pg. 276; Line 9; Col. b"</f>
        <v>2018 Form 1; Page 450.1; Sch. Pg. 276; Line 9; Col. b</v>
      </c>
      <c r="K24" s="600">
        <f t="shared" si="1"/>
        <v>13</v>
      </c>
    </row>
    <row r="25" spans="1:11">
      <c r="A25" s="600">
        <f t="shared" si="0"/>
        <v>14</v>
      </c>
      <c r="B25" s="714"/>
      <c r="C25" s="301">
        <v>0</v>
      </c>
      <c r="D25" s="301"/>
      <c r="E25" s="301">
        <v>0</v>
      </c>
      <c r="F25" s="301"/>
      <c r="G25" s="301">
        <v>0</v>
      </c>
      <c r="H25" s="301"/>
      <c r="I25" s="301">
        <f>SUM(C25:G25)</f>
        <v>0</v>
      </c>
      <c r="J25" s="301"/>
      <c r="K25" s="600">
        <f t="shared" si="1"/>
        <v>14</v>
      </c>
    </row>
    <row r="26" spans="1:11" ht="16.5" thickBot="1">
      <c r="A26" s="600">
        <f t="shared" si="0"/>
        <v>15</v>
      </c>
      <c r="B26" s="1135" t="s">
        <v>895</v>
      </c>
      <c r="C26" s="1436">
        <f>SUM(C24:C25)</f>
        <v>-3839.0659999999998</v>
      </c>
      <c r="D26" s="301"/>
      <c r="E26" s="1436">
        <f>SUM(E24:E25)</f>
        <v>0</v>
      </c>
      <c r="F26" s="554"/>
      <c r="G26" s="1436">
        <f>SUM(G24:G25)</f>
        <v>-2559.377</v>
      </c>
      <c r="H26" s="301"/>
      <c r="I26" s="1436">
        <f>SUM(I24:I25)</f>
        <v>-6398.4429999999993</v>
      </c>
      <c r="J26" s="1437" t="str">
        <f>"Sum Lines "&amp;A24&amp;" thru "&amp;A25</f>
        <v>Sum Lines 13 thru 14</v>
      </c>
      <c r="K26" s="600">
        <f t="shared" si="1"/>
        <v>15</v>
      </c>
    </row>
    <row r="27" spans="1:11" ht="17.25" thickTop="1" thickBot="1">
      <c r="A27" s="600">
        <f t="shared" si="0"/>
        <v>16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600">
        <f t="shared" si="1"/>
        <v>16</v>
      </c>
    </row>
    <row r="28" spans="1:11">
      <c r="A28" s="600">
        <f t="shared" si="0"/>
        <v>17</v>
      </c>
      <c r="K28" s="600">
        <f t="shared" si="1"/>
        <v>17</v>
      </c>
    </row>
    <row r="29" spans="1:11">
      <c r="A29" s="600">
        <f t="shared" si="0"/>
        <v>18</v>
      </c>
      <c r="B29" s="714" t="s">
        <v>948</v>
      </c>
      <c r="C29" s="1434"/>
      <c r="D29" s="1434"/>
      <c r="E29" s="1434"/>
      <c r="F29" s="1434"/>
      <c r="G29" s="1434"/>
      <c r="H29" s="1434"/>
      <c r="I29" s="804"/>
      <c r="J29" s="804"/>
      <c r="K29" s="600">
        <f t="shared" si="1"/>
        <v>18</v>
      </c>
    </row>
    <row r="30" spans="1:11">
      <c r="A30" s="600">
        <f t="shared" si="0"/>
        <v>19</v>
      </c>
      <c r="B30" s="714" t="s">
        <v>891</v>
      </c>
      <c r="C30" s="793">
        <v>0</v>
      </c>
      <c r="D30" s="793"/>
      <c r="E30" s="793">
        <v>0</v>
      </c>
      <c r="F30" s="793"/>
      <c r="G30" s="793">
        <v>0</v>
      </c>
      <c r="H30" s="793"/>
      <c r="I30" s="650">
        <f>SUM(C30:G30)</f>
        <v>0</v>
      </c>
      <c r="J30" s="102" t="str">
        <f>"Not Applicable to "&amp;Automation!$B$6&amp;" Base Period"</f>
        <v>Not Applicable to 2018 Base Period</v>
      </c>
      <c r="K30" s="600">
        <f t="shared" si="1"/>
        <v>19</v>
      </c>
    </row>
    <row r="31" spans="1:11">
      <c r="A31" s="600">
        <f t="shared" si="0"/>
        <v>20</v>
      </c>
      <c r="C31" s="301">
        <v>0</v>
      </c>
      <c r="D31" s="301"/>
      <c r="E31" s="301">
        <v>0</v>
      </c>
      <c r="F31" s="301"/>
      <c r="G31" s="301">
        <v>0</v>
      </c>
      <c r="H31" s="301"/>
      <c r="I31" s="301">
        <f>SUM(C31:G31)</f>
        <v>0</v>
      </c>
      <c r="J31" s="301"/>
      <c r="K31" s="600">
        <f t="shared" si="1"/>
        <v>20</v>
      </c>
    </row>
    <row r="32" spans="1:11" ht="16.5" thickBot="1">
      <c r="A32" s="600">
        <f t="shared" si="0"/>
        <v>21</v>
      </c>
      <c r="B32" s="1135" t="s">
        <v>719</v>
      </c>
      <c r="C32" s="1436">
        <f>SUM(C30:C31)</f>
        <v>0</v>
      </c>
      <c r="D32" s="301"/>
      <c r="E32" s="1436">
        <f>SUM(E30:E31)</f>
        <v>0</v>
      </c>
      <c r="F32" s="554"/>
      <c r="G32" s="1436">
        <f>SUM(G30:G31)</f>
        <v>0</v>
      </c>
      <c r="H32" s="301"/>
      <c r="I32" s="1436">
        <f>SUM(I30:I31)</f>
        <v>0</v>
      </c>
      <c r="J32" s="1437" t="str">
        <f>"Sum Lines "&amp;A30&amp;" thru "&amp;A31</f>
        <v>Sum Lines 19 thru 20</v>
      </c>
      <c r="K32" s="600">
        <f t="shared" si="1"/>
        <v>21</v>
      </c>
    </row>
    <row r="33" spans="1:11" ht="16.5" thickTop="1">
      <c r="A33" s="600">
        <f t="shared" si="0"/>
        <v>22</v>
      </c>
      <c r="C33" s="1438"/>
      <c r="D33" s="1438"/>
      <c r="E33" s="1438"/>
      <c r="F33" s="1438"/>
      <c r="G33" s="1438"/>
      <c r="H33" s="1438"/>
      <c r="I33" s="1438"/>
      <c r="J33" s="1438"/>
      <c r="K33" s="600">
        <f t="shared" si="1"/>
        <v>22</v>
      </c>
    </row>
    <row r="34" spans="1:11">
      <c r="A34" s="600">
        <f t="shared" si="0"/>
        <v>23</v>
      </c>
      <c r="B34" s="714" t="s">
        <v>951</v>
      </c>
      <c r="C34" s="1434"/>
      <c r="D34" s="1434"/>
      <c r="E34" s="1434"/>
      <c r="F34" s="1434"/>
      <c r="G34" s="1434"/>
      <c r="H34" s="1434"/>
      <c r="I34" s="804"/>
      <c r="J34" s="804"/>
      <c r="K34" s="600">
        <f t="shared" si="1"/>
        <v>23</v>
      </c>
    </row>
    <row r="35" spans="1:11">
      <c r="A35" s="600">
        <f t="shared" si="0"/>
        <v>24</v>
      </c>
      <c r="B35" s="1439" t="s">
        <v>892</v>
      </c>
      <c r="C35" s="793">
        <v>0</v>
      </c>
      <c r="D35" s="793"/>
      <c r="E35" s="793">
        <v>0</v>
      </c>
      <c r="F35" s="793"/>
      <c r="G35" s="793">
        <v>0</v>
      </c>
      <c r="H35" s="650"/>
      <c r="I35" s="650">
        <f>SUM(C35:G35)</f>
        <v>0</v>
      </c>
      <c r="J35" s="102" t="str">
        <f>"Not Applicable to "&amp;Automation!$B$6&amp;" Base Period"</f>
        <v>Not Applicable to 2018 Base Period</v>
      </c>
      <c r="K35" s="600">
        <f t="shared" si="1"/>
        <v>24</v>
      </c>
    </row>
    <row r="36" spans="1:11">
      <c r="A36" s="600">
        <f t="shared" si="0"/>
        <v>25</v>
      </c>
      <c r="C36" s="301">
        <v>0</v>
      </c>
      <c r="D36" s="301"/>
      <c r="E36" s="301">
        <v>0</v>
      </c>
      <c r="F36" s="301"/>
      <c r="G36" s="301">
        <v>0</v>
      </c>
      <c r="H36" s="301"/>
      <c r="I36" s="301">
        <f>SUM(C36:G36)</f>
        <v>0</v>
      </c>
      <c r="J36" s="301"/>
      <c r="K36" s="600">
        <f t="shared" si="1"/>
        <v>25</v>
      </c>
    </row>
    <row r="37" spans="1:11" ht="16.5" thickBot="1">
      <c r="A37" s="600">
        <f t="shared" si="0"/>
        <v>26</v>
      </c>
      <c r="B37" s="1135" t="s">
        <v>720</v>
      </c>
      <c r="C37" s="1436">
        <f>SUM(C35:C36)</f>
        <v>0</v>
      </c>
      <c r="D37" s="301"/>
      <c r="E37" s="1436">
        <f>SUM(E35:E36)</f>
        <v>0</v>
      </c>
      <c r="F37" s="554"/>
      <c r="G37" s="1436">
        <f>SUM(G35:G36)</f>
        <v>0</v>
      </c>
      <c r="H37" s="301"/>
      <c r="I37" s="1436">
        <f>SUM(I35:I36)</f>
        <v>0</v>
      </c>
      <c r="J37" s="1437" t="str">
        <f>"Sum Lines "&amp;A35&amp;" thru "&amp;A36</f>
        <v>Sum Lines 24 thru 25</v>
      </c>
      <c r="K37" s="600">
        <f t="shared" si="1"/>
        <v>26</v>
      </c>
    </row>
    <row r="38" spans="1:11" ht="16.5" thickTop="1">
      <c r="A38" s="600">
        <f t="shared" si="0"/>
        <v>27</v>
      </c>
      <c r="K38" s="600">
        <f t="shared" si="1"/>
        <v>27</v>
      </c>
    </row>
    <row r="39" spans="1:11">
      <c r="A39" s="600">
        <f t="shared" si="0"/>
        <v>28</v>
      </c>
      <c r="B39" s="714" t="s">
        <v>950</v>
      </c>
      <c r="C39" s="1434"/>
      <c r="D39" s="1434"/>
      <c r="E39" s="1434"/>
      <c r="F39" s="1434"/>
      <c r="G39" s="1434"/>
      <c r="H39" s="1434"/>
      <c r="I39" s="804"/>
      <c r="J39" s="600"/>
      <c r="K39" s="600">
        <f t="shared" si="1"/>
        <v>28</v>
      </c>
    </row>
    <row r="40" spans="1:11">
      <c r="A40" s="600">
        <f t="shared" si="0"/>
        <v>29</v>
      </c>
      <c r="B40" s="714"/>
      <c r="C40" s="650">
        <v>0</v>
      </c>
      <c r="D40" s="650"/>
      <c r="E40" s="650">
        <v>0</v>
      </c>
      <c r="F40" s="650"/>
      <c r="G40" s="650">
        <v>0</v>
      </c>
      <c r="H40" s="650"/>
      <c r="I40" s="650">
        <f>SUM(C40:G40)</f>
        <v>0</v>
      </c>
      <c r="J40" s="102" t="str">
        <f>"Not Applicable to "&amp;Automation!$B$6&amp;" Base Period"</f>
        <v>Not Applicable to 2018 Base Period</v>
      </c>
      <c r="K40" s="600">
        <f t="shared" si="1"/>
        <v>29</v>
      </c>
    </row>
    <row r="41" spans="1:11">
      <c r="A41" s="600">
        <f t="shared" si="0"/>
        <v>30</v>
      </c>
      <c r="B41" s="714"/>
      <c r="C41" s="301">
        <v>0</v>
      </c>
      <c r="D41" s="301"/>
      <c r="E41" s="301">
        <v>0</v>
      </c>
      <c r="F41" s="301"/>
      <c r="G41" s="301">
        <v>0</v>
      </c>
      <c r="H41" s="301"/>
      <c r="I41" s="301">
        <f>SUM(C41:G41)</f>
        <v>0</v>
      </c>
      <c r="J41" s="301"/>
      <c r="K41" s="600">
        <f t="shared" si="1"/>
        <v>30</v>
      </c>
    </row>
    <row r="42" spans="1:11" ht="16.5" thickBot="1">
      <c r="A42" s="600">
        <f t="shared" si="0"/>
        <v>31</v>
      </c>
      <c r="B42" s="1135" t="s">
        <v>895</v>
      </c>
      <c r="C42" s="1436">
        <f>SUM(C40:C41)</f>
        <v>0</v>
      </c>
      <c r="D42" s="301"/>
      <c r="E42" s="1436">
        <f>SUM(E40:E41)</f>
        <v>0</v>
      </c>
      <c r="F42" s="554"/>
      <c r="G42" s="1436">
        <f>SUM(G40:G41)</f>
        <v>0</v>
      </c>
      <c r="H42" s="301"/>
      <c r="I42" s="1436">
        <f>SUM(I40:I41)</f>
        <v>0</v>
      </c>
      <c r="J42" s="1437" t="str">
        <f>"Sum Lines "&amp;A40&amp;" thru "&amp;A41</f>
        <v>Sum Lines 29 thru 30</v>
      </c>
      <c r="K42" s="600">
        <f t="shared" si="1"/>
        <v>31</v>
      </c>
    </row>
    <row r="43" spans="1:11" ht="17.25" thickTop="1" thickBot="1">
      <c r="A43" s="600">
        <f t="shared" si="0"/>
        <v>32</v>
      </c>
      <c r="B43" s="1513"/>
      <c r="C43" s="1514"/>
      <c r="D43" s="494"/>
      <c r="E43" s="1514"/>
      <c r="F43" s="1514"/>
      <c r="G43" s="1514"/>
      <c r="H43" s="494"/>
      <c r="I43" s="1514"/>
      <c r="J43" s="1515"/>
      <c r="K43" s="600">
        <f t="shared" si="1"/>
        <v>32</v>
      </c>
    </row>
    <row r="44" spans="1:11">
      <c r="A44" s="600">
        <f t="shared" si="0"/>
        <v>33</v>
      </c>
      <c r="B44" s="1135"/>
      <c r="C44" s="554"/>
      <c r="D44" s="301"/>
      <c r="E44" s="554"/>
      <c r="F44" s="554"/>
      <c r="G44" s="554"/>
      <c r="H44" s="301"/>
      <c r="I44" s="554"/>
      <c r="J44" s="1437"/>
      <c r="K44" s="600">
        <f t="shared" si="1"/>
        <v>33</v>
      </c>
    </row>
    <row r="45" spans="1:11">
      <c r="A45" s="600">
        <f t="shared" si="0"/>
        <v>34</v>
      </c>
      <c r="B45" s="100" t="s">
        <v>117</v>
      </c>
      <c r="C45" s="15">
        <v>0</v>
      </c>
      <c r="D45" s="301"/>
      <c r="E45" s="15">
        <v>0</v>
      </c>
      <c r="F45" s="554"/>
      <c r="G45" s="15">
        <v>0</v>
      </c>
      <c r="H45" s="301"/>
      <c r="I45" s="650">
        <f>SUM(C45:G45)</f>
        <v>0</v>
      </c>
      <c r="J45" s="102" t="str">
        <f>"Not Applicable to "&amp;Automation!$B$6&amp;" Base Period"</f>
        <v>Not Applicable to 2018 Base Period</v>
      </c>
      <c r="K45" s="600">
        <f t="shared" si="1"/>
        <v>34</v>
      </c>
    </row>
    <row r="46" spans="1:11">
      <c r="B46" s="1135"/>
      <c r="C46" s="554"/>
      <c r="D46" s="301"/>
      <c r="E46" s="554"/>
      <c r="F46" s="554"/>
      <c r="G46" s="554"/>
      <c r="H46" s="301"/>
      <c r="I46" s="554"/>
      <c r="J46" s="1437"/>
    </row>
    <row r="48" spans="1:11" ht="18.75">
      <c r="A48" s="990"/>
      <c r="B48" s="101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K48"/>
  <sheetViews>
    <sheetView zoomScale="80" zoomScaleNormal="80" zoomScaleSheetLayoutView="70" workbookViewId="0"/>
  </sheetViews>
  <sheetFormatPr defaultColWidth="8.7109375" defaultRowHeight="15.75"/>
  <cols>
    <col min="1" max="1" width="5.7109375" style="600" customWidth="1"/>
    <col min="2" max="2" width="62.85546875" style="1482" bestFit="1" customWidth="1"/>
    <col min="3" max="3" width="16.85546875" style="1482" customWidth="1"/>
    <col min="4" max="4" width="1.5703125" style="1482" customWidth="1"/>
    <col min="5" max="5" width="16.85546875" style="1482" customWidth="1"/>
    <col min="6" max="6" width="1.5703125" style="1482" customWidth="1"/>
    <col min="7" max="7" width="16.85546875" style="1482" customWidth="1"/>
    <col min="8" max="8" width="1.5703125" style="1482" customWidth="1"/>
    <col min="9" max="9" width="23.42578125" style="1482" bestFit="1" customWidth="1"/>
    <col min="10" max="10" width="62.5703125" style="1482" customWidth="1"/>
    <col min="11" max="11" width="5.28515625" style="600" customWidth="1"/>
    <col min="12" max="16384" width="8.7109375" style="1482"/>
  </cols>
  <sheetData>
    <row r="2" spans="1:11">
      <c r="B2" s="1628" t="s">
        <v>18</v>
      </c>
      <c r="C2" s="1628"/>
      <c r="D2" s="1628"/>
      <c r="E2" s="1628"/>
      <c r="F2" s="1628"/>
      <c r="G2" s="1628"/>
      <c r="H2" s="1628"/>
      <c r="I2" s="1628"/>
      <c r="J2" s="1628"/>
    </row>
    <row r="3" spans="1:11">
      <c r="B3" s="1628" t="s">
        <v>941</v>
      </c>
      <c r="C3" s="1628"/>
      <c r="D3" s="1628"/>
      <c r="E3" s="1628"/>
      <c r="F3" s="1628"/>
      <c r="G3" s="1628"/>
      <c r="H3" s="1628"/>
      <c r="I3" s="1628"/>
      <c r="J3" s="1628"/>
    </row>
    <row r="4" spans="1:11">
      <c r="B4" s="1628" t="s">
        <v>942</v>
      </c>
      <c r="C4" s="1628"/>
      <c r="D4" s="1628"/>
      <c r="E4" s="1628"/>
      <c r="F4" s="1628"/>
      <c r="G4" s="1628"/>
      <c r="H4" s="1628"/>
      <c r="I4" s="1628"/>
      <c r="J4" s="1628"/>
    </row>
    <row r="5" spans="1:11">
      <c r="B5" s="1628" t="str">
        <f>"Base Period 12 Months Ending December 31, "&amp;Automation!$B$6</f>
        <v>Base Period 12 Months Ending December 31, 2018</v>
      </c>
      <c r="C5" s="1628"/>
      <c r="D5" s="1628"/>
      <c r="E5" s="1628"/>
      <c r="F5" s="1628"/>
      <c r="G5" s="1628"/>
      <c r="H5" s="1628"/>
      <c r="I5" s="1628"/>
      <c r="J5" s="1628"/>
    </row>
    <row r="6" spans="1:11" ht="15.6" customHeight="1">
      <c r="B6" s="1645" t="s">
        <v>3</v>
      </c>
      <c r="C6" s="1645"/>
      <c r="D6" s="1645"/>
      <c r="E6" s="1645"/>
      <c r="F6" s="1645"/>
      <c r="G6" s="1645"/>
      <c r="H6" s="1645"/>
      <c r="I6" s="1645"/>
      <c r="J6" s="1645"/>
    </row>
    <row r="8" spans="1:11">
      <c r="B8" s="1477"/>
      <c r="C8" s="1476" t="s">
        <v>5</v>
      </c>
      <c r="D8" s="1476"/>
      <c r="E8" s="1476" t="s">
        <v>6</v>
      </c>
      <c r="F8" s="1476"/>
      <c r="G8" s="1476" t="s">
        <v>232</v>
      </c>
      <c r="H8" s="1476"/>
      <c r="I8" s="1429" t="s">
        <v>943</v>
      </c>
      <c r="J8" s="1476"/>
    </row>
    <row r="9" spans="1:11">
      <c r="A9" s="600" t="s">
        <v>4</v>
      </c>
      <c r="B9" s="1477"/>
      <c r="C9" s="1476" t="s">
        <v>944</v>
      </c>
      <c r="D9" s="1476"/>
      <c r="E9" s="1476" t="s">
        <v>886</v>
      </c>
      <c r="F9" s="1476"/>
      <c r="G9" s="1476" t="s">
        <v>886</v>
      </c>
      <c r="H9" s="1476"/>
      <c r="I9" s="1476"/>
      <c r="J9" s="1476"/>
      <c r="K9" s="600" t="s">
        <v>4</v>
      </c>
    </row>
    <row r="10" spans="1:11">
      <c r="A10" s="456" t="s">
        <v>25</v>
      </c>
      <c r="B10" s="1431" t="s">
        <v>72</v>
      </c>
      <c r="C10" s="1432" t="s">
        <v>945</v>
      </c>
      <c r="D10" s="1432"/>
      <c r="E10" s="1432" t="s">
        <v>887</v>
      </c>
      <c r="F10" s="1432"/>
      <c r="G10" s="1432" t="s">
        <v>888</v>
      </c>
      <c r="H10" s="1432"/>
      <c r="I10" s="1431" t="s">
        <v>31</v>
      </c>
      <c r="J10" s="1431" t="s">
        <v>9</v>
      </c>
      <c r="K10" s="456" t="s">
        <v>25</v>
      </c>
    </row>
    <row r="11" spans="1:11">
      <c r="A11" s="456"/>
      <c r="B11" s="444"/>
      <c r="C11" s="1433"/>
      <c r="D11" s="1433"/>
      <c r="E11" s="1433"/>
      <c r="F11" s="1433"/>
      <c r="G11" s="1433"/>
      <c r="H11" s="1433"/>
      <c r="I11" s="806"/>
      <c r="J11" s="806"/>
      <c r="K11" s="456"/>
    </row>
    <row r="12" spans="1:11">
      <c r="A12" s="600">
        <v>1</v>
      </c>
      <c r="B12" s="714" t="s">
        <v>949</v>
      </c>
      <c r="C12" s="1434"/>
      <c r="D12" s="1434"/>
      <c r="E12" s="1434"/>
      <c r="F12" s="1434"/>
      <c r="G12" s="1434"/>
      <c r="H12" s="1434"/>
      <c r="I12" s="804"/>
      <c r="J12" s="804"/>
      <c r="K12" s="600">
        <f>A12</f>
        <v>1</v>
      </c>
    </row>
    <row r="13" spans="1:11">
      <c r="A13" s="600">
        <f>A12+1</f>
        <v>2</v>
      </c>
      <c r="B13" s="714" t="s">
        <v>889</v>
      </c>
      <c r="C13" s="793">
        <v>631.91250971232</v>
      </c>
      <c r="D13" s="793"/>
      <c r="E13" s="793">
        <v>0</v>
      </c>
      <c r="F13" s="793"/>
      <c r="G13" s="793">
        <v>214.49058265600002</v>
      </c>
      <c r="H13" s="1435"/>
      <c r="I13" s="650">
        <f>SUM(C13:G13)</f>
        <v>846.40309236832002</v>
      </c>
      <c r="J13" s="689" t="str">
        <f>Automation!B6&amp;" Form 1; Page 450.1; Sch. Pg. 234; Line 2; Col. b"</f>
        <v>2018 Form 1; Page 450.1; Sch. Pg. 234; Line 2; Col. b</v>
      </c>
      <c r="K13" s="600">
        <f>K12+1</f>
        <v>2</v>
      </c>
    </row>
    <row r="14" spans="1:11">
      <c r="A14" s="600">
        <f t="shared" ref="A14:A45" si="0">A13+1</f>
        <v>3</v>
      </c>
      <c r="B14" s="714" t="s">
        <v>890</v>
      </c>
      <c r="C14" s="825">
        <v>739.94715719423994</v>
      </c>
      <c r="D14" s="825"/>
      <c r="E14" s="825">
        <v>0</v>
      </c>
      <c r="F14" s="825"/>
      <c r="G14" s="825">
        <v>555.45000000000005</v>
      </c>
      <c r="H14" s="825"/>
      <c r="I14" s="301">
        <f>SUM(C14:G14)</f>
        <v>1295.39715719424</v>
      </c>
      <c r="J14" s="689" t="str">
        <f>Automation!B6&amp;" Form 1; Page 450.1; Sch. Pg. 234; Line 2; Col. b"</f>
        <v>2018 Form 1; Page 450.1; Sch. Pg. 234; Line 2; Col. b</v>
      </c>
      <c r="K14" s="600">
        <f t="shared" ref="K14:K45" si="1">K13+1</f>
        <v>3</v>
      </c>
    </row>
    <row r="15" spans="1:11">
      <c r="A15" s="600">
        <f t="shared" si="0"/>
        <v>4</v>
      </c>
      <c r="B15" s="714" t="s">
        <v>891</v>
      </c>
      <c r="C15" s="825">
        <v>123893.72626449184</v>
      </c>
      <c r="D15" s="825"/>
      <c r="E15" s="825">
        <v>109467.20356100488</v>
      </c>
      <c r="F15" s="825"/>
      <c r="G15" s="825">
        <v>0</v>
      </c>
      <c r="H15" s="825"/>
      <c r="I15" s="301">
        <f>SUM(C15:G15)</f>
        <v>233360.92982549671</v>
      </c>
      <c r="J15" s="689" t="str">
        <f>Automation!B6&amp;" Form 1; Page 450.1; Sch. Pg. 234; Line 2; Col. b"</f>
        <v>2018 Form 1; Page 450.1; Sch. Pg. 234; Line 2; Col. b</v>
      </c>
      <c r="K15" s="600">
        <f t="shared" si="1"/>
        <v>4</v>
      </c>
    </row>
    <row r="16" spans="1:11" ht="16.5" thickBot="1">
      <c r="A16" s="600">
        <f t="shared" si="0"/>
        <v>5</v>
      </c>
      <c r="B16" s="1135" t="s">
        <v>719</v>
      </c>
      <c r="C16" s="1436">
        <f>SUM(C13:C15)</f>
        <v>125265.5859313984</v>
      </c>
      <c r="D16" s="301"/>
      <c r="E16" s="1436">
        <f>SUM(E13:E15)</f>
        <v>109467.20356100488</v>
      </c>
      <c r="F16" s="554"/>
      <c r="G16" s="1436">
        <f>SUM(G13:G15)</f>
        <v>769.94058265600006</v>
      </c>
      <c r="H16" s="301"/>
      <c r="I16" s="1436">
        <f>SUM(I13:I15)</f>
        <v>235502.73007505928</v>
      </c>
      <c r="J16" s="1437" t="str">
        <f>"Sum Lines "&amp;A13&amp;" thru "&amp;A15</f>
        <v>Sum Lines 2 thru 4</v>
      </c>
      <c r="K16" s="600">
        <f t="shared" si="1"/>
        <v>5</v>
      </c>
    </row>
    <row r="17" spans="1:11" ht="16.5" thickTop="1">
      <c r="A17" s="600">
        <f t="shared" si="0"/>
        <v>6</v>
      </c>
      <c r="C17" s="1438"/>
      <c r="D17" s="1438"/>
      <c r="E17" s="1438"/>
      <c r="F17" s="1438"/>
      <c r="G17" s="1438"/>
      <c r="H17" s="1438"/>
      <c r="I17" s="1438"/>
      <c r="J17" s="1438"/>
      <c r="K17" s="600">
        <f t="shared" si="1"/>
        <v>6</v>
      </c>
    </row>
    <row r="18" spans="1:11">
      <c r="A18" s="600">
        <f t="shared" si="0"/>
        <v>7</v>
      </c>
      <c r="B18" s="714" t="s">
        <v>947</v>
      </c>
      <c r="C18" s="1434"/>
      <c r="D18" s="1434"/>
      <c r="E18" s="1434"/>
      <c r="F18" s="1434"/>
      <c r="G18" s="1434"/>
      <c r="H18" s="1434"/>
      <c r="I18" s="804"/>
      <c r="J18" s="804"/>
      <c r="K18" s="600">
        <f t="shared" si="1"/>
        <v>7</v>
      </c>
    </row>
    <row r="19" spans="1:11">
      <c r="A19" s="600">
        <f t="shared" si="0"/>
        <v>8</v>
      </c>
      <c r="B19" s="1439" t="s">
        <v>892</v>
      </c>
      <c r="C19" s="650">
        <v>-661424.76326366549</v>
      </c>
      <c r="D19" s="650"/>
      <c r="E19" s="650">
        <v>-381850.69198784098</v>
      </c>
      <c r="F19" s="650"/>
      <c r="G19" s="650">
        <v>-3646.919294396951</v>
      </c>
      <c r="H19" s="650"/>
      <c r="I19" s="650">
        <f>SUM(C19:G19)</f>
        <v>-1046922.3745459035</v>
      </c>
      <c r="J19" s="689" t="str">
        <f>Automation!B6&amp;" Form 1; Page 450.1; Sch. Pg. 274; Line 2; Col. b"</f>
        <v>2018 Form 1; Page 450.1; Sch. Pg. 274; Line 2; Col. b</v>
      </c>
      <c r="K19" s="600">
        <f t="shared" si="1"/>
        <v>8</v>
      </c>
    </row>
    <row r="20" spans="1:11">
      <c r="A20" s="600">
        <f t="shared" si="0"/>
        <v>9</v>
      </c>
      <c r="C20" s="301">
        <v>0</v>
      </c>
      <c r="D20" s="301"/>
      <c r="E20" s="301">
        <v>0</v>
      </c>
      <c r="F20" s="301"/>
      <c r="G20" s="301">
        <v>0</v>
      </c>
      <c r="H20" s="301"/>
      <c r="I20" s="301">
        <f>SUM(C20:G20)</f>
        <v>0</v>
      </c>
      <c r="J20" s="301"/>
      <c r="K20" s="600">
        <f t="shared" si="1"/>
        <v>9</v>
      </c>
    </row>
    <row r="21" spans="1:11" ht="16.5" thickBot="1">
      <c r="A21" s="600">
        <f t="shared" si="0"/>
        <v>10</v>
      </c>
      <c r="B21" s="1135" t="s">
        <v>720</v>
      </c>
      <c r="C21" s="1436">
        <f>SUM(C19:C20)</f>
        <v>-661424.76326366549</v>
      </c>
      <c r="D21" s="301"/>
      <c r="E21" s="1436">
        <f>SUM(E19:E20)</f>
        <v>-381850.69198784098</v>
      </c>
      <c r="F21" s="554"/>
      <c r="G21" s="1436">
        <f>SUM(G19:G20)</f>
        <v>-3646.919294396951</v>
      </c>
      <c r="H21" s="301"/>
      <c r="I21" s="1436">
        <f>SUM(I19:I20)</f>
        <v>-1046922.3745459035</v>
      </c>
      <c r="J21" s="1437" t="str">
        <f>"Sum Lines "&amp;A19&amp;" thru "&amp;A20</f>
        <v>Sum Lines 8 thru 9</v>
      </c>
      <c r="K21" s="600">
        <f t="shared" si="1"/>
        <v>10</v>
      </c>
    </row>
    <row r="22" spans="1:11" ht="16.5" thickTop="1">
      <c r="A22" s="600">
        <f t="shared" si="0"/>
        <v>11</v>
      </c>
      <c r="K22" s="600">
        <f t="shared" si="1"/>
        <v>11</v>
      </c>
    </row>
    <row r="23" spans="1:11">
      <c r="A23" s="600">
        <f t="shared" si="0"/>
        <v>12</v>
      </c>
      <c r="B23" s="714" t="s">
        <v>946</v>
      </c>
      <c r="C23" s="1434"/>
      <c r="D23" s="1434"/>
      <c r="E23" s="1434"/>
      <c r="F23" s="1434"/>
      <c r="G23" s="1434"/>
      <c r="H23" s="1434"/>
      <c r="I23" s="804"/>
      <c r="J23" s="600"/>
      <c r="K23" s="600">
        <f t="shared" si="1"/>
        <v>12</v>
      </c>
    </row>
    <row r="24" spans="1:11">
      <c r="A24" s="600">
        <f t="shared" si="0"/>
        <v>13</v>
      </c>
      <c r="B24" s="714" t="s">
        <v>894</v>
      </c>
      <c r="C24" s="793">
        <v>-5328</v>
      </c>
      <c r="D24" s="793"/>
      <c r="E24" s="793">
        <v>0</v>
      </c>
      <c r="F24" s="793"/>
      <c r="G24" s="793">
        <v>0</v>
      </c>
      <c r="H24" s="1435"/>
      <c r="I24" s="650">
        <f>SUM(C24:G24)</f>
        <v>-5328</v>
      </c>
      <c r="J24" s="689" t="str">
        <f>Automation!B6&amp;" Form 1; Page 450.1; Sch. Pg. 276; Line 9; Col. b"</f>
        <v>2018 Form 1; Page 450.1; Sch. Pg. 276; Line 9; Col. b</v>
      </c>
      <c r="K24" s="600">
        <f t="shared" si="1"/>
        <v>13</v>
      </c>
    </row>
    <row r="25" spans="1:11">
      <c r="A25" s="600">
        <f t="shared" si="0"/>
        <v>14</v>
      </c>
      <c r="B25" s="714"/>
      <c r="C25" s="301">
        <v>0</v>
      </c>
      <c r="D25" s="301"/>
      <c r="E25" s="301">
        <v>0</v>
      </c>
      <c r="F25" s="301"/>
      <c r="G25" s="301">
        <v>0</v>
      </c>
      <c r="H25" s="301"/>
      <c r="I25" s="301">
        <f>SUM(C25:G25)</f>
        <v>0</v>
      </c>
      <c r="J25" s="301"/>
      <c r="K25" s="600">
        <f t="shared" si="1"/>
        <v>14</v>
      </c>
    </row>
    <row r="26" spans="1:11" ht="16.5" thickBot="1">
      <c r="A26" s="600">
        <f t="shared" si="0"/>
        <v>15</v>
      </c>
      <c r="B26" s="1135" t="s">
        <v>895</v>
      </c>
      <c r="C26" s="1436">
        <f>SUM(C24:C25)</f>
        <v>-5328</v>
      </c>
      <c r="D26" s="301"/>
      <c r="E26" s="1436">
        <f>SUM(E24:E25)</f>
        <v>0</v>
      </c>
      <c r="F26" s="554"/>
      <c r="G26" s="1436">
        <f>SUM(G24:G25)</f>
        <v>0</v>
      </c>
      <c r="H26" s="301"/>
      <c r="I26" s="1436">
        <f>SUM(I24:I25)</f>
        <v>-5328</v>
      </c>
      <c r="J26" s="1437" t="str">
        <f>"Sum Lines "&amp;A24&amp;" thru "&amp;A25</f>
        <v>Sum Lines 13 thru 14</v>
      </c>
      <c r="K26" s="600">
        <f t="shared" si="1"/>
        <v>15</v>
      </c>
    </row>
    <row r="27" spans="1:11" ht="17.25" thickTop="1" thickBot="1">
      <c r="A27" s="600">
        <f t="shared" si="0"/>
        <v>16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600">
        <f t="shared" si="1"/>
        <v>16</v>
      </c>
    </row>
    <row r="28" spans="1:11">
      <c r="A28" s="600">
        <f t="shared" si="0"/>
        <v>17</v>
      </c>
      <c r="K28" s="600">
        <f t="shared" si="1"/>
        <v>17</v>
      </c>
    </row>
    <row r="29" spans="1:11">
      <c r="A29" s="600">
        <f t="shared" si="0"/>
        <v>18</v>
      </c>
      <c r="B29" s="714" t="s">
        <v>948</v>
      </c>
      <c r="C29" s="1434"/>
      <c r="D29" s="1434"/>
      <c r="E29" s="1434"/>
      <c r="F29" s="1434"/>
      <c r="G29" s="1434"/>
      <c r="H29" s="1434"/>
      <c r="I29" s="804"/>
      <c r="J29" s="804"/>
      <c r="K29" s="600">
        <f t="shared" si="1"/>
        <v>18</v>
      </c>
    </row>
    <row r="30" spans="1:11">
      <c r="A30" s="600">
        <f t="shared" si="0"/>
        <v>19</v>
      </c>
      <c r="B30" s="714" t="s">
        <v>891</v>
      </c>
      <c r="C30" s="650">
        <v>0</v>
      </c>
      <c r="D30" s="650"/>
      <c r="E30" s="650">
        <v>0</v>
      </c>
      <c r="F30" s="650"/>
      <c r="G30" s="650">
        <v>0</v>
      </c>
      <c r="H30" s="793"/>
      <c r="I30" s="650">
        <f>SUM(C30:G30)</f>
        <v>0</v>
      </c>
      <c r="J30" s="102" t="str">
        <f>"Not Applicable to "&amp;Automation!$B$6&amp;" Base Period"</f>
        <v>Not Applicable to 2018 Base Period</v>
      </c>
      <c r="K30" s="600">
        <f t="shared" si="1"/>
        <v>19</v>
      </c>
    </row>
    <row r="31" spans="1:11">
      <c r="A31" s="600">
        <f t="shared" si="0"/>
        <v>20</v>
      </c>
      <c r="C31" s="301">
        <v>0</v>
      </c>
      <c r="D31" s="301"/>
      <c r="E31" s="301">
        <v>0</v>
      </c>
      <c r="F31" s="301"/>
      <c r="G31" s="301">
        <v>0</v>
      </c>
      <c r="H31" s="301"/>
      <c r="I31" s="301">
        <f>SUM(C31:G31)</f>
        <v>0</v>
      </c>
      <c r="J31" s="301"/>
      <c r="K31" s="600">
        <f t="shared" si="1"/>
        <v>20</v>
      </c>
    </row>
    <row r="32" spans="1:11" ht="16.5" thickBot="1">
      <c r="A32" s="600">
        <f t="shared" si="0"/>
        <v>21</v>
      </c>
      <c r="B32" s="1135" t="s">
        <v>719</v>
      </c>
      <c r="C32" s="1436">
        <f>SUM(C30:C31)</f>
        <v>0</v>
      </c>
      <c r="D32" s="301"/>
      <c r="E32" s="1436">
        <f>SUM(E30:E31)</f>
        <v>0</v>
      </c>
      <c r="F32" s="554"/>
      <c r="G32" s="1436">
        <f>SUM(G30:G31)</f>
        <v>0</v>
      </c>
      <c r="H32" s="301"/>
      <c r="I32" s="1436">
        <f>SUM(I30:I31)</f>
        <v>0</v>
      </c>
      <c r="J32" s="1437" t="str">
        <f>"Sum Lines "&amp;A30&amp;" thru "&amp;A31</f>
        <v>Sum Lines 19 thru 20</v>
      </c>
      <c r="K32" s="600">
        <f t="shared" si="1"/>
        <v>21</v>
      </c>
    </row>
    <row r="33" spans="1:11" ht="16.5" thickTop="1">
      <c r="A33" s="600">
        <f t="shared" si="0"/>
        <v>22</v>
      </c>
      <c r="C33" s="1438"/>
      <c r="D33" s="1438"/>
      <c r="E33" s="1438"/>
      <c r="F33" s="1438"/>
      <c r="G33" s="1438"/>
      <c r="H33" s="1438"/>
      <c r="I33" s="1438"/>
      <c r="J33" s="1438"/>
      <c r="K33" s="600">
        <f t="shared" si="1"/>
        <v>22</v>
      </c>
    </row>
    <row r="34" spans="1:11">
      <c r="A34" s="600">
        <f t="shared" si="0"/>
        <v>23</v>
      </c>
      <c r="B34" s="714" t="s">
        <v>951</v>
      </c>
      <c r="C34" s="1434"/>
      <c r="D34" s="1434"/>
      <c r="E34" s="1434"/>
      <c r="F34" s="1434"/>
      <c r="G34" s="1434"/>
      <c r="H34" s="1434"/>
      <c r="I34" s="804"/>
      <c r="J34" s="804"/>
      <c r="K34" s="600">
        <f t="shared" si="1"/>
        <v>23</v>
      </c>
    </row>
    <row r="35" spans="1:11">
      <c r="A35" s="600">
        <f t="shared" si="0"/>
        <v>24</v>
      </c>
      <c r="B35" s="1439" t="s">
        <v>892</v>
      </c>
      <c r="C35" s="650">
        <v>0</v>
      </c>
      <c r="D35" s="650"/>
      <c r="E35" s="650">
        <v>0</v>
      </c>
      <c r="F35" s="650"/>
      <c r="G35" s="650">
        <v>0</v>
      </c>
      <c r="H35" s="650"/>
      <c r="I35" s="650">
        <f>SUM(C35:G35)</f>
        <v>0</v>
      </c>
      <c r="J35" s="102" t="str">
        <f>"Not Applicable to "&amp;Automation!$B$6&amp;" Base Period"</f>
        <v>Not Applicable to 2018 Base Period</v>
      </c>
      <c r="K35" s="600">
        <f t="shared" si="1"/>
        <v>24</v>
      </c>
    </row>
    <row r="36" spans="1:11">
      <c r="A36" s="600">
        <f t="shared" si="0"/>
        <v>25</v>
      </c>
      <c r="C36" s="301">
        <v>0</v>
      </c>
      <c r="D36" s="301"/>
      <c r="E36" s="301">
        <v>0</v>
      </c>
      <c r="F36" s="301"/>
      <c r="G36" s="301">
        <v>0</v>
      </c>
      <c r="H36" s="301"/>
      <c r="I36" s="301">
        <f>SUM(C36:G36)</f>
        <v>0</v>
      </c>
      <c r="J36" s="301"/>
      <c r="K36" s="600">
        <f t="shared" si="1"/>
        <v>25</v>
      </c>
    </row>
    <row r="37" spans="1:11" ht="16.5" thickBot="1">
      <c r="A37" s="600">
        <f t="shared" si="0"/>
        <v>26</v>
      </c>
      <c r="B37" s="1135" t="s">
        <v>720</v>
      </c>
      <c r="C37" s="1436">
        <f>SUM(C35:C36)</f>
        <v>0</v>
      </c>
      <c r="D37" s="301"/>
      <c r="E37" s="1436">
        <f>SUM(E35:E36)</f>
        <v>0</v>
      </c>
      <c r="F37" s="554"/>
      <c r="G37" s="1436">
        <f>SUM(G35:G36)</f>
        <v>0</v>
      </c>
      <c r="H37" s="301"/>
      <c r="I37" s="1436">
        <f>SUM(I35:I36)</f>
        <v>0</v>
      </c>
      <c r="J37" s="1437" t="str">
        <f>"Sum Lines "&amp;A35&amp;" thru "&amp;A36</f>
        <v>Sum Lines 24 thru 25</v>
      </c>
      <c r="K37" s="600">
        <f t="shared" si="1"/>
        <v>26</v>
      </c>
    </row>
    <row r="38" spans="1:11" ht="16.5" thickTop="1">
      <c r="A38" s="600">
        <f t="shared" si="0"/>
        <v>27</v>
      </c>
      <c r="J38" s="1541"/>
      <c r="K38" s="600">
        <f t="shared" si="1"/>
        <v>27</v>
      </c>
    </row>
    <row r="39" spans="1:11">
      <c r="A39" s="600">
        <f t="shared" si="0"/>
        <v>28</v>
      </c>
      <c r="B39" s="714" t="s">
        <v>950</v>
      </c>
      <c r="C39" s="1434"/>
      <c r="D39" s="1434"/>
      <c r="E39" s="1434"/>
      <c r="F39" s="1434"/>
      <c r="G39" s="1434"/>
      <c r="H39" s="1434"/>
      <c r="I39" s="804"/>
      <c r="J39" s="600"/>
      <c r="K39" s="600">
        <f t="shared" si="1"/>
        <v>28</v>
      </c>
    </row>
    <row r="40" spans="1:11">
      <c r="A40" s="600">
        <f t="shared" si="0"/>
        <v>29</v>
      </c>
      <c r="B40" s="714"/>
      <c r="C40" s="650">
        <v>0</v>
      </c>
      <c r="D40" s="650"/>
      <c r="E40" s="650">
        <v>0</v>
      </c>
      <c r="F40" s="650"/>
      <c r="G40" s="650">
        <v>0</v>
      </c>
      <c r="H40" s="650"/>
      <c r="I40" s="650">
        <f>SUM(C40:G40)</f>
        <v>0</v>
      </c>
      <c r="J40" s="102" t="str">
        <f>"Not Applicable to "&amp;Automation!$B$6&amp;" Base Period"</f>
        <v>Not Applicable to 2018 Base Period</v>
      </c>
      <c r="K40" s="600">
        <f t="shared" si="1"/>
        <v>29</v>
      </c>
    </row>
    <row r="41" spans="1:11">
      <c r="A41" s="600">
        <f t="shared" si="0"/>
        <v>30</v>
      </c>
      <c r="B41" s="714"/>
      <c r="C41" s="301">
        <v>0</v>
      </c>
      <c r="D41" s="301"/>
      <c r="E41" s="301">
        <v>0</v>
      </c>
      <c r="F41" s="301"/>
      <c r="G41" s="301">
        <v>0</v>
      </c>
      <c r="H41" s="301"/>
      <c r="I41" s="301">
        <f>SUM(C41:G41)</f>
        <v>0</v>
      </c>
      <c r="J41" s="301"/>
      <c r="K41" s="600">
        <f t="shared" si="1"/>
        <v>30</v>
      </c>
    </row>
    <row r="42" spans="1:11" ht="16.5" thickBot="1">
      <c r="A42" s="600">
        <f t="shared" si="0"/>
        <v>31</v>
      </c>
      <c r="B42" s="1135" t="s">
        <v>895</v>
      </c>
      <c r="C42" s="1436">
        <f>SUM(C40:C41)</f>
        <v>0</v>
      </c>
      <c r="D42" s="301"/>
      <c r="E42" s="1436">
        <f>SUM(E40:E41)</f>
        <v>0</v>
      </c>
      <c r="F42" s="554"/>
      <c r="G42" s="1436">
        <f>SUM(G40:G41)</f>
        <v>0</v>
      </c>
      <c r="H42" s="301"/>
      <c r="I42" s="1436">
        <f>SUM(I40:I41)</f>
        <v>0</v>
      </c>
      <c r="J42" s="1437" t="str">
        <f>"Sum Lines "&amp;A40&amp;" thru "&amp;A41</f>
        <v>Sum Lines 29 thru 30</v>
      </c>
      <c r="K42" s="600">
        <f t="shared" si="1"/>
        <v>31</v>
      </c>
    </row>
    <row r="43" spans="1:11" ht="17.25" thickTop="1" thickBot="1">
      <c r="A43" s="600">
        <f t="shared" si="0"/>
        <v>32</v>
      </c>
      <c r="B43" s="1513"/>
      <c r="C43" s="1514"/>
      <c r="D43" s="494"/>
      <c r="E43" s="1514"/>
      <c r="F43" s="1514"/>
      <c r="G43" s="1514"/>
      <c r="H43" s="494"/>
      <c r="I43" s="1514"/>
      <c r="J43" s="1515"/>
      <c r="K43" s="600">
        <f t="shared" si="1"/>
        <v>32</v>
      </c>
    </row>
    <row r="44" spans="1:11">
      <c r="A44" s="600">
        <f t="shared" si="0"/>
        <v>33</v>
      </c>
      <c r="B44" s="1135"/>
      <c r="C44" s="554"/>
      <c r="D44" s="301"/>
      <c r="E44" s="554"/>
      <c r="F44" s="554"/>
      <c r="G44" s="554"/>
      <c r="H44" s="301"/>
      <c r="I44" s="554"/>
      <c r="J44" s="1437"/>
      <c r="K44" s="600">
        <f t="shared" si="1"/>
        <v>33</v>
      </c>
    </row>
    <row r="45" spans="1:11">
      <c r="A45" s="600">
        <f t="shared" si="0"/>
        <v>34</v>
      </c>
      <c r="B45" s="100" t="s">
        <v>117</v>
      </c>
      <c r="C45" s="15">
        <v>0</v>
      </c>
      <c r="D45" s="301"/>
      <c r="E45" s="15">
        <v>0</v>
      </c>
      <c r="F45" s="554"/>
      <c r="G45" s="15">
        <v>0</v>
      </c>
      <c r="H45" s="301"/>
      <c r="I45" s="650">
        <f>SUM(C45:G45)</f>
        <v>0</v>
      </c>
      <c r="J45" s="102" t="str">
        <f>"Not Applicable to "&amp;Automation!$B$6&amp;" Base Period"</f>
        <v>Not Applicable to 2018 Base Period</v>
      </c>
      <c r="K45" s="600">
        <f t="shared" si="1"/>
        <v>34</v>
      </c>
    </row>
    <row r="46" spans="1:11">
      <c r="B46" s="1135"/>
      <c r="C46" s="554"/>
      <c r="D46" s="301"/>
      <c r="E46" s="554"/>
      <c r="F46" s="554"/>
      <c r="G46" s="554"/>
      <c r="H46" s="301"/>
      <c r="I46" s="554"/>
      <c r="J46" s="1437"/>
    </row>
    <row r="48" spans="1:11" ht="18.75">
      <c r="A48" s="990"/>
      <c r="B48" s="101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/>
  </sheetViews>
  <sheetFormatPr defaultColWidth="8.7109375" defaultRowHeight="15.75"/>
  <cols>
    <col min="1" max="1" width="5.28515625" style="600" bestFit="1" customWidth="1"/>
    <col min="2" max="2" width="45.7109375" style="4" customWidth="1"/>
    <col min="3" max="5" width="18.5703125" style="4" customWidth="1"/>
    <col min="6" max="6" width="25.140625" style="5" customWidth="1"/>
    <col min="7" max="7" width="5.28515625" style="600" bestFit="1" customWidth="1"/>
    <col min="8" max="8" width="8.7109375" style="4"/>
    <col min="9" max="9" width="17.7109375" style="4" bestFit="1" customWidth="1"/>
    <col min="10" max="16384" width="8.7109375" style="4"/>
  </cols>
  <sheetData>
    <row r="2" spans="1:11">
      <c r="A2" s="991"/>
      <c r="B2" s="1647" t="str">
        <f>'Summary of Cost Components'!B3:D3</f>
        <v>CITIZENS' SHARE OF THE SX-PQ UNDERGROUND LINE SEGMENT</v>
      </c>
      <c r="C2" s="1647"/>
      <c r="D2" s="1647"/>
      <c r="E2" s="1647"/>
      <c r="F2" s="1647"/>
      <c r="G2" s="991"/>
      <c r="H2" s="167"/>
      <c r="I2" s="167"/>
      <c r="J2" s="167"/>
      <c r="K2" s="167"/>
    </row>
    <row r="3" spans="1:11">
      <c r="A3" s="991"/>
      <c r="B3" s="1648" t="s">
        <v>591</v>
      </c>
      <c r="C3" s="1648"/>
      <c r="D3" s="1648"/>
      <c r="E3" s="1648"/>
      <c r="F3" s="1648"/>
      <c r="G3" s="991"/>
      <c r="H3" s="167"/>
      <c r="I3" s="167"/>
      <c r="J3" s="167"/>
      <c r="K3" s="167"/>
    </row>
    <row r="4" spans="1:11">
      <c r="A4" s="991"/>
      <c r="B4" s="1648" t="str">
        <f>"Base Period &amp; True-Up Period 12 - Months Ending December 31, "&amp;Automation!B6</f>
        <v>Base Period &amp; True-Up Period 12 - Months Ending December 31, 2018</v>
      </c>
      <c r="C4" s="1648"/>
      <c r="D4" s="1648"/>
      <c r="E4" s="1648"/>
      <c r="F4" s="1648"/>
      <c r="G4" s="991"/>
      <c r="H4" s="167"/>
      <c r="I4" s="167"/>
      <c r="J4" s="167"/>
      <c r="K4" s="167"/>
    </row>
    <row r="5" spans="1:11">
      <c r="A5" s="991"/>
      <c r="B5" s="1649" t="s">
        <v>3</v>
      </c>
      <c r="C5" s="1649"/>
      <c r="D5" s="1649"/>
      <c r="E5" s="1649"/>
      <c r="F5" s="1649"/>
      <c r="G5" s="1198"/>
      <c r="H5" s="1207"/>
      <c r="I5" s="1207"/>
      <c r="J5" s="1207"/>
      <c r="K5" s="1207"/>
    </row>
    <row r="7" spans="1:11">
      <c r="A7" s="1249"/>
      <c r="B7" s="1250"/>
      <c r="C7" s="1251" t="str">
        <f>"12/31/"&amp;Automation!B6-1</f>
        <v>12/31/2017</v>
      </c>
      <c r="D7" s="1512" t="str">
        <f>"12/31/"&amp;Automation!B6</f>
        <v>12/31/2018</v>
      </c>
      <c r="E7" s="1376"/>
      <c r="F7" s="1252"/>
      <c r="G7" s="1253"/>
      <c r="H7" s="167"/>
      <c r="I7" s="167"/>
      <c r="J7" s="167"/>
      <c r="K7" s="167"/>
    </row>
    <row r="8" spans="1:11">
      <c r="A8" s="1249" t="s">
        <v>4</v>
      </c>
      <c r="B8" s="1254"/>
      <c r="C8" s="1255"/>
      <c r="D8" s="1256"/>
      <c r="E8" s="1257"/>
      <c r="F8" s="1258"/>
      <c r="G8" s="1253" t="s">
        <v>4</v>
      </c>
      <c r="H8" s="167"/>
      <c r="I8" s="167"/>
      <c r="J8" s="167"/>
      <c r="K8" s="167"/>
    </row>
    <row r="9" spans="1:11">
      <c r="A9" s="1249" t="s">
        <v>25</v>
      </c>
      <c r="B9" s="1259" t="s">
        <v>72</v>
      </c>
      <c r="C9" s="1260" t="s">
        <v>852</v>
      </c>
      <c r="D9" s="1260" t="s">
        <v>852</v>
      </c>
      <c r="E9" s="1261" t="s">
        <v>853</v>
      </c>
      <c r="F9" s="1262" t="s">
        <v>9</v>
      </c>
      <c r="G9" s="1253" t="s">
        <v>25</v>
      </c>
      <c r="H9" s="167"/>
      <c r="I9" s="167"/>
      <c r="J9" s="167"/>
      <c r="K9" s="167"/>
    </row>
    <row r="10" spans="1:11">
      <c r="A10" s="1249"/>
      <c r="B10" s="167"/>
      <c r="C10" s="1079"/>
      <c r="D10" s="1076"/>
      <c r="E10" s="1077"/>
      <c r="F10" s="716"/>
      <c r="G10" s="1253"/>
      <c r="H10" s="167"/>
      <c r="I10" s="167"/>
      <c r="J10" s="167"/>
      <c r="K10" s="167"/>
    </row>
    <row r="11" spans="1:11">
      <c r="A11" s="1249">
        <f t="shared" ref="A11:A16" si="0">A10+1</f>
        <v>1</v>
      </c>
      <c r="B11" s="1263" t="s">
        <v>306</v>
      </c>
      <c r="C11" s="1508">
        <v>0</v>
      </c>
      <c r="D11" s="1508">
        <v>0</v>
      </c>
      <c r="E11" s="1080">
        <f>AVERAGE(C11,D11)</f>
        <v>0</v>
      </c>
      <c r="F11" s="717"/>
      <c r="G11" s="1253">
        <f t="shared" ref="G11:G16" si="1">G10+1</f>
        <v>1</v>
      </c>
      <c r="I11" s="1264"/>
    </row>
    <row r="12" spans="1:11">
      <c r="A12" s="1249">
        <f t="shared" si="0"/>
        <v>2</v>
      </c>
      <c r="B12" s="167"/>
      <c r="C12" s="1509"/>
      <c r="D12" s="1510"/>
      <c r="E12" s="1080"/>
      <c r="F12" s="717"/>
      <c r="G12" s="1253">
        <f t="shared" si="1"/>
        <v>2</v>
      </c>
    </row>
    <row r="13" spans="1:11">
      <c r="A13" s="1249">
        <f t="shared" si="0"/>
        <v>3</v>
      </c>
      <c r="B13" s="1263" t="s">
        <v>307</v>
      </c>
      <c r="C13" s="1511">
        <v>0</v>
      </c>
      <c r="D13" s="1511">
        <v>0</v>
      </c>
      <c r="E13" s="471">
        <f>AVERAGE(C13,D13)</f>
        <v>0</v>
      </c>
      <c r="F13" s="717"/>
      <c r="G13" s="1253">
        <f t="shared" si="1"/>
        <v>3</v>
      </c>
    </row>
    <row r="14" spans="1:11">
      <c r="A14" s="1249">
        <f t="shared" si="0"/>
        <v>4</v>
      </c>
      <c r="B14" s="167"/>
      <c r="C14" s="1079"/>
      <c r="D14" s="1076"/>
      <c r="E14" s="1077"/>
      <c r="F14" s="716"/>
      <c r="G14" s="1253">
        <f t="shared" si="1"/>
        <v>4</v>
      </c>
    </row>
    <row r="15" spans="1:11" ht="19.5" thickBot="1">
      <c r="A15" s="1249">
        <f t="shared" si="0"/>
        <v>5</v>
      </c>
      <c r="B15" s="1263" t="s">
        <v>822</v>
      </c>
      <c r="C15" s="1078">
        <f>SUM(C11-C13)</f>
        <v>0</v>
      </c>
      <c r="D15" s="1078">
        <f t="shared" ref="D15:E15" si="2">SUM(D11-D13)</f>
        <v>0</v>
      </c>
      <c r="E15" s="1078">
        <f t="shared" si="2"/>
        <v>0</v>
      </c>
      <c r="F15" s="715" t="str">
        <f>"Line "&amp;A11&amp;" Minus Line "&amp;A13</f>
        <v>Line 1 Minus Line 3</v>
      </c>
      <c r="G15" s="1253">
        <f t="shared" si="1"/>
        <v>5</v>
      </c>
    </row>
    <row r="16" spans="1:11" ht="16.5" thickTop="1">
      <c r="A16" s="1249">
        <f t="shared" si="0"/>
        <v>6</v>
      </c>
      <c r="B16" s="1265"/>
      <c r="C16" s="1266"/>
      <c r="D16" s="1266"/>
      <c r="E16" s="1265"/>
      <c r="F16" s="1267"/>
      <c r="G16" s="1253">
        <f t="shared" si="1"/>
        <v>6</v>
      </c>
    </row>
    <row r="17" spans="1:9">
      <c r="A17" s="1268"/>
      <c r="B17" s="167"/>
      <c r="C17" s="167"/>
      <c r="D17" s="167"/>
      <c r="E17" s="167"/>
      <c r="F17" s="166"/>
      <c r="G17" s="1268"/>
    </row>
    <row r="18" spans="1:9">
      <c r="A18" s="1268"/>
      <c r="B18" s="167"/>
      <c r="C18" s="167"/>
      <c r="D18" s="167"/>
      <c r="E18" s="167"/>
      <c r="F18" s="166"/>
      <c r="G18" s="1268"/>
    </row>
    <row r="19" spans="1:9" ht="18.75">
      <c r="A19" s="1269">
        <v>1</v>
      </c>
      <c r="B19" s="1270" t="s">
        <v>1029</v>
      </c>
      <c r="C19" s="167"/>
      <c r="D19" s="167"/>
      <c r="E19" s="167"/>
      <c r="F19" s="166"/>
      <c r="G19" s="1268"/>
    </row>
    <row r="20" spans="1:9" ht="18.75">
      <c r="A20" s="992"/>
      <c r="B20" s="1270" t="s">
        <v>1030</v>
      </c>
      <c r="C20" s="167"/>
      <c r="D20" s="167"/>
      <c r="E20" s="167"/>
      <c r="F20" s="166"/>
      <c r="G20" s="991"/>
    </row>
    <row r="21" spans="1:9">
      <c r="A21" s="991"/>
      <c r="B21" s="1263" t="s">
        <v>1031</v>
      </c>
      <c r="C21" s="167"/>
      <c r="D21" s="167"/>
      <c r="E21" s="167"/>
      <c r="F21" s="166"/>
      <c r="G21" s="991"/>
    </row>
    <row r="22" spans="1:9">
      <c r="A22" s="991"/>
      <c r="B22" s="1263"/>
      <c r="C22" s="167"/>
      <c r="D22" s="167"/>
      <c r="E22" s="167"/>
      <c r="F22" s="166"/>
      <c r="G22" s="991"/>
    </row>
    <row r="23" spans="1:9">
      <c r="A23" s="991"/>
      <c r="B23" s="1263"/>
      <c r="C23" s="167"/>
      <c r="D23" s="167"/>
      <c r="E23" s="167"/>
      <c r="F23" s="166"/>
      <c r="G23" s="991"/>
    </row>
    <row r="26" spans="1:9">
      <c r="C26" s="1264"/>
    </row>
    <row r="27" spans="1:9">
      <c r="I27" s="167"/>
    </row>
    <row r="28" spans="1:9">
      <c r="I28" s="167"/>
    </row>
    <row r="29" spans="1:9">
      <c r="I29" s="167"/>
    </row>
    <row r="30" spans="1:9">
      <c r="I30" s="167"/>
    </row>
    <row r="31" spans="1:9">
      <c r="I31" s="167"/>
    </row>
    <row r="32" spans="1:9">
      <c r="I32" s="167"/>
    </row>
    <row r="33" spans="9:9">
      <c r="I33" s="167"/>
    </row>
    <row r="34" spans="9:9">
      <c r="I34" s="167"/>
    </row>
    <row r="35" spans="9:9">
      <c r="I35" s="167"/>
    </row>
    <row r="36" spans="9:9">
      <c r="I36" s="167"/>
    </row>
    <row r="37" spans="9:9">
      <c r="I37" s="167"/>
    </row>
    <row r="38" spans="9:9">
      <c r="I38" s="167"/>
    </row>
    <row r="39" spans="9:9">
      <c r="I39" s="167"/>
    </row>
    <row r="40" spans="9:9">
      <c r="I40" s="167"/>
    </row>
    <row r="41" spans="9:9">
      <c r="I41" s="167"/>
    </row>
    <row r="42" spans="9:9">
      <c r="I42" s="1271"/>
    </row>
    <row r="43" spans="9:9">
      <c r="I43" s="1271"/>
    </row>
    <row r="44" spans="9:9">
      <c r="I44" s="1271"/>
    </row>
    <row r="45" spans="9:9">
      <c r="I45" s="1271"/>
    </row>
    <row r="46" spans="9:9">
      <c r="I46" s="1271"/>
    </row>
    <row r="47" spans="9:9">
      <c r="I47" s="1271"/>
    </row>
    <row r="48" spans="9:9">
      <c r="I48" s="167"/>
    </row>
    <row r="49" spans="9:9">
      <c r="I49" s="167"/>
    </row>
    <row r="50" spans="9:9">
      <c r="I50" s="167"/>
    </row>
    <row r="51" spans="9:9">
      <c r="I51" s="167"/>
    </row>
    <row r="52" spans="9:9">
      <c r="I52" s="167"/>
    </row>
    <row r="53" spans="9:9">
      <c r="I53" s="167"/>
    </row>
    <row r="54" spans="9:9">
      <c r="I54" s="167"/>
    </row>
    <row r="55" spans="9:9">
      <c r="I55" s="167"/>
    </row>
    <row r="56" spans="9:9">
      <c r="I56" s="167"/>
    </row>
    <row r="57" spans="9:9">
      <c r="I57" s="167"/>
    </row>
    <row r="58" spans="9:9">
      <c r="I58" s="167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/>
  </sheetViews>
  <sheetFormatPr defaultColWidth="9.140625" defaultRowHeight="15.75"/>
  <cols>
    <col min="1" max="1" width="5.28515625" style="600" customWidth="1"/>
    <col min="2" max="2" width="56" style="408" customWidth="1"/>
    <col min="3" max="3" width="24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34.5703125" style="408" customWidth="1"/>
    <col min="8" max="8" width="5.140625" style="408" customWidth="1"/>
    <col min="9" max="9" width="9.140625" style="408"/>
    <col min="10" max="10" width="20.42578125" style="408" bestFit="1" customWidth="1"/>
    <col min="11" max="16384" width="9.140625" style="408"/>
  </cols>
  <sheetData>
    <row r="1" spans="1:9">
      <c r="A1" s="596"/>
      <c r="E1" s="600"/>
      <c r="F1" s="600"/>
      <c r="G1" s="600"/>
      <c r="H1" s="596"/>
    </row>
    <row r="2" spans="1:9">
      <c r="A2" s="596"/>
      <c r="B2" s="1643" t="s">
        <v>18</v>
      </c>
      <c r="C2" s="1643"/>
      <c r="D2" s="1643"/>
      <c r="E2" s="1628"/>
      <c r="F2" s="1628"/>
      <c r="G2" s="1628"/>
      <c r="H2" s="596"/>
    </row>
    <row r="3" spans="1:9">
      <c r="A3" s="596"/>
      <c r="B3" s="1643" t="s">
        <v>118</v>
      </c>
      <c r="C3" s="1643"/>
      <c r="D3" s="1643"/>
      <c r="E3" s="1628"/>
      <c r="F3" s="1628"/>
      <c r="G3" s="1628"/>
      <c r="H3" s="596"/>
    </row>
    <row r="4" spans="1:9">
      <c r="A4" s="596"/>
      <c r="B4" s="1643" t="s">
        <v>119</v>
      </c>
      <c r="C4" s="1643"/>
      <c r="D4" s="1643"/>
      <c r="E4" s="1628"/>
      <c r="F4" s="1628"/>
      <c r="G4" s="1628"/>
      <c r="H4" s="596"/>
    </row>
    <row r="5" spans="1:9">
      <c r="A5" s="596"/>
      <c r="B5" s="1644" t="str">
        <f>'A. Sec.1 - Direct Maintenance'!B5</f>
        <v>Base Period &amp; True-Up Period 12 - Months Ending December 31, 2018</v>
      </c>
      <c r="C5" s="1644"/>
      <c r="D5" s="1644"/>
      <c r="E5" s="1644"/>
      <c r="F5" s="1644"/>
      <c r="G5" s="1644"/>
      <c r="H5" s="596"/>
    </row>
    <row r="6" spans="1:9">
      <c r="A6" s="596"/>
      <c r="B6" s="1645" t="s">
        <v>3</v>
      </c>
      <c r="C6" s="1646"/>
      <c r="D6" s="1646"/>
      <c r="E6" s="1646"/>
      <c r="F6" s="1646"/>
      <c r="G6" s="1646"/>
      <c r="H6" s="596"/>
    </row>
    <row r="7" spans="1:9">
      <c r="A7" s="596"/>
      <c r="B7" s="596"/>
      <c r="C7" s="596"/>
      <c r="D7" s="596"/>
      <c r="E7" s="600"/>
      <c r="F7" s="600"/>
      <c r="G7" s="600"/>
      <c r="H7" s="596"/>
    </row>
    <row r="8" spans="1:9">
      <c r="A8" s="596" t="s">
        <v>4</v>
      </c>
      <c r="B8" s="677"/>
      <c r="C8" s="596" t="s">
        <v>511</v>
      </c>
      <c r="D8" s="677"/>
      <c r="E8" s="702"/>
      <c r="F8" s="600"/>
      <c r="G8" s="600"/>
      <c r="H8" s="596" t="s">
        <v>4</v>
      </c>
    </row>
    <row r="9" spans="1:9">
      <c r="A9" s="703" t="s">
        <v>25</v>
      </c>
      <c r="C9" s="598" t="s">
        <v>512</v>
      </c>
      <c r="E9" s="679" t="s">
        <v>8</v>
      </c>
      <c r="F9" s="677"/>
      <c r="G9" s="497" t="s">
        <v>9</v>
      </c>
      <c r="H9" s="703" t="s">
        <v>25</v>
      </c>
    </row>
    <row r="10" spans="1:9">
      <c r="A10" s="703"/>
      <c r="E10" s="596"/>
      <c r="F10" s="600"/>
      <c r="G10" s="600"/>
      <c r="H10" s="703"/>
    </row>
    <row r="11" spans="1:9" s="705" customFormat="1" ht="19.5" thickBot="1">
      <c r="A11" s="596">
        <v>1</v>
      </c>
      <c r="B11" s="118" t="s">
        <v>439</v>
      </c>
      <c r="C11" s="833" t="s">
        <v>610</v>
      </c>
      <c r="D11" s="408"/>
      <c r="E11" s="911">
        <f>'AG-1'!C31</f>
        <v>950.34505384615397</v>
      </c>
      <c r="F11" s="600"/>
      <c r="G11" s="600" t="str">
        <f>"AG-1; Line "&amp;'AG-1'!A31</f>
        <v>AG-1; Line 18</v>
      </c>
      <c r="H11" s="596">
        <f>A11</f>
        <v>1</v>
      </c>
      <c r="I11" s="408"/>
    </row>
    <row r="12" spans="1:9" s="705" customFormat="1" ht="16.5" thickTop="1">
      <c r="A12" s="596"/>
      <c r="B12" s="408"/>
      <c r="C12" s="600"/>
      <c r="D12" s="408"/>
      <c r="E12" s="644"/>
      <c r="F12" s="600"/>
      <c r="G12" s="600"/>
      <c r="H12" s="596"/>
      <c r="I12" s="408"/>
    </row>
    <row r="14" spans="1:9" ht="18.75">
      <c r="A14" s="646">
        <v>1</v>
      </c>
      <c r="B14" s="107" t="s">
        <v>120</v>
      </c>
    </row>
    <row r="15" spans="1:9" ht="18.75">
      <c r="A15" s="713"/>
      <c r="B15" s="714"/>
    </row>
    <row r="16" spans="1:9">
      <c r="A16" s="408"/>
      <c r="B16" s="926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N35"/>
  <sheetViews>
    <sheetView zoomScale="80" zoomScaleNormal="80" workbookViewId="0"/>
  </sheetViews>
  <sheetFormatPr defaultColWidth="8.85546875" defaultRowHeight="15.75"/>
  <cols>
    <col min="1" max="1" width="5.28515625" style="192" customWidth="1"/>
    <col min="2" max="2" width="35.140625" style="232" customWidth="1"/>
    <col min="3" max="3" width="18.5703125" style="232" customWidth="1"/>
    <col min="4" max="4" width="62.5703125" style="232" customWidth="1"/>
    <col min="5" max="5" width="5.28515625" style="932" customWidth="1"/>
    <col min="6" max="9" width="8.85546875" style="232"/>
    <col min="10" max="10" width="12.85546875" style="232" bestFit="1" customWidth="1"/>
    <col min="11" max="11" width="8.85546875" style="232"/>
    <col min="12" max="12" width="14" style="232" bestFit="1" customWidth="1"/>
    <col min="13" max="16384" width="8.85546875" style="232"/>
  </cols>
  <sheetData>
    <row r="2" spans="1:14" s="175" customFormat="1">
      <c r="A2" s="174"/>
      <c r="B2" s="1635" t="s">
        <v>18</v>
      </c>
      <c r="C2" s="1635"/>
      <c r="D2" s="1635"/>
      <c r="E2" s="928"/>
    </row>
    <row r="3" spans="1:14" s="175" customFormat="1">
      <c r="A3" s="174"/>
      <c r="B3" s="1635" t="s">
        <v>121</v>
      </c>
      <c r="C3" s="1635"/>
      <c r="D3" s="1635"/>
      <c r="E3" s="928"/>
    </row>
    <row r="4" spans="1:14" s="175" customFormat="1">
      <c r="A4" s="174"/>
      <c r="B4" s="1635" t="s">
        <v>122</v>
      </c>
      <c r="C4" s="1635"/>
      <c r="D4" s="1635"/>
      <c r="E4" s="928"/>
    </row>
    <row r="5" spans="1:14" s="175" customFormat="1">
      <c r="A5" s="174"/>
      <c r="B5" s="1635" t="s">
        <v>123</v>
      </c>
      <c r="C5" s="1635"/>
      <c r="D5" s="1635"/>
      <c r="E5" s="928"/>
    </row>
    <row r="6" spans="1:14" s="175" customFormat="1">
      <c r="A6" s="174"/>
      <c r="B6" s="1635" t="str">
        <f>"BASE PERIOD / TRUE UP PERIOD - 12/31/"&amp;Automation!$B$6</f>
        <v>BASE PERIOD / TRUE UP PERIOD - 12/31/2018</v>
      </c>
      <c r="C6" s="1635"/>
      <c r="D6" s="1635"/>
      <c r="E6" s="928"/>
    </row>
    <row r="7" spans="1:14" s="175" customFormat="1">
      <c r="A7" s="174"/>
      <c r="B7" s="1640" t="s">
        <v>3</v>
      </c>
      <c r="C7" s="1640"/>
      <c r="D7" s="1640"/>
      <c r="E7" s="928"/>
    </row>
    <row r="8" spans="1:14" s="175" customFormat="1">
      <c r="A8" s="174"/>
      <c r="B8" s="177"/>
      <c r="C8" s="177"/>
      <c r="D8" s="177"/>
      <c r="E8" s="928"/>
    </row>
    <row r="9" spans="1:14" s="175" customFormat="1">
      <c r="A9" s="174"/>
      <c r="B9" s="1635" t="s">
        <v>58</v>
      </c>
      <c r="C9" s="1635"/>
      <c r="D9" s="1635"/>
      <c r="E9" s="928"/>
    </row>
    <row r="10" spans="1:14">
      <c r="B10" s="418"/>
      <c r="C10" s="419"/>
      <c r="D10" s="419"/>
      <c r="H10" s="278"/>
      <c r="I10" s="278"/>
      <c r="J10" s="278"/>
      <c r="K10" s="278"/>
      <c r="L10" s="278"/>
      <c r="M10" s="278"/>
      <c r="N10" s="278"/>
    </row>
    <row r="11" spans="1:14">
      <c r="B11" s="184"/>
      <c r="C11" s="305" t="s">
        <v>59</v>
      </c>
      <c r="D11" s="256"/>
      <c r="H11" s="278"/>
      <c r="I11" s="278"/>
      <c r="J11" s="278"/>
      <c r="K11" s="278"/>
      <c r="L11" s="278"/>
      <c r="M11" s="278"/>
      <c r="N11" s="278"/>
    </row>
    <row r="12" spans="1:14">
      <c r="A12" s="192" t="s">
        <v>4</v>
      </c>
      <c r="B12" s="214"/>
      <c r="C12" s="187" t="s">
        <v>459</v>
      </c>
      <c r="D12" s="308"/>
      <c r="E12" s="932" t="s">
        <v>4</v>
      </c>
      <c r="H12" s="420"/>
      <c r="I12" s="420"/>
      <c r="J12" s="420"/>
      <c r="K12" s="420"/>
      <c r="L12" s="420"/>
      <c r="M12" s="420"/>
      <c r="N12" s="278"/>
    </row>
    <row r="13" spans="1:14">
      <c r="A13" s="192" t="s">
        <v>25</v>
      </c>
      <c r="B13" s="196" t="s">
        <v>23</v>
      </c>
      <c r="C13" s="383" t="s">
        <v>460</v>
      </c>
      <c r="D13" s="196" t="s">
        <v>9</v>
      </c>
      <c r="E13" s="932" t="s">
        <v>25</v>
      </c>
      <c r="H13" s="420"/>
      <c r="I13" s="211"/>
      <c r="J13" s="211"/>
      <c r="K13" s="188"/>
      <c r="L13" s="211"/>
      <c r="M13" s="420"/>
      <c r="N13" s="278"/>
    </row>
    <row r="14" spans="1:14">
      <c r="A14" s="192">
        <v>1</v>
      </c>
      <c r="B14" s="200" t="str">
        <f>"Dec-"&amp;RIGHT(Automation!$B$6-1,2)</f>
        <v>Dec-17</v>
      </c>
      <c r="C14" s="421">
        <v>2470.89714</v>
      </c>
      <c r="D14" s="885" t="s">
        <v>442</v>
      </c>
      <c r="E14" s="932">
        <f>A14</f>
        <v>1</v>
      </c>
      <c r="G14" s="422"/>
      <c r="H14" s="420"/>
      <c r="I14" s="188"/>
      <c r="J14" s="188"/>
      <c r="K14" s="188"/>
      <c r="L14" s="420"/>
      <c r="M14" s="420"/>
      <c r="N14" s="278"/>
    </row>
    <row r="15" spans="1:14">
      <c r="A15" s="192">
        <f>A14+1</f>
        <v>2</v>
      </c>
      <c r="B15" s="200" t="str">
        <f>"Jan-"&amp;RIGHT(Automation!$B$6,2)</f>
        <v>Jan-18</v>
      </c>
      <c r="C15" s="328">
        <v>2470.89714</v>
      </c>
      <c r="D15" s="328"/>
      <c r="E15" s="932">
        <f>E14+1</f>
        <v>2</v>
      </c>
      <c r="G15" s="422"/>
      <c r="H15" s="420"/>
      <c r="I15" s="188"/>
      <c r="J15" s="188"/>
      <c r="K15" s="188"/>
      <c r="L15" s="420"/>
      <c r="M15" s="420"/>
      <c r="N15" s="278"/>
    </row>
    <row r="16" spans="1:14">
      <c r="A16" s="192">
        <f t="shared" ref="A16:A32" si="0">A15+1</f>
        <v>3</v>
      </c>
      <c r="B16" s="200" t="s">
        <v>36</v>
      </c>
      <c r="C16" s="328">
        <v>2470.89714</v>
      </c>
      <c r="D16" s="328"/>
      <c r="E16" s="932">
        <f t="shared" ref="E16:E32" si="1">E15+1</f>
        <v>3</v>
      </c>
      <c r="G16" s="422"/>
      <c r="H16" s="420"/>
      <c r="I16" s="188"/>
      <c r="J16" s="188"/>
      <c r="K16" s="188"/>
      <c r="L16" s="420"/>
      <c r="M16" s="420"/>
      <c r="N16" s="278"/>
    </row>
    <row r="17" spans="1:14">
      <c r="A17" s="192">
        <f t="shared" si="0"/>
        <v>4</v>
      </c>
      <c r="B17" s="200" t="s">
        <v>37</v>
      </c>
      <c r="C17" s="328">
        <v>2470.89714</v>
      </c>
      <c r="D17" s="328"/>
      <c r="E17" s="932">
        <f t="shared" si="1"/>
        <v>4</v>
      </c>
      <c r="H17" s="420"/>
      <c r="I17" s="188"/>
      <c r="J17" s="423"/>
      <c r="K17" s="188"/>
      <c r="L17" s="420"/>
      <c r="M17" s="420"/>
      <c r="N17" s="278"/>
    </row>
    <row r="18" spans="1:14">
      <c r="A18" s="192">
        <f t="shared" si="0"/>
        <v>5</v>
      </c>
      <c r="B18" s="200" t="s">
        <v>38</v>
      </c>
      <c r="C18" s="328">
        <v>2470.89714</v>
      </c>
      <c r="D18" s="328"/>
      <c r="E18" s="932">
        <f t="shared" si="1"/>
        <v>5</v>
      </c>
      <c r="H18" s="420"/>
      <c r="I18" s="188"/>
      <c r="J18" s="423"/>
      <c r="K18" s="188"/>
      <c r="L18" s="420"/>
      <c r="M18" s="420"/>
      <c r="N18" s="278"/>
    </row>
    <row r="19" spans="1:14">
      <c r="A19" s="192">
        <f t="shared" si="0"/>
        <v>6</v>
      </c>
      <c r="B19" s="200" t="s">
        <v>39</v>
      </c>
      <c r="C19" s="328">
        <v>0</v>
      </c>
      <c r="D19" s="328"/>
      <c r="E19" s="932">
        <f t="shared" si="1"/>
        <v>6</v>
      </c>
      <c r="H19" s="420"/>
      <c r="I19" s="423"/>
      <c r="J19" s="423"/>
      <c r="K19" s="424"/>
      <c r="L19" s="425"/>
      <c r="M19" s="420"/>
      <c r="N19" s="278"/>
    </row>
    <row r="20" spans="1:14">
      <c r="A20" s="192">
        <f>A19+1</f>
        <v>7</v>
      </c>
      <c r="B20" s="200" t="s">
        <v>40</v>
      </c>
      <c r="C20" s="328">
        <v>0</v>
      </c>
      <c r="D20" s="328"/>
      <c r="E20" s="932">
        <f>E19+1</f>
        <v>7</v>
      </c>
      <c r="H20" s="420"/>
      <c r="I20" s="426"/>
      <c r="J20" s="427"/>
      <c r="K20" s="428"/>
      <c r="L20" s="429"/>
      <c r="M20" s="420"/>
      <c r="N20" s="278"/>
    </row>
    <row r="21" spans="1:14">
      <c r="A21" s="192">
        <f t="shared" si="0"/>
        <v>8</v>
      </c>
      <c r="B21" s="200" t="s">
        <v>41</v>
      </c>
      <c r="C21" s="328">
        <v>0</v>
      </c>
      <c r="D21" s="328"/>
      <c r="E21" s="932">
        <f t="shared" si="1"/>
        <v>8</v>
      </c>
      <c r="H21" s="420"/>
      <c r="I21" s="430"/>
      <c r="J21" s="430"/>
      <c r="K21" s="425"/>
      <c r="L21" s="425"/>
      <c r="M21" s="420"/>
      <c r="N21" s="278"/>
    </row>
    <row r="22" spans="1:14">
      <c r="A22" s="192">
        <f t="shared" si="0"/>
        <v>9</v>
      </c>
      <c r="B22" s="200" t="s">
        <v>42</v>
      </c>
      <c r="C22" s="328">
        <v>0</v>
      </c>
      <c r="D22" s="328"/>
      <c r="E22" s="932">
        <f t="shared" si="1"/>
        <v>9</v>
      </c>
      <c r="H22" s="420"/>
      <c r="I22" s="426"/>
      <c r="J22" s="427"/>
      <c r="K22" s="431"/>
      <c r="L22" s="429"/>
      <c r="M22" s="420"/>
      <c r="N22" s="278"/>
    </row>
    <row r="23" spans="1:14">
      <c r="A23" s="192">
        <f t="shared" si="0"/>
        <v>10</v>
      </c>
      <c r="B23" s="200" t="s">
        <v>43</v>
      </c>
      <c r="C23" s="328">
        <v>0</v>
      </c>
      <c r="D23" s="328"/>
      <c r="E23" s="932">
        <f t="shared" si="1"/>
        <v>10</v>
      </c>
      <c r="H23" s="420"/>
      <c r="I23" s="211"/>
      <c r="J23" s="211"/>
      <c r="K23" s="425"/>
      <c r="L23" s="425"/>
      <c r="M23" s="420"/>
      <c r="N23" s="278"/>
    </row>
    <row r="24" spans="1:14">
      <c r="A24" s="192">
        <f t="shared" si="0"/>
        <v>11</v>
      </c>
      <c r="B24" s="200" t="s">
        <v>44</v>
      </c>
      <c r="C24" s="328">
        <v>0</v>
      </c>
      <c r="D24" s="328"/>
      <c r="E24" s="932">
        <f t="shared" si="1"/>
        <v>11</v>
      </c>
      <c r="H24" s="420"/>
      <c r="I24" s="211"/>
      <c r="J24" s="211"/>
      <c r="K24" s="432"/>
      <c r="L24" s="433"/>
      <c r="M24" s="420"/>
      <c r="N24" s="278"/>
    </row>
    <row r="25" spans="1:14">
      <c r="A25" s="192">
        <f t="shared" si="0"/>
        <v>12</v>
      </c>
      <c r="B25" s="200" t="s">
        <v>45</v>
      </c>
      <c r="C25" s="328">
        <v>0</v>
      </c>
      <c r="D25" s="328"/>
      <c r="E25" s="932">
        <f t="shared" si="1"/>
        <v>12</v>
      </c>
      <c r="H25" s="420"/>
      <c r="I25" s="211"/>
      <c r="J25" s="211"/>
      <c r="K25" s="432"/>
      <c r="L25" s="433"/>
      <c r="M25" s="420"/>
      <c r="N25" s="278"/>
    </row>
    <row r="26" spans="1:14">
      <c r="A26" s="192">
        <f t="shared" si="0"/>
        <v>13</v>
      </c>
      <c r="B26" s="212" t="str">
        <f>"Dec-"&amp;RIGHT(Automation!$B$6,2)</f>
        <v>Dec-18</v>
      </c>
      <c r="C26" s="255">
        <v>0</v>
      </c>
      <c r="D26" s="359" t="s">
        <v>442</v>
      </c>
      <c r="E26" s="932">
        <f t="shared" si="1"/>
        <v>13</v>
      </c>
      <c r="H26" s="420"/>
      <c r="I26" s="211"/>
      <c r="J26" s="211"/>
      <c r="K26" s="434"/>
      <c r="L26" s="275"/>
      <c r="M26" s="420"/>
      <c r="N26" s="278"/>
    </row>
    <row r="27" spans="1:14">
      <c r="A27" s="192">
        <f t="shared" si="0"/>
        <v>14</v>
      </c>
      <c r="B27" s="214"/>
      <c r="C27" s="435"/>
      <c r="D27" s="435"/>
      <c r="E27" s="932">
        <f t="shared" si="1"/>
        <v>14</v>
      </c>
      <c r="H27" s="278"/>
      <c r="I27" s="278"/>
      <c r="J27" s="278"/>
      <c r="K27" s="278"/>
      <c r="L27" s="278"/>
      <c r="M27" s="278"/>
      <c r="N27" s="278"/>
    </row>
    <row r="28" spans="1:14">
      <c r="A28" s="192">
        <f t="shared" si="0"/>
        <v>15</v>
      </c>
      <c r="B28" s="214" t="s">
        <v>46</v>
      </c>
      <c r="C28" s="436">
        <f>SUM(C14:C26)</f>
        <v>12354.485700000001</v>
      </c>
      <c r="D28" s="873" t="str">
        <f>"Sum Lines "&amp;A14&amp;" thru "&amp;A26</f>
        <v>Sum Lines 1 thru 13</v>
      </c>
      <c r="E28" s="932">
        <f t="shared" si="1"/>
        <v>15</v>
      </c>
      <c r="H28" s="278"/>
      <c r="I28" s="278"/>
      <c r="J28" s="278"/>
      <c r="K28" s="278"/>
      <c r="L28" s="278"/>
      <c r="M28" s="278"/>
      <c r="N28" s="278"/>
    </row>
    <row r="29" spans="1:14">
      <c r="A29" s="192">
        <f t="shared" si="0"/>
        <v>16</v>
      </c>
      <c r="B29" s="221"/>
      <c r="C29" s="437"/>
      <c r="D29" s="255"/>
      <c r="E29" s="932">
        <f t="shared" si="1"/>
        <v>16</v>
      </c>
    </row>
    <row r="30" spans="1:14">
      <c r="A30" s="192">
        <f t="shared" si="0"/>
        <v>17</v>
      </c>
      <c r="B30" s="214"/>
      <c r="C30" s="438"/>
      <c r="D30" s="439"/>
      <c r="E30" s="932">
        <f t="shared" si="1"/>
        <v>17</v>
      </c>
    </row>
    <row r="31" spans="1:14">
      <c r="A31" s="192">
        <f t="shared" si="0"/>
        <v>18</v>
      </c>
      <c r="B31" s="214" t="s">
        <v>125</v>
      </c>
      <c r="C31" s="377">
        <f>C28/13</f>
        <v>950.34505384615397</v>
      </c>
      <c r="D31" s="904" t="s">
        <v>461</v>
      </c>
      <c r="E31" s="932">
        <f t="shared" si="1"/>
        <v>18</v>
      </c>
    </row>
    <row r="32" spans="1:14">
      <c r="A32" s="192">
        <f t="shared" si="0"/>
        <v>19</v>
      </c>
      <c r="B32" s="221"/>
      <c r="C32" s="380"/>
      <c r="D32" s="380"/>
      <c r="E32" s="932">
        <f t="shared" si="1"/>
        <v>19</v>
      </c>
    </row>
    <row r="34" spans="2:2">
      <c r="B34" s="440"/>
    </row>
    <row r="35" spans="2:2">
      <c r="B35" s="440"/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/>
  </sheetViews>
  <sheetFormatPr defaultColWidth="9.140625" defaultRowHeight="15.75"/>
  <cols>
    <col min="1" max="1" width="5.140625" style="1354" customWidth="1"/>
    <col min="2" max="2" width="35.28515625" style="1355" customWidth="1"/>
    <col min="3" max="4" width="18.5703125" style="181" customWidth="1"/>
    <col min="5" max="5" width="18.5703125" style="1355" customWidth="1"/>
    <col min="6" max="6" width="62.5703125" style="1355" customWidth="1"/>
    <col min="7" max="7" width="5.140625" style="1354" customWidth="1"/>
    <col min="8" max="8" width="24" style="1355" customWidth="1"/>
    <col min="9" max="9" width="11" style="1355" customWidth="1"/>
    <col min="10" max="10" width="7.28515625" style="1355" customWidth="1"/>
    <col min="11" max="11" width="9.28515625" style="1355" customWidth="1"/>
    <col min="12" max="12" width="14" style="1355" customWidth="1"/>
    <col min="13" max="13" width="13.42578125" style="1355" customWidth="1"/>
    <col min="14" max="16384" width="9.140625" style="1355"/>
  </cols>
  <sheetData>
    <row r="2" spans="1:8">
      <c r="B2" s="1635" t="s">
        <v>18</v>
      </c>
      <c r="C2" s="1635"/>
      <c r="D2" s="1635"/>
      <c r="E2" s="1635"/>
      <c r="F2" s="1635"/>
    </row>
    <row r="3" spans="1:8">
      <c r="B3" s="1635" t="s">
        <v>121</v>
      </c>
      <c r="C3" s="1635"/>
      <c r="D3" s="1635"/>
      <c r="E3" s="1635"/>
      <c r="F3" s="1635"/>
    </row>
    <row r="4" spans="1:8">
      <c r="B4" s="1635" t="s">
        <v>122</v>
      </c>
      <c r="C4" s="1635"/>
      <c r="D4" s="1635"/>
      <c r="E4" s="1635"/>
      <c r="F4" s="1635"/>
    </row>
    <row r="5" spans="1:8">
      <c r="B5" s="1650" t="str">
        <f>"BASE PERIOD / TRUE UP PERIOD - 12/31/"&amp;Automation!$B$6</f>
        <v>BASE PERIOD / TRUE UP PERIOD - 12/31/2018</v>
      </c>
      <c r="C5" s="1650"/>
      <c r="D5" s="1650"/>
      <c r="E5" s="1650"/>
      <c r="F5" s="1650"/>
    </row>
    <row r="6" spans="1:8">
      <c r="B6" s="1651" t="s">
        <v>3</v>
      </c>
      <c r="C6" s="1651"/>
      <c r="D6" s="1651"/>
      <c r="E6" s="1651"/>
      <c r="F6" s="1651"/>
    </row>
    <row r="8" spans="1:8">
      <c r="B8" s="184"/>
      <c r="C8" s="1377" t="s">
        <v>5</v>
      </c>
      <c r="D8" s="1378" t="s">
        <v>6</v>
      </c>
      <c r="E8" s="1378" t="s">
        <v>879</v>
      </c>
      <c r="F8" s="256"/>
    </row>
    <row r="9" spans="1:8">
      <c r="A9" s="1357"/>
      <c r="B9" s="187"/>
      <c r="C9" s="195" t="s">
        <v>142</v>
      </c>
      <c r="D9" s="195" t="s">
        <v>854</v>
      </c>
      <c r="E9" s="195" t="s">
        <v>855</v>
      </c>
      <c r="F9" s="897"/>
      <c r="G9" s="1357"/>
    </row>
    <row r="10" spans="1:8">
      <c r="A10" s="1357" t="s">
        <v>4</v>
      </c>
      <c r="B10" s="187" t="s">
        <v>856</v>
      </c>
      <c r="C10" s="195" t="s">
        <v>128</v>
      </c>
      <c r="D10" s="195" t="s">
        <v>128</v>
      </c>
      <c r="E10" s="195" t="s">
        <v>128</v>
      </c>
      <c r="F10" s="1379"/>
      <c r="G10" s="1357" t="s">
        <v>4</v>
      </c>
    </row>
    <row r="11" spans="1:8">
      <c r="A11" s="277" t="s">
        <v>25</v>
      </c>
      <c r="B11" s="196" t="s">
        <v>72</v>
      </c>
      <c r="C11" s="199" t="s">
        <v>857</v>
      </c>
      <c r="D11" s="196" t="s">
        <v>857</v>
      </c>
      <c r="E11" s="199" t="s">
        <v>857</v>
      </c>
      <c r="F11" s="196" t="s">
        <v>9</v>
      </c>
      <c r="G11" s="277" t="s">
        <v>25</v>
      </c>
    </row>
    <row r="12" spans="1:8">
      <c r="A12" s="1357">
        <v>1</v>
      </c>
      <c r="B12" s="1380"/>
      <c r="C12" s="1381">
        <v>0</v>
      </c>
      <c r="D12" s="1381">
        <f>E12-C12</f>
        <v>0</v>
      </c>
      <c r="E12" s="1382">
        <v>0</v>
      </c>
      <c r="F12" s="1383" t="s">
        <v>858</v>
      </c>
      <c r="G12" s="1357">
        <f>A12</f>
        <v>1</v>
      </c>
    </row>
    <row r="13" spans="1:8">
      <c r="A13" s="1357">
        <f>A12+1</f>
        <v>2</v>
      </c>
      <c r="B13" s="200"/>
      <c r="C13" s="327">
        <v>0</v>
      </c>
      <c r="D13" s="327">
        <v>0</v>
      </c>
      <c r="E13" s="328">
        <v>0</v>
      </c>
      <c r="F13" s="904"/>
      <c r="G13" s="1357">
        <f>G12+1</f>
        <v>2</v>
      </c>
      <c r="H13" s="242"/>
    </row>
    <row r="14" spans="1:8">
      <c r="A14" s="1357">
        <f t="shared" ref="A14:A17" si="0">A13+1</f>
        <v>3</v>
      </c>
      <c r="B14" s="1384"/>
      <c r="C14" s="255">
        <v>0</v>
      </c>
      <c r="D14" s="255">
        <v>0</v>
      </c>
      <c r="E14" s="255">
        <v>0</v>
      </c>
      <c r="F14" s="1384"/>
      <c r="G14" s="1357">
        <f t="shared" ref="G14:G17" si="1">G13+1</f>
        <v>3</v>
      </c>
    </row>
    <row r="15" spans="1:8">
      <c r="A15" s="1357">
        <f t="shared" si="0"/>
        <v>4</v>
      </c>
      <c r="B15" s="214"/>
      <c r="C15" s="248"/>
      <c r="D15" s="248"/>
      <c r="E15" s="248"/>
      <c r="F15" s="894"/>
      <c r="G15" s="1357">
        <f t="shared" si="1"/>
        <v>4</v>
      </c>
    </row>
    <row r="16" spans="1:8">
      <c r="A16" s="1357">
        <f t="shared" si="0"/>
        <v>5</v>
      </c>
      <c r="B16" s="214" t="s">
        <v>31</v>
      </c>
      <c r="C16" s="219">
        <f>SUM(C12:C14)</f>
        <v>0</v>
      </c>
      <c r="D16" s="219">
        <f>SUM(D12:D14)</f>
        <v>0</v>
      </c>
      <c r="E16" s="219">
        <f>SUM(E12:E14)</f>
        <v>0</v>
      </c>
      <c r="F16" s="885" t="str">
        <f>"Sum Lines "&amp;A12&amp;" thru "&amp;A14</f>
        <v>Sum Lines 1 thru 3</v>
      </c>
      <c r="G16" s="1357">
        <f t="shared" si="1"/>
        <v>5</v>
      </c>
    </row>
    <row r="17" spans="1:7">
      <c r="A17" s="1357">
        <f t="shared" si="0"/>
        <v>6</v>
      </c>
      <c r="B17" s="221"/>
      <c r="C17" s="222"/>
      <c r="D17" s="222"/>
      <c r="E17" s="222"/>
      <c r="F17" s="380"/>
      <c r="G17" s="1357">
        <f t="shared" si="1"/>
        <v>6</v>
      </c>
    </row>
    <row r="18" spans="1:7">
      <c r="A18" s="1357"/>
      <c r="B18" s="211"/>
      <c r="C18" s="744"/>
      <c r="D18" s="744"/>
      <c r="E18" s="744"/>
      <c r="F18" s="744"/>
      <c r="G18" s="1357"/>
    </row>
    <row r="19" spans="1:7">
      <c r="A19" s="1357"/>
      <c r="B19" s="211"/>
      <c r="C19" s="744"/>
      <c r="D19" s="744"/>
      <c r="E19" s="744"/>
      <c r="F19" s="744"/>
    </row>
    <row r="20" spans="1:7" ht="18.75">
      <c r="A20" s="231"/>
      <c r="B20" s="1385"/>
      <c r="C20" s="744"/>
      <c r="D20" s="744"/>
      <c r="E20" s="744"/>
      <c r="F20" s="744"/>
    </row>
    <row r="21" spans="1:7">
      <c r="B21" s="211"/>
      <c r="C21" s="744"/>
      <c r="D21" s="744"/>
      <c r="E21" s="744"/>
      <c r="F21" s="744"/>
    </row>
    <row r="22" spans="1:7">
      <c r="B22" s="298"/>
      <c r="C22" s="1386"/>
      <c r="D22" s="1386"/>
      <c r="E22" s="1386"/>
      <c r="F22" s="253"/>
      <c r="G22" s="988"/>
    </row>
    <row r="23" spans="1:7">
      <c r="B23" s="1356"/>
      <c r="C23" s="253"/>
      <c r="D23" s="1355"/>
      <c r="F23" s="253"/>
      <c r="G23" s="988"/>
    </row>
    <row r="24" spans="1:7">
      <c r="C24" s="253"/>
      <c r="D24" s="253"/>
      <c r="E24" s="253"/>
      <c r="F24" s="253"/>
      <c r="G24" s="988"/>
    </row>
    <row r="25" spans="1:7">
      <c r="C25" s="254"/>
      <c r="D25" s="254"/>
      <c r="E25" s="242"/>
      <c r="F25" s="242"/>
      <c r="G25" s="988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0"/>
  <sheetViews>
    <sheetView zoomScale="80" zoomScaleNormal="80" zoomScalePageLayoutView="80" workbookViewId="0"/>
  </sheetViews>
  <sheetFormatPr defaultColWidth="8.85546875" defaultRowHeight="15.75"/>
  <cols>
    <col min="1" max="1" width="5.28515625" style="600" bestFit="1" customWidth="1"/>
    <col min="2" max="2" width="80.5703125" style="408" customWidth="1"/>
    <col min="3" max="3" width="21.140625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53.85546875" style="775" customWidth="1"/>
    <col min="8" max="8" width="5.140625" style="408" customWidth="1"/>
    <col min="9" max="9" width="8.85546875" style="408"/>
    <col min="10" max="10" width="20.42578125" style="408" bestFit="1" customWidth="1"/>
    <col min="11" max="16384" width="8.85546875" style="408"/>
  </cols>
  <sheetData>
    <row r="1" spans="1:8">
      <c r="A1" s="596"/>
      <c r="G1" s="766"/>
      <c r="H1" s="596"/>
    </row>
    <row r="2" spans="1:8">
      <c r="B2" s="1643" t="s">
        <v>18</v>
      </c>
      <c r="C2" s="1643"/>
      <c r="D2" s="1643"/>
      <c r="E2" s="1643"/>
      <c r="F2" s="1643"/>
      <c r="G2" s="1628"/>
      <c r="H2" s="600"/>
    </row>
    <row r="3" spans="1:8">
      <c r="B3" s="1643" t="s">
        <v>126</v>
      </c>
      <c r="C3" s="1643"/>
      <c r="D3" s="1643"/>
      <c r="E3" s="1643"/>
      <c r="F3" s="1643"/>
      <c r="G3" s="1628"/>
      <c r="H3" s="600"/>
    </row>
    <row r="4" spans="1:8">
      <c r="B4" s="1643" t="s">
        <v>127</v>
      </c>
      <c r="C4" s="1643"/>
      <c r="D4" s="1643"/>
      <c r="E4" s="1643"/>
      <c r="F4" s="1643"/>
      <c r="G4" s="1628"/>
      <c r="H4" s="600"/>
    </row>
    <row r="5" spans="1:8">
      <c r="B5" s="1644" t="str">
        <f>'A. Sec.1 - Direct Maintenance'!B5</f>
        <v>Base Period &amp; True-Up Period 12 - Months Ending December 31, 2018</v>
      </c>
      <c r="C5" s="1644"/>
      <c r="D5" s="1644"/>
      <c r="E5" s="1644"/>
      <c r="F5" s="1644"/>
      <c r="G5" s="1644"/>
      <c r="H5" s="600"/>
    </row>
    <row r="6" spans="1:8">
      <c r="B6" s="1645" t="s">
        <v>3</v>
      </c>
      <c r="C6" s="1646"/>
      <c r="D6" s="1646"/>
      <c r="E6" s="1646"/>
      <c r="F6" s="1646"/>
      <c r="G6" s="1646"/>
      <c r="H6" s="600"/>
    </row>
    <row r="7" spans="1:8">
      <c r="B7" s="596"/>
      <c r="C7" s="596"/>
      <c r="D7" s="596"/>
      <c r="E7" s="767"/>
      <c r="F7" s="767"/>
      <c r="G7" s="766"/>
      <c r="H7" s="600"/>
    </row>
    <row r="8" spans="1:8">
      <c r="A8" s="600" t="s">
        <v>4</v>
      </c>
      <c r="B8" s="1202"/>
      <c r="C8" s="596" t="s">
        <v>511</v>
      </c>
      <c r="D8" s="1202"/>
      <c r="E8" s="768"/>
      <c r="F8" s="768"/>
      <c r="G8" s="766"/>
      <c r="H8" s="600" t="s">
        <v>4</v>
      </c>
    </row>
    <row r="9" spans="1:8">
      <c r="A9" s="703" t="s">
        <v>25</v>
      </c>
      <c r="C9" s="598" t="s">
        <v>512</v>
      </c>
      <c r="D9" s="1202"/>
      <c r="E9" s="679" t="s">
        <v>128</v>
      </c>
      <c r="F9" s="768"/>
      <c r="G9" s="769" t="s">
        <v>9</v>
      </c>
      <c r="H9" s="703" t="s">
        <v>25</v>
      </c>
    </row>
    <row r="10" spans="1:8">
      <c r="A10" s="703"/>
      <c r="C10" s="1202"/>
      <c r="D10" s="1202"/>
      <c r="E10" s="770"/>
      <c r="F10" s="770"/>
      <c r="G10" s="771"/>
      <c r="H10" s="703"/>
    </row>
    <row r="11" spans="1:8">
      <c r="A11" s="596">
        <v>1</v>
      </c>
      <c r="B11" s="26" t="s">
        <v>538</v>
      </c>
      <c r="C11" s="1202"/>
      <c r="D11" s="1202"/>
      <c r="E11" s="770"/>
      <c r="F11" s="770"/>
      <c r="G11" s="771"/>
      <c r="H11" s="703">
        <f>A11</f>
        <v>1</v>
      </c>
    </row>
    <row r="12" spans="1:8">
      <c r="A12" s="596">
        <f>+A11+1</f>
        <v>2</v>
      </c>
      <c r="B12" s="107" t="s">
        <v>281</v>
      </c>
      <c r="C12" s="1202"/>
      <c r="D12" s="1202"/>
      <c r="E12" s="724">
        <f>'AH-1'!D56</f>
        <v>0</v>
      </c>
      <c r="F12" s="770"/>
      <c r="G12" s="771" t="str">
        <f>"AH-1; Line "&amp;'AH-1'!A56</f>
        <v>AH-1; Line 48</v>
      </c>
      <c r="H12" s="703">
        <f>H11+1</f>
        <v>2</v>
      </c>
    </row>
    <row r="13" spans="1:8">
      <c r="A13" s="596">
        <f t="shared" ref="A13:A66" si="0">+A12+1</f>
        <v>3</v>
      </c>
      <c r="C13" s="1202"/>
      <c r="D13" s="1202"/>
      <c r="E13" s="770"/>
      <c r="F13" s="770"/>
      <c r="G13" s="771"/>
      <c r="H13" s="703">
        <f t="shared" ref="H13:H66" si="1">H12+1</f>
        <v>3</v>
      </c>
    </row>
    <row r="14" spans="1:8">
      <c r="A14" s="596">
        <f t="shared" si="0"/>
        <v>4</v>
      </c>
      <c r="B14" s="26" t="s">
        <v>539</v>
      </c>
      <c r="G14" s="766"/>
      <c r="H14" s="703">
        <f t="shared" si="1"/>
        <v>4</v>
      </c>
    </row>
    <row r="15" spans="1:8">
      <c r="A15" s="596">
        <f t="shared" si="0"/>
        <v>5</v>
      </c>
      <c r="B15" s="94" t="s">
        <v>597</v>
      </c>
      <c r="C15" s="833"/>
      <c r="E15" s="724">
        <f>'AH-2'!D47</f>
        <v>88575.244999999995</v>
      </c>
      <c r="G15" s="766" t="str">
        <f>"AH-2; Line "&amp;'AH-2'!A47&amp;"; Col. a"</f>
        <v>AH-2; Line 37; Col. a</v>
      </c>
      <c r="H15" s="703">
        <f t="shared" si="1"/>
        <v>5</v>
      </c>
    </row>
    <row r="16" spans="1:8">
      <c r="A16" s="596">
        <f t="shared" si="0"/>
        <v>6</v>
      </c>
      <c r="B16" s="8" t="s">
        <v>598</v>
      </c>
      <c r="E16" s="643"/>
      <c r="G16" s="766"/>
      <c r="H16" s="703">
        <f t="shared" si="1"/>
        <v>6</v>
      </c>
    </row>
    <row r="17" spans="1:10">
      <c r="A17" s="596">
        <f t="shared" si="0"/>
        <v>7</v>
      </c>
      <c r="B17" s="94" t="s">
        <v>901</v>
      </c>
      <c r="C17" s="600"/>
      <c r="D17" s="678"/>
      <c r="E17" s="602">
        <f>-'AH-2'!E51</f>
        <v>-5877.8884600000001</v>
      </c>
      <c r="G17" s="766" t="str">
        <f>"Negative of AH-2; Line "&amp;'AH-2'!A51&amp;"; Col. b"</f>
        <v>Negative of AH-2; Line 41; Col. b</v>
      </c>
      <c r="H17" s="703">
        <f t="shared" si="1"/>
        <v>7</v>
      </c>
    </row>
    <row r="18" spans="1:10">
      <c r="A18" s="596">
        <f t="shared" si="0"/>
        <v>8</v>
      </c>
      <c r="B18" s="94" t="s">
        <v>902</v>
      </c>
      <c r="C18" s="678"/>
      <c r="E18" s="602">
        <f>-'AH-2'!E52</f>
        <v>-2718.2313100000001</v>
      </c>
      <c r="G18" s="766" t="str">
        <f>"Negative of AH-2; Line "&amp;'AH-2'!A52&amp;"; Col. b"</f>
        <v>Negative of AH-2; Line 42; Col. b</v>
      </c>
      <c r="H18" s="703">
        <f t="shared" si="1"/>
        <v>8</v>
      </c>
    </row>
    <row r="19" spans="1:10">
      <c r="A19" s="596">
        <f t="shared" si="0"/>
        <v>9</v>
      </c>
      <c r="B19" s="23" t="s">
        <v>903</v>
      </c>
      <c r="E19" s="602">
        <f>-'AH-2'!E53</f>
        <v>-8343</v>
      </c>
      <c r="G19" s="766" t="str">
        <f>"Negative of AH-2; Line "&amp;'AH-2'!A53&amp;"; Col. b"</f>
        <v>Negative of AH-2; Line 43; Col. b</v>
      </c>
      <c r="H19" s="703">
        <f t="shared" si="1"/>
        <v>9</v>
      </c>
    </row>
    <row r="20" spans="1:10">
      <c r="A20" s="596">
        <f t="shared" si="0"/>
        <v>10</v>
      </c>
      <c r="B20" s="23" t="s">
        <v>904</v>
      </c>
      <c r="E20" s="602">
        <f>-'AH-2'!E54</f>
        <v>-4406.2079999999996</v>
      </c>
      <c r="G20" s="766" t="str">
        <f>"Negative of AH-2; Line "&amp;'AH-2'!A54&amp;"; Col. b"</f>
        <v>Negative of AH-2; Line 44; Col. b</v>
      </c>
      <c r="H20" s="703">
        <f t="shared" si="1"/>
        <v>10</v>
      </c>
    </row>
    <row r="21" spans="1:10">
      <c r="A21" s="596">
        <f t="shared" si="0"/>
        <v>11</v>
      </c>
      <c r="B21" s="94" t="s">
        <v>906</v>
      </c>
      <c r="E21" s="602">
        <f>-'AH-2'!E55</f>
        <v>0</v>
      </c>
      <c r="G21" s="766" t="str">
        <f>"Negative of AH-2; Line "&amp;'AH-2'!A55&amp;"; Col. b"</f>
        <v>Negative of AH-2; Line 45; Col. b</v>
      </c>
      <c r="H21" s="703">
        <f t="shared" si="1"/>
        <v>11</v>
      </c>
    </row>
    <row r="22" spans="1:10">
      <c r="A22" s="596">
        <f t="shared" si="0"/>
        <v>12</v>
      </c>
      <c r="B22" s="94" t="s">
        <v>905</v>
      </c>
      <c r="E22" s="602">
        <f>-'AH-2'!E61</f>
        <v>-3045.7638999999999</v>
      </c>
      <c r="G22" s="766" t="str">
        <f>"Negative of AH-2; Line "&amp;'AH-2'!A61&amp;"; Col. b"</f>
        <v>Negative of AH-2; Line 51; Col. b</v>
      </c>
      <c r="H22" s="703">
        <f t="shared" si="1"/>
        <v>12</v>
      </c>
    </row>
    <row r="23" spans="1:10">
      <c r="A23" s="596">
        <f t="shared" si="0"/>
        <v>13</v>
      </c>
      <c r="B23" s="23" t="s">
        <v>907</v>
      </c>
      <c r="E23" s="602">
        <f>-'AH-2'!E62</f>
        <v>-14934.723</v>
      </c>
      <c r="G23" s="766" t="str">
        <f>"Negative of AH-2; Line "&amp;'AH-2'!A62&amp;"; Col. b"</f>
        <v>Negative of AH-2; Line 52; Col. b</v>
      </c>
      <c r="H23" s="703">
        <f t="shared" si="1"/>
        <v>13</v>
      </c>
    </row>
    <row r="24" spans="1:10">
      <c r="A24" s="596">
        <f t="shared" si="0"/>
        <v>14</v>
      </c>
      <c r="B24" s="23" t="s">
        <v>908</v>
      </c>
      <c r="E24" s="602">
        <f>-'AH-2'!E63</f>
        <v>-14791.550999999999</v>
      </c>
      <c r="G24" s="766" t="str">
        <f>"Negative of AH-2; Line "&amp;'AH-2'!A63&amp;"; Col. b"</f>
        <v>Negative of AH-2; Line 53; Col. b</v>
      </c>
      <c r="H24" s="703">
        <f t="shared" si="1"/>
        <v>14</v>
      </c>
    </row>
    <row r="25" spans="1:10">
      <c r="A25" s="596">
        <f t="shared" si="0"/>
        <v>15</v>
      </c>
      <c r="B25" s="23" t="s">
        <v>909</v>
      </c>
      <c r="E25" s="602">
        <f>-'AH-2'!E64</f>
        <v>-671.30499999999995</v>
      </c>
      <c r="G25" s="766" t="str">
        <f>"Negative of AH-2; Line "&amp;'AH-2'!A64&amp;"; Col. b"</f>
        <v>Negative of AH-2; Line 54; Col. b</v>
      </c>
      <c r="H25" s="703">
        <f t="shared" si="1"/>
        <v>15</v>
      </c>
    </row>
    <row r="26" spans="1:10">
      <c r="A26" s="596">
        <f t="shared" si="0"/>
        <v>16</v>
      </c>
      <c r="B26" s="94" t="s">
        <v>599</v>
      </c>
      <c r="E26" s="610">
        <v>0</v>
      </c>
      <c r="G26" s="766" t="str">
        <f>"Not Applicable to "&amp;Automation!$B$6&amp;" Base Period"</f>
        <v>Not Applicable to 2018 Base Period</v>
      </c>
      <c r="H26" s="703">
        <f t="shared" si="1"/>
        <v>16</v>
      </c>
    </row>
    <row r="27" spans="1:10">
      <c r="A27" s="596">
        <f t="shared" si="0"/>
        <v>17</v>
      </c>
      <c r="B27" s="4" t="s">
        <v>600</v>
      </c>
      <c r="E27" s="773">
        <f>SUM(E15:E26)</f>
        <v>33786.574329999996</v>
      </c>
      <c r="G27" s="774" t="str">
        <f>"Sum Lines "&amp;A15&amp;" thru "&amp;A26</f>
        <v>Sum Lines 5 thru 16</v>
      </c>
      <c r="H27" s="703">
        <f t="shared" si="1"/>
        <v>17</v>
      </c>
    </row>
    <row r="28" spans="1:10">
      <c r="A28" s="596">
        <f t="shared" si="0"/>
        <v>18</v>
      </c>
      <c r="E28" s="301"/>
      <c r="H28" s="703">
        <f t="shared" si="1"/>
        <v>18</v>
      </c>
    </row>
    <row r="29" spans="1:10">
      <c r="A29" s="596">
        <f t="shared" si="0"/>
        <v>19</v>
      </c>
      <c r="B29" s="27" t="s">
        <v>540</v>
      </c>
      <c r="C29" s="678"/>
      <c r="D29" s="678"/>
      <c r="E29" s="776"/>
      <c r="G29" s="766"/>
      <c r="H29" s="703">
        <f t="shared" si="1"/>
        <v>19</v>
      </c>
    </row>
    <row r="30" spans="1:10">
      <c r="A30" s="596">
        <f t="shared" si="0"/>
        <v>20</v>
      </c>
      <c r="B30" s="8" t="s">
        <v>601</v>
      </c>
      <c r="C30" s="833"/>
      <c r="D30" s="678"/>
      <c r="E30" s="724">
        <f>'AH-3'!D30</f>
        <v>477838.49032000004</v>
      </c>
      <c r="G30" s="766" t="str">
        <f>"AH-3; Line "&amp;'AH-3'!A30&amp;"; Col. a"</f>
        <v>AH-3; Line 20; Col. a</v>
      </c>
      <c r="H30" s="703">
        <f t="shared" si="1"/>
        <v>20</v>
      </c>
      <c r="I30" s="707"/>
    </row>
    <row r="31" spans="1:10">
      <c r="A31" s="596">
        <f t="shared" si="0"/>
        <v>21</v>
      </c>
      <c r="B31" s="8" t="s">
        <v>602</v>
      </c>
      <c r="C31" s="678"/>
      <c r="D31" s="678"/>
      <c r="E31" s="776" t="s">
        <v>10</v>
      </c>
      <c r="G31" s="766"/>
      <c r="H31" s="703">
        <f t="shared" si="1"/>
        <v>21</v>
      </c>
      <c r="I31" s="707"/>
    </row>
    <row r="32" spans="1:10">
      <c r="A32" s="596">
        <f t="shared" si="0"/>
        <v>22</v>
      </c>
      <c r="B32" s="24" t="s">
        <v>910</v>
      </c>
      <c r="E32" s="602">
        <f>-'AH-3'!D37</f>
        <v>0</v>
      </c>
      <c r="G32" s="787" t="str">
        <f>"Negative of AH-3; Line "&amp;'AH-3'!A37&amp;"; Col. a"</f>
        <v>Negative of AH-3; Line 27; Col. a</v>
      </c>
      <c r="H32" s="703">
        <f t="shared" si="1"/>
        <v>22</v>
      </c>
      <c r="I32" s="1272"/>
      <c r="J32" s="777"/>
    </row>
    <row r="33" spans="1:10" ht="15.6" customHeight="1">
      <c r="A33" s="596">
        <f t="shared" si="0"/>
        <v>23</v>
      </c>
      <c r="B33" s="25" t="s">
        <v>526</v>
      </c>
      <c r="C33" s="678"/>
      <c r="D33" s="678"/>
      <c r="E33" s="602">
        <f>-'AH-3'!D41</f>
        <v>0</v>
      </c>
      <c r="G33" s="787" t="str">
        <f>"Negative of AH-3; Line "&amp;'AH-3'!A41&amp;"; Col. a"</f>
        <v>Negative of AH-3; Line 31; Col. a</v>
      </c>
      <c r="H33" s="703">
        <f t="shared" si="1"/>
        <v>23</v>
      </c>
      <c r="I33" s="1272"/>
      <c r="J33" s="777"/>
    </row>
    <row r="34" spans="1:10">
      <c r="A34" s="596">
        <f t="shared" si="0"/>
        <v>24</v>
      </c>
      <c r="B34" s="24" t="s">
        <v>911</v>
      </c>
      <c r="C34" s="678"/>
      <c r="D34" s="678"/>
      <c r="E34" s="602">
        <f>-'AH-3'!D42</f>
        <v>-1333.8680300000003</v>
      </c>
      <c r="G34" s="787" t="str">
        <f>"Negative of AH-3; Line "&amp;'AH-3'!A42&amp;"; Col. a"</f>
        <v>Negative of AH-3; Line 32; Col. a</v>
      </c>
      <c r="H34" s="703">
        <f t="shared" si="1"/>
        <v>24</v>
      </c>
      <c r="I34" s="707"/>
    </row>
    <row r="35" spans="1:10">
      <c r="A35" s="596">
        <f t="shared" si="0"/>
        <v>25</v>
      </c>
      <c r="B35" s="24" t="s">
        <v>912</v>
      </c>
      <c r="C35" s="678"/>
      <c r="E35" s="602">
        <f>-'AH-3'!D43</f>
        <v>-8601.3346500000007</v>
      </c>
      <c r="G35" s="787" t="str">
        <f>"Negative of AH-3; Line "&amp;'AH-3'!A43&amp;"; Col. a"</f>
        <v>Negative of AH-3; Line 33; Col. a</v>
      </c>
      <c r="H35" s="703">
        <f t="shared" si="1"/>
        <v>25</v>
      </c>
      <c r="I35" s="707"/>
      <c r="J35" s="777"/>
    </row>
    <row r="36" spans="1:10">
      <c r="A36" s="596">
        <f t="shared" si="0"/>
        <v>26</v>
      </c>
      <c r="B36" s="24" t="s">
        <v>913</v>
      </c>
      <c r="C36" s="678"/>
      <c r="D36" s="678"/>
      <c r="E36" s="602">
        <f>-'AH-3'!D44</f>
        <v>-140.84690000000001</v>
      </c>
      <c r="G36" s="787" t="str">
        <f>"Negative of AH-3; Line "&amp;'AH-3'!A44&amp;"; Col. a"</f>
        <v>Negative of AH-3; Line 34; Col. a</v>
      </c>
      <c r="H36" s="703">
        <f t="shared" si="1"/>
        <v>26</v>
      </c>
      <c r="I36" s="1272"/>
    </row>
    <row r="37" spans="1:10">
      <c r="A37" s="596">
        <f t="shared" si="0"/>
        <v>27</v>
      </c>
      <c r="B37" s="24" t="s">
        <v>914</v>
      </c>
      <c r="C37" s="678"/>
      <c r="D37" s="678"/>
      <c r="E37" s="602">
        <f>-'AH-3'!E45</f>
        <v>-242.68352000000002</v>
      </c>
      <c r="G37" s="787" t="str">
        <f>"Negative of AH-3; Line "&amp;'AH-3'!A45&amp;"; Col. b"</f>
        <v>Negative of AH-3; Line 35; Col. b</v>
      </c>
      <c r="H37" s="703">
        <f t="shared" si="1"/>
        <v>27</v>
      </c>
      <c r="I37" s="1272"/>
      <c r="J37" s="777"/>
    </row>
    <row r="38" spans="1:10">
      <c r="A38" s="596">
        <f t="shared" si="0"/>
        <v>28</v>
      </c>
      <c r="B38" s="24" t="s">
        <v>915</v>
      </c>
      <c r="C38" s="678"/>
      <c r="D38" s="678"/>
      <c r="E38" s="602">
        <f>-('AH-3'!D36+'AH-3'!E38+'AH-3'!D40+'AH-3'!D46)</f>
        <v>-446.61920875499993</v>
      </c>
      <c r="G38" s="1607" t="str">
        <f>"Negative of AH-3; Sum Lines "&amp;'AH-3'!A36&amp;", "&amp;'AH-3'!A38&amp;", "&amp;'AH-3'!A40&amp;", "&amp;'AH-3'!A46&amp;"; Col. a or b"</f>
        <v>Negative of AH-3; Sum Lines 26, 28, 30, 36; Col. a or b</v>
      </c>
      <c r="H38" s="703">
        <f t="shared" si="1"/>
        <v>28</v>
      </c>
      <c r="I38" s="707"/>
    </row>
    <row r="39" spans="1:10">
      <c r="A39" s="596">
        <f t="shared" si="0"/>
        <v>29</v>
      </c>
      <c r="B39" s="24" t="s">
        <v>916</v>
      </c>
      <c r="E39" s="602">
        <f>-'AH-3'!E48</f>
        <v>-65.000791141999997</v>
      </c>
      <c r="G39" s="787" t="str">
        <f>"Negative of AH-3; Line "&amp;'AH-3'!A48&amp;"; Col. b"</f>
        <v>Negative of AH-3; Line 38; Col. b</v>
      </c>
      <c r="H39" s="703">
        <f t="shared" si="1"/>
        <v>29</v>
      </c>
      <c r="I39" s="707"/>
    </row>
    <row r="40" spans="1:10">
      <c r="A40" s="596">
        <f t="shared" si="0"/>
        <v>30</v>
      </c>
      <c r="B40" s="24" t="s">
        <v>917</v>
      </c>
      <c r="C40" s="678"/>
      <c r="D40" s="678"/>
      <c r="E40" s="603">
        <f>-'AH-3'!E34-'AH-3'!E35-'AH-3'!E39-'AH-3'!D47</f>
        <v>-134312.73308000001</v>
      </c>
      <c r="G40" s="787" t="str">
        <f>"Negative of AH-3; Sum Lines "&amp;'AH-3'!A34&amp;", "&amp;'AH-3'!A35&amp;", "&amp;'AH-3'!A39&amp;", "&amp;'AH-3'!A47&amp;"; Col. a or b"</f>
        <v>Negative of AH-3; Sum Lines 24, 25, 29, 37; Col. a or b</v>
      </c>
      <c r="H40" s="703">
        <f t="shared" si="1"/>
        <v>30</v>
      </c>
      <c r="I40" s="707"/>
    </row>
    <row r="41" spans="1:10">
      <c r="A41" s="596">
        <f t="shared" si="0"/>
        <v>31</v>
      </c>
      <c r="B41" s="8" t="s">
        <v>604</v>
      </c>
      <c r="C41" s="678"/>
      <c r="E41" s="779">
        <f>SUM(E30:E40)</f>
        <v>332695.40414010303</v>
      </c>
      <c r="G41" s="766" t="str">
        <f>"Sum Lines "&amp;A30&amp;" thru "&amp;A40</f>
        <v>Sum Lines 20 thru 30</v>
      </c>
      <c r="H41" s="703">
        <f t="shared" si="1"/>
        <v>31</v>
      </c>
      <c r="I41" s="707"/>
    </row>
    <row r="42" spans="1:10">
      <c r="A42" s="596">
        <f t="shared" si="0"/>
        <v>32</v>
      </c>
      <c r="B42" s="8" t="s">
        <v>607</v>
      </c>
      <c r="C42" s="678"/>
      <c r="E42" s="603">
        <f>-'AH-3'!F15</f>
        <v>-5523.0058700000009</v>
      </c>
      <c r="G42" s="766" t="str">
        <f>"Negative of AH-3; Line "&amp;'AH-3'!A15&amp;"; Col. c"</f>
        <v>Negative of AH-3; Line 5; Col. c</v>
      </c>
      <c r="H42" s="703">
        <f t="shared" si="1"/>
        <v>32</v>
      </c>
      <c r="I42" s="707"/>
    </row>
    <row r="43" spans="1:10">
      <c r="A43" s="596">
        <f t="shared" si="0"/>
        <v>33</v>
      </c>
      <c r="B43" s="8" t="s">
        <v>603</v>
      </c>
      <c r="C43" s="678"/>
      <c r="E43" s="779">
        <f>SUM(E41:E42)</f>
        <v>327172.39827010303</v>
      </c>
      <c r="G43" s="766" t="str">
        <f>"Line "&amp;A41&amp;" + Line "&amp;A42</f>
        <v>Line 31 + Line 32</v>
      </c>
      <c r="H43" s="703">
        <f t="shared" si="1"/>
        <v>33</v>
      </c>
    </row>
    <row r="44" spans="1:10">
      <c r="A44" s="596">
        <f t="shared" si="0"/>
        <v>34</v>
      </c>
      <c r="B44" s="4" t="s">
        <v>12</v>
      </c>
      <c r="C44" s="678"/>
      <c r="D44" s="678"/>
      <c r="E44" s="780">
        <f>'Stmt AI'!E27</f>
        <v>0.10079320306870226</v>
      </c>
      <c r="G44" s="774" t="str">
        <f>"Statement AI; Line "&amp;'Stmt AI'!A27</f>
        <v>Statement AI; Line 17</v>
      </c>
      <c r="H44" s="703">
        <f t="shared" si="1"/>
        <v>34</v>
      </c>
    </row>
    <row r="45" spans="1:10">
      <c r="A45" s="596">
        <f t="shared" si="0"/>
        <v>35</v>
      </c>
      <c r="B45" s="8" t="s">
        <v>605</v>
      </c>
      <c r="C45" s="678"/>
      <c r="D45" s="678"/>
      <c r="E45" s="781">
        <f>E43*E44</f>
        <v>32976.75397731283</v>
      </c>
      <c r="G45" s="766" t="str">
        <f>"Line "&amp;A43&amp;" x Line "&amp;A44</f>
        <v>Line 33 x Line 34</v>
      </c>
      <c r="H45" s="703">
        <f t="shared" si="1"/>
        <v>35</v>
      </c>
    </row>
    <row r="46" spans="1:10">
      <c r="A46" s="596">
        <f t="shared" si="0"/>
        <v>36</v>
      </c>
      <c r="B46" s="707" t="s">
        <v>139</v>
      </c>
      <c r="C46" s="678"/>
      <c r="D46" s="678"/>
      <c r="E46" s="782">
        <f>E66*(-E42)</f>
        <v>2171.4326929738986</v>
      </c>
      <c r="G46" s="766" t="str">
        <f>"Negative of Line "&amp;A42&amp;" x Line "&amp;A66</f>
        <v>Negative of Line 32 x Line 56</v>
      </c>
      <c r="H46" s="703">
        <f t="shared" si="1"/>
        <v>36</v>
      </c>
    </row>
    <row r="47" spans="1:10" ht="16.5" thickBot="1">
      <c r="A47" s="596">
        <f t="shared" si="0"/>
        <v>37</v>
      </c>
      <c r="B47" s="778" t="s">
        <v>606</v>
      </c>
      <c r="C47" s="678"/>
      <c r="D47" s="678"/>
      <c r="E47" s="801">
        <f>E46+E45</f>
        <v>35148.186670286726</v>
      </c>
      <c r="G47" s="766" t="str">
        <f>"Line "&amp;A45&amp;" + Line "&amp;A46</f>
        <v>Line 35 + Line 36</v>
      </c>
      <c r="H47" s="703">
        <f t="shared" si="1"/>
        <v>37</v>
      </c>
      <c r="I47" s="714"/>
    </row>
    <row r="48" spans="1:10" ht="16.5" thickTop="1">
      <c r="A48" s="596">
        <f t="shared" si="0"/>
        <v>38</v>
      </c>
      <c r="B48" s="783"/>
      <c r="C48" s="678"/>
      <c r="D48" s="678"/>
      <c r="E48" s="784"/>
      <c r="G48" s="766"/>
      <c r="H48" s="703">
        <f t="shared" si="1"/>
        <v>38</v>
      </c>
    </row>
    <row r="49" spans="1:9">
      <c r="A49" s="596">
        <f t="shared" si="0"/>
        <v>39</v>
      </c>
      <c r="B49" s="9" t="s">
        <v>129</v>
      </c>
      <c r="C49" s="678"/>
      <c r="D49" s="678"/>
      <c r="E49" s="785"/>
      <c r="G49" s="766"/>
      <c r="H49" s="703">
        <f t="shared" si="1"/>
        <v>39</v>
      </c>
    </row>
    <row r="50" spans="1:9">
      <c r="A50" s="596">
        <f t="shared" si="0"/>
        <v>40</v>
      </c>
      <c r="B50" s="8" t="s">
        <v>952</v>
      </c>
      <c r="C50" s="678"/>
      <c r="D50" s="678"/>
      <c r="E50" s="786">
        <f>'Stmt AD'!I35</f>
        <v>5678390.0500223078</v>
      </c>
      <c r="G50" s="787" t="str">
        <f>"Statement AD; Line "&amp;'Stmt AD'!A35</f>
        <v>Statement AD; Line 25</v>
      </c>
      <c r="H50" s="703">
        <f t="shared" si="1"/>
        <v>40</v>
      </c>
    </row>
    <row r="51" spans="1:9">
      <c r="A51" s="596">
        <f t="shared" si="0"/>
        <v>41</v>
      </c>
      <c r="B51" s="8" t="s">
        <v>13</v>
      </c>
      <c r="C51" s="678"/>
      <c r="D51" s="678"/>
      <c r="E51" s="788">
        <v>0</v>
      </c>
      <c r="G51" s="787" t="s">
        <v>130</v>
      </c>
      <c r="H51" s="703">
        <f t="shared" si="1"/>
        <v>41</v>
      </c>
    </row>
    <row r="52" spans="1:9">
      <c r="A52" s="596">
        <f t="shared" si="0"/>
        <v>42</v>
      </c>
      <c r="B52" s="8" t="s">
        <v>14</v>
      </c>
      <c r="C52" s="678"/>
      <c r="D52" s="678"/>
      <c r="E52" s="789">
        <f>'Stmt AD'!I39</f>
        <v>40941.349529324259</v>
      </c>
      <c r="G52" s="790" t="str">
        <f>"Statement AD; Line "&amp;'Stmt AD'!A39</f>
        <v>Statement AD; Line 29</v>
      </c>
      <c r="H52" s="703">
        <f t="shared" si="1"/>
        <v>42</v>
      </c>
    </row>
    <row r="53" spans="1:9">
      <c r="A53" s="596">
        <f t="shared" si="0"/>
        <v>43</v>
      </c>
      <c r="B53" s="8" t="s">
        <v>15</v>
      </c>
      <c r="C53" s="678"/>
      <c r="D53" s="678"/>
      <c r="E53" s="791">
        <f>'Stmt AD'!I41</f>
        <v>92197.606041814492</v>
      </c>
      <c r="G53" s="790" t="str">
        <f>"Statement AD; Line "&amp;'Stmt AD'!A41</f>
        <v>Statement AD; Line 31</v>
      </c>
      <c r="H53" s="703">
        <f t="shared" si="1"/>
        <v>43</v>
      </c>
    </row>
    <row r="54" spans="1:9" ht="16.5" thickBot="1">
      <c r="A54" s="596">
        <f t="shared" si="0"/>
        <v>44</v>
      </c>
      <c r="B54" s="8" t="s">
        <v>131</v>
      </c>
      <c r="C54" s="678"/>
      <c r="D54" s="678"/>
      <c r="E54" s="792">
        <f>SUM(E50:E53)</f>
        <v>5811529.0055934461</v>
      </c>
      <c r="G54" s="766" t="str">
        <f>"Sum Lines "&amp;A50&amp;" thru "&amp;A53</f>
        <v>Sum Lines 40 thru 43</v>
      </c>
      <c r="H54" s="703">
        <f t="shared" si="1"/>
        <v>44</v>
      </c>
      <c r="I54" s="714"/>
    </row>
    <row r="55" spans="1:9" ht="16.5" thickTop="1">
      <c r="A55" s="596">
        <f t="shared" si="0"/>
        <v>45</v>
      </c>
      <c r="B55" s="783"/>
      <c r="C55" s="678"/>
      <c r="D55" s="678"/>
      <c r="E55" s="301"/>
      <c r="G55" s="766"/>
      <c r="H55" s="703">
        <f t="shared" si="1"/>
        <v>45</v>
      </c>
    </row>
    <row r="56" spans="1:9">
      <c r="A56" s="596">
        <f t="shared" si="0"/>
        <v>46</v>
      </c>
      <c r="B56" s="8" t="s">
        <v>935</v>
      </c>
      <c r="C56" s="678"/>
      <c r="D56" s="678"/>
      <c r="E56" s="793">
        <f>E50</f>
        <v>5678390.0500223078</v>
      </c>
      <c r="G56" s="624" t="str">
        <f>"Line "&amp;A50&amp;" Above"</f>
        <v>Line 40 Above</v>
      </c>
      <c r="H56" s="703">
        <f t="shared" si="1"/>
        <v>46</v>
      </c>
    </row>
    <row r="57" spans="1:9">
      <c r="A57" s="596">
        <f t="shared" si="0"/>
        <v>47</v>
      </c>
      <c r="B57" s="8" t="s">
        <v>132</v>
      </c>
      <c r="C57" s="678"/>
      <c r="D57" s="678"/>
      <c r="E57" s="794">
        <f>'Stmt AD'!I11</f>
        <v>545863.13696307701</v>
      </c>
      <c r="G57" s="790" t="str">
        <f>"Statement AD; Line "&amp;'Stmt AD'!A11</f>
        <v>Statement AD; Line 1</v>
      </c>
      <c r="H57" s="703">
        <f t="shared" si="1"/>
        <v>47</v>
      </c>
    </row>
    <row r="58" spans="1:9">
      <c r="A58" s="596">
        <f t="shared" si="0"/>
        <v>48</v>
      </c>
      <c r="B58" s="8" t="s">
        <v>133</v>
      </c>
      <c r="C58" s="678"/>
      <c r="D58" s="678"/>
      <c r="E58" s="788">
        <v>0</v>
      </c>
      <c r="G58" s="787" t="s">
        <v>130</v>
      </c>
      <c r="H58" s="703">
        <f t="shared" si="1"/>
        <v>48</v>
      </c>
    </row>
    <row r="59" spans="1:9">
      <c r="A59" s="596">
        <f t="shared" si="0"/>
        <v>49</v>
      </c>
      <c r="B59" s="8" t="s">
        <v>134</v>
      </c>
      <c r="C59" s="678"/>
      <c r="D59" s="678"/>
      <c r="E59" s="794">
        <f>'Stmt AD'!I17</f>
        <v>518972.08884384617</v>
      </c>
      <c r="G59" s="790" t="str">
        <f>"Statement AD; Line "&amp;'Stmt AD'!A17</f>
        <v>Statement AD; Line 7</v>
      </c>
      <c r="H59" s="703">
        <f t="shared" si="1"/>
        <v>49</v>
      </c>
    </row>
    <row r="60" spans="1:9">
      <c r="A60" s="596">
        <f t="shared" si="0"/>
        <v>50</v>
      </c>
      <c r="B60" s="8" t="s">
        <v>135</v>
      </c>
      <c r="C60" s="678"/>
      <c r="D60" s="678"/>
      <c r="E60" s="794">
        <f>'Stmt AD'!I19</f>
        <v>6717397.8952500001</v>
      </c>
      <c r="G60" s="790" t="str">
        <f>"Statement AD; Line "&amp;'Stmt AD'!A19</f>
        <v>Statement AD; Line 9</v>
      </c>
      <c r="H60" s="703">
        <f t="shared" si="1"/>
        <v>50</v>
      </c>
    </row>
    <row r="61" spans="1:9">
      <c r="A61" s="596">
        <f t="shared" si="0"/>
        <v>51</v>
      </c>
      <c r="B61" s="778" t="s">
        <v>13</v>
      </c>
      <c r="C61" s="678"/>
      <c r="D61" s="678"/>
      <c r="E61" s="788">
        <v>0</v>
      </c>
      <c r="G61" s="787" t="s">
        <v>130</v>
      </c>
      <c r="H61" s="703">
        <f t="shared" si="1"/>
        <v>51</v>
      </c>
    </row>
    <row r="62" spans="1:9">
      <c r="A62" s="596">
        <f t="shared" si="0"/>
        <v>52</v>
      </c>
      <c r="B62" s="8" t="s">
        <v>136</v>
      </c>
      <c r="C62" s="678"/>
      <c r="D62" s="678"/>
      <c r="E62" s="794">
        <f>'Stmt AD'!I27</f>
        <v>406191.57128500001</v>
      </c>
      <c r="G62" s="790" t="str">
        <f>"Statement AD; Line "&amp;'Stmt AD'!A27</f>
        <v>Statement AD; Line 17</v>
      </c>
      <c r="H62" s="703">
        <f t="shared" si="1"/>
        <v>52</v>
      </c>
    </row>
    <row r="63" spans="1:9">
      <c r="A63" s="596">
        <f t="shared" si="0"/>
        <v>53</v>
      </c>
      <c r="B63" s="8" t="s">
        <v>137</v>
      </c>
      <c r="C63" s="678"/>
      <c r="D63" s="678"/>
      <c r="E63" s="795">
        <f>'Stmt AD'!I29</f>
        <v>914720.46958336188</v>
      </c>
      <c r="G63" s="790" t="str">
        <f>"Statement AD; Line "&amp;'Stmt AD'!A29</f>
        <v>Statement AD; Line 19</v>
      </c>
      <c r="H63" s="703">
        <f t="shared" si="1"/>
        <v>53</v>
      </c>
    </row>
    <row r="64" spans="1:9" ht="16.5" thickBot="1">
      <c r="A64" s="596">
        <f t="shared" si="0"/>
        <v>54</v>
      </c>
      <c r="B64" s="8" t="s">
        <v>138</v>
      </c>
      <c r="C64" s="678"/>
      <c r="D64" s="678"/>
      <c r="E64" s="796">
        <f>SUM(E56:E63)</f>
        <v>14781535.211947592</v>
      </c>
      <c r="G64" s="766" t="str">
        <f>"Sum Lines "&amp;A56&amp;" thru "&amp;A63</f>
        <v>Sum Lines 46 thru 53</v>
      </c>
      <c r="H64" s="703">
        <f t="shared" si="1"/>
        <v>54</v>
      </c>
      <c r="I64" s="714"/>
    </row>
    <row r="65" spans="1:9" ht="16.5" thickTop="1">
      <c r="A65" s="596">
        <f t="shared" si="0"/>
        <v>55</v>
      </c>
      <c r="C65" s="678"/>
      <c r="D65" s="678"/>
      <c r="E65" s="797"/>
      <c r="G65" s="766"/>
      <c r="H65" s="703">
        <f t="shared" si="1"/>
        <v>55</v>
      </c>
    </row>
    <row r="66" spans="1:9" ht="19.5" thickBot="1">
      <c r="A66" s="596">
        <f t="shared" si="0"/>
        <v>56</v>
      </c>
      <c r="B66" s="8" t="s">
        <v>931</v>
      </c>
      <c r="C66" s="678"/>
      <c r="D66" s="678"/>
      <c r="E66" s="798">
        <f>E54/E64</f>
        <v>0.3931613950962356</v>
      </c>
      <c r="G66" s="766" t="str">
        <f>"Line "&amp;A54&amp;" / Line "&amp;A64</f>
        <v>Line 44 / Line 54</v>
      </c>
      <c r="H66" s="703">
        <f t="shared" si="1"/>
        <v>56</v>
      </c>
      <c r="I66" s="714"/>
    </row>
    <row r="67" spans="1:9" ht="16.5" thickTop="1">
      <c r="A67" s="596"/>
      <c r="B67" s="718" t="s">
        <v>10</v>
      </c>
      <c r="C67" s="678"/>
      <c r="D67" s="678"/>
      <c r="E67" s="799"/>
      <c r="G67" s="766"/>
      <c r="H67" s="596"/>
    </row>
    <row r="68" spans="1:9">
      <c r="A68" s="596"/>
      <c r="B68" s="8"/>
      <c r="C68" s="678"/>
      <c r="D68" s="678"/>
      <c r="E68" s="799"/>
      <c r="F68" s="799"/>
      <c r="G68" s="766"/>
      <c r="H68" s="596"/>
    </row>
    <row r="69" spans="1:9" ht="18.75">
      <c r="A69" s="800">
        <v>1</v>
      </c>
      <c r="B69" s="8" t="str">
        <f>"Used to allocate property insurance in conformance with the TO"&amp;Automation!B4&amp;" Formula Rate Mechanism."</f>
        <v>Used to allocate property insurance in conformance with the TO5 Formula Rate Mechanism.</v>
      </c>
      <c r="H69" s="596"/>
    </row>
    <row r="70" spans="1:9">
      <c r="A70" s="596"/>
      <c r="B70" s="718"/>
      <c r="C70" s="678"/>
      <c r="D70" s="678"/>
      <c r="E70" s="797"/>
      <c r="F70" s="797"/>
      <c r="G70" s="766"/>
      <c r="H70" s="596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Roman,Regular"&amp;10AH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58"/>
  <sheetViews>
    <sheetView zoomScale="80" zoomScaleNormal="80" zoomScalePageLayoutView="30" workbookViewId="0">
      <selection activeCell="A7" sqref="A7"/>
    </sheetView>
  </sheetViews>
  <sheetFormatPr defaultColWidth="8.7109375" defaultRowHeight="15.75"/>
  <cols>
    <col min="1" max="1" width="5.140625" style="408" customWidth="1"/>
    <col min="2" max="2" width="93.140625" style="4" bestFit="1" customWidth="1"/>
    <col min="3" max="3" width="10.42578125" style="4" customWidth="1"/>
    <col min="4" max="4" width="1.5703125" style="4" customWidth="1"/>
    <col min="5" max="5" width="16.85546875" style="4" customWidth="1"/>
    <col min="6" max="6" width="1.5703125" style="4" customWidth="1"/>
    <col min="7" max="7" width="43.42578125" style="4" customWidth="1"/>
    <col min="8" max="8" width="5.140625" style="600" customWidth="1"/>
    <col min="9" max="9" width="8.7109375" style="4"/>
    <col min="10" max="10" width="9.85546875" style="4" bestFit="1" customWidth="1"/>
    <col min="11" max="16384" width="8.7109375" style="4"/>
  </cols>
  <sheetData>
    <row r="1" spans="1:8">
      <c r="A1" s="979"/>
      <c r="B1" s="36"/>
      <c r="C1" s="36"/>
      <c r="D1" s="36"/>
      <c r="E1" s="91"/>
      <c r="F1" s="91"/>
      <c r="G1" s="91"/>
      <c r="H1" s="972"/>
    </row>
    <row r="2" spans="1:8">
      <c r="A2" s="979"/>
      <c r="B2" s="1621" t="str">
        <f>'Summary of Cost Components'!B2:D2</f>
        <v>SAN DIEGO GAS &amp; ELECTRIC COMPANY</v>
      </c>
      <c r="C2" s="1621"/>
      <c r="D2" s="1621"/>
      <c r="E2" s="1621"/>
      <c r="F2" s="1621"/>
      <c r="G2" s="1621"/>
      <c r="H2" s="972"/>
    </row>
    <row r="3" spans="1:8">
      <c r="B3" s="1621" t="str">
        <f>'Summary of Cost Components'!B3:D3</f>
        <v>CITIZENS' SHARE OF THE SX-PQ UNDERGROUND LINE SEGMENT</v>
      </c>
      <c r="C3" s="1621"/>
      <c r="D3" s="1621"/>
      <c r="E3" s="1621"/>
      <c r="F3" s="1621"/>
      <c r="G3" s="1621"/>
      <c r="H3" s="984"/>
    </row>
    <row r="4" spans="1:8">
      <c r="B4" s="1621" t="s">
        <v>1017</v>
      </c>
      <c r="C4" s="1621"/>
      <c r="D4" s="1621"/>
      <c r="E4" s="1621"/>
      <c r="F4" s="1621"/>
      <c r="G4" s="1621"/>
      <c r="H4" s="984"/>
    </row>
    <row r="5" spans="1:8">
      <c r="B5" s="1622" t="str">
        <f>'A. Sec.1 - Direct Maintenance'!B5</f>
        <v>Base Period &amp; True-Up Period 12 - Months Ending December 31, 2018</v>
      </c>
      <c r="C5" s="1622"/>
      <c r="D5" s="1622"/>
      <c r="E5" s="1622"/>
      <c r="F5" s="1622"/>
      <c r="G5" s="1622"/>
      <c r="H5" s="984"/>
    </row>
    <row r="6" spans="1:8">
      <c r="B6" s="1623" t="s">
        <v>3</v>
      </c>
      <c r="C6" s="1623"/>
      <c r="D6" s="1623"/>
      <c r="E6" s="1623"/>
      <c r="F6" s="1623"/>
      <c r="G6" s="1623"/>
      <c r="H6" s="985"/>
    </row>
    <row r="7" spans="1:8">
      <c r="A7" s="980"/>
      <c r="B7" s="1195"/>
      <c r="C7" s="1195"/>
      <c r="D7" s="1195"/>
      <c r="E7" s="1195"/>
      <c r="F7" s="1195"/>
      <c r="G7" s="91"/>
      <c r="H7" s="972"/>
    </row>
    <row r="8" spans="1:8">
      <c r="A8" s="981" t="s">
        <v>4</v>
      </c>
      <c r="B8" s="40"/>
      <c r="C8" s="40"/>
      <c r="D8" s="40"/>
      <c r="E8" s="35"/>
      <c r="F8" s="35"/>
      <c r="G8" s="41"/>
      <c r="H8" s="981" t="s">
        <v>4</v>
      </c>
    </row>
    <row r="9" spans="1:8">
      <c r="A9" s="981" t="s">
        <v>25</v>
      </c>
      <c r="B9" s="42"/>
      <c r="C9" s="42"/>
      <c r="D9" s="42"/>
      <c r="E9" s="952" t="s">
        <v>128</v>
      </c>
      <c r="F9" s="44"/>
      <c r="G9" s="952" t="s">
        <v>9</v>
      </c>
      <c r="H9" s="981" t="s">
        <v>25</v>
      </c>
    </row>
    <row r="10" spans="1:8">
      <c r="A10" s="981"/>
      <c r="B10" s="40"/>
      <c r="C10" s="40"/>
      <c r="D10" s="40"/>
      <c r="E10" s="35"/>
      <c r="F10" s="44"/>
      <c r="G10" s="35"/>
      <c r="H10" s="981"/>
    </row>
    <row r="11" spans="1:8">
      <c r="A11" s="981">
        <v>1</v>
      </c>
      <c r="B11" s="43" t="s">
        <v>290</v>
      </c>
      <c r="C11" s="43"/>
      <c r="D11" s="43"/>
      <c r="E11" s="91"/>
      <c r="F11" s="91"/>
      <c r="G11" s="35"/>
      <c r="H11" s="981">
        <f>A11</f>
        <v>1</v>
      </c>
    </row>
    <row r="12" spans="1:8">
      <c r="A12" s="981">
        <f>A11+1</f>
        <v>2</v>
      </c>
      <c r="B12" s="1422" t="s">
        <v>839</v>
      </c>
      <c r="C12" s="1035"/>
      <c r="D12" s="1035"/>
      <c r="E12" s="1036">
        <f>E52</f>
        <v>7.2860680378012913E-3</v>
      </c>
      <c r="F12" s="940"/>
      <c r="G12" s="34" t="str">
        <f>"Page 2; Line "&amp;A52</f>
        <v>Page 2; Line 6</v>
      </c>
      <c r="H12" s="981">
        <f>H11+1</f>
        <v>2</v>
      </c>
    </row>
    <row r="13" spans="1:8">
      <c r="A13" s="981">
        <f t="shared" ref="A13:A35" si="0">A12+1</f>
        <v>3</v>
      </c>
      <c r="B13" s="36"/>
      <c r="C13" s="987"/>
      <c r="D13" s="987"/>
      <c r="E13" s="1037"/>
      <c r="F13" s="46"/>
      <c r="G13" s="34"/>
      <c r="H13" s="981">
        <f t="shared" ref="H13:H35" si="1">H12+1</f>
        <v>3</v>
      </c>
    </row>
    <row r="14" spans="1:8">
      <c r="A14" s="981">
        <f t="shared" si="0"/>
        <v>4</v>
      </c>
      <c r="B14" s="1422" t="s">
        <v>842</v>
      </c>
      <c r="C14" s="1035"/>
      <c r="D14" s="1035"/>
      <c r="E14" s="1036">
        <f>E57</f>
        <v>7.5796994683079945E-3</v>
      </c>
      <c r="F14" s="940"/>
      <c r="G14" s="34" t="str">
        <f>"Page 2; Line "&amp;A57</f>
        <v>Page 2; Line 11</v>
      </c>
      <c r="H14" s="981">
        <f t="shared" si="1"/>
        <v>4</v>
      </c>
    </row>
    <row r="15" spans="1:8">
      <c r="A15" s="981">
        <f t="shared" si="0"/>
        <v>5</v>
      </c>
      <c r="B15" s="91"/>
      <c r="C15" s="980"/>
      <c r="D15" s="980"/>
      <c r="E15" s="1038"/>
      <c r="F15" s="941"/>
      <c r="G15" s="39"/>
      <c r="H15" s="981">
        <f t="shared" si="1"/>
        <v>5</v>
      </c>
    </row>
    <row r="16" spans="1:8">
      <c r="A16" s="981">
        <f t="shared" si="0"/>
        <v>6</v>
      </c>
      <c r="B16" s="91" t="s">
        <v>843</v>
      </c>
      <c r="C16" s="980"/>
      <c r="D16" s="980"/>
      <c r="E16" s="1403">
        <f>E62</f>
        <v>9.4217696452765995E-3</v>
      </c>
      <c r="F16" s="941"/>
      <c r="G16" s="39" t="str">
        <f>"Page 2; Line "&amp;A62</f>
        <v>Page 2; Line 16</v>
      </c>
      <c r="H16" s="981">
        <f t="shared" si="1"/>
        <v>6</v>
      </c>
    </row>
    <row r="17" spans="1:8">
      <c r="A17" s="981">
        <f t="shared" si="0"/>
        <v>7</v>
      </c>
      <c r="B17" s="91"/>
      <c r="C17" s="980"/>
      <c r="D17" s="980"/>
      <c r="E17" s="1038"/>
      <c r="F17" s="941"/>
      <c r="G17" s="39"/>
      <c r="H17" s="981">
        <f t="shared" si="1"/>
        <v>7</v>
      </c>
    </row>
    <row r="18" spans="1:8">
      <c r="A18" s="981">
        <f t="shared" si="0"/>
        <v>8</v>
      </c>
      <c r="B18" s="1422" t="s">
        <v>844</v>
      </c>
      <c r="C18" s="1035"/>
      <c r="D18" s="1035"/>
      <c r="E18" s="1036">
        <f>E67</f>
        <v>2.9212842831008082E-4</v>
      </c>
      <c r="F18" s="940"/>
      <c r="G18" s="34" t="str">
        <f>"Page 2; Line "&amp;A67</f>
        <v>Page 2; Line 21</v>
      </c>
      <c r="H18" s="981">
        <f t="shared" si="1"/>
        <v>8</v>
      </c>
    </row>
    <row r="19" spans="1:8">
      <c r="A19" s="981">
        <f t="shared" si="0"/>
        <v>9</v>
      </c>
      <c r="B19" s="36"/>
      <c r="C19" s="987"/>
      <c r="D19" s="987"/>
      <c r="E19" s="1037"/>
      <c r="F19" s="46"/>
      <c r="G19" s="39"/>
      <c r="H19" s="981">
        <f t="shared" si="1"/>
        <v>9</v>
      </c>
    </row>
    <row r="20" spans="1:8">
      <c r="A20" s="981">
        <f t="shared" si="0"/>
        <v>10</v>
      </c>
      <c r="B20" s="1422" t="s">
        <v>845</v>
      </c>
      <c r="C20" s="987"/>
      <c r="D20" s="987"/>
      <c r="E20" s="1036">
        <f>E80</f>
        <v>1.8475062844355539E-3</v>
      </c>
      <c r="F20" s="46"/>
      <c r="G20" s="34" t="str">
        <f>"Page 2; Line "&amp;A80</f>
        <v>Page 2; Line 34</v>
      </c>
      <c r="H20" s="981">
        <f t="shared" si="1"/>
        <v>10</v>
      </c>
    </row>
    <row r="21" spans="1:8">
      <c r="A21" s="981">
        <f t="shared" si="0"/>
        <v>11</v>
      </c>
      <c r="B21" s="36"/>
      <c r="C21" s="987"/>
      <c r="D21" s="987"/>
      <c r="E21" s="1037"/>
      <c r="F21" s="46"/>
      <c r="G21" s="39"/>
      <c r="H21" s="981">
        <f t="shared" si="1"/>
        <v>11</v>
      </c>
    </row>
    <row r="22" spans="1:8">
      <c r="A22" s="981">
        <f t="shared" si="0"/>
        <v>12</v>
      </c>
      <c r="B22" s="1422" t="s">
        <v>921</v>
      </c>
      <c r="C22" s="1035"/>
      <c r="D22" s="1035"/>
      <c r="E22" s="1036">
        <f>E97</f>
        <v>3.7461736151020598E-3</v>
      </c>
      <c r="F22" s="940"/>
      <c r="G22" s="34" t="str">
        <f>"Page 2; Line "&amp;A97</f>
        <v>Page 2; Line 51</v>
      </c>
      <c r="H22" s="981">
        <f t="shared" si="1"/>
        <v>12</v>
      </c>
    </row>
    <row r="23" spans="1:8">
      <c r="A23" s="981">
        <f t="shared" si="0"/>
        <v>13</v>
      </c>
      <c r="B23" s="1212"/>
      <c r="C23" s="986"/>
      <c r="D23" s="986"/>
      <c r="E23" s="1039"/>
      <c r="F23" s="68"/>
      <c r="G23" s="39"/>
      <c r="H23" s="981">
        <f t="shared" si="1"/>
        <v>13</v>
      </c>
    </row>
    <row r="24" spans="1:8">
      <c r="A24" s="981">
        <f t="shared" si="0"/>
        <v>14</v>
      </c>
      <c r="B24" s="45" t="s">
        <v>846</v>
      </c>
      <c r="C24" s="1035"/>
      <c r="D24" s="1035"/>
      <c r="E24" s="1040">
        <f>SUM(E12:E22)</f>
        <v>3.0173345479233581E-2</v>
      </c>
      <c r="F24" s="944"/>
      <c r="G24" s="39" t="str">
        <f>"Sum Lines "&amp;A12&amp;" thru "&amp;A22&amp;""</f>
        <v>Sum Lines 2 thru 12</v>
      </c>
      <c r="H24" s="981">
        <f t="shared" si="1"/>
        <v>14</v>
      </c>
    </row>
    <row r="25" spans="1:8">
      <c r="A25" s="981">
        <f t="shared" si="0"/>
        <v>15</v>
      </c>
      <c r="B25" s="36"/>
      <c r="C25" s="987"/>
      <c r="D25" s="987"/>
      <c r="E25" s="1041"/>
      <c r="F25" s="47"/>
      <c r="G25" s="39"/>
      <c r="H25" s="981">
        <f t="shared" si="1"/>
        <v>15</v>
      </c>
    </row>
    <row r="26" spans="1:8">
      <c r="A26" s="981">
        <f t="shared" si="0"/>
        <v>16</v>
      </c>
      <c r="B26" s="91" t="s">
        <v>867</v>
      </c>
      <c r="C26" s="1042">
        <v>1.0277E-2</v>
      </c>
      <c r="D26" s="987"/>
      <c r="E26" s="1043">
        <f>E24*C26</f>
        <v>3.1009147149008349E-4</v>
      </c>
      <c r="F26" s="867"/>
      <c r="G26" s="39" t="str">
        <f>"Line "&amp;A24&amp;" x Franchise Fee Rate"</f>
        <v>Line 14 x Franchise Fee Rate</v>
      </c>
      <c r="H26" s="981">
        <f t="shared" si="1"/>
        <v>16</v>
      </c>
    </row>
    <row r="27" spans="1:8">
      <c r="A27" s="981">
        <f t="shared" si="0"/>
        <v>17</v>
      </c>
      <c r="B27" s="36"/>
      <c r="C27" s="987"/>
      <c r="D27" s="987"/>
      <c r="E27" s="1044"/>
      <c r="F27" s="67"/>
      <c r="G27" s="39"/>
      <c r="H27" s="981">
        <f t="shared" si="1"/>
        <v>17</v>
      </c>
    </row>
    <row r="28" spans="1:8" ht="16.5" thickBot="1">
      <c r="A28" s="981">
        <f t="shared" si="0"/>
        <v>18</v>
      </c>
      <c r="B28" s="36" t="s">
        <v>847</v>
      </c>
      <c r="C28" s="987"/>
      <c r="D28" s="987"/>
      <c r="E28" s="1045">
        <f>E24+E26</f>
        <v>3.0483436950723666E-2</v>
      </c>
      <c r="F28" s="947"/>
      <c r="G28" s="39" t="str">
        <f>"Line "&amp;A24&amp;" + Line "&amp;A26</f>
        <v>Line 14 + Line 16</v>
      </c>
      <c r="H28" s="981">
        <f t="shared" si="1"/>
        <v>18</v>
      </c>
    </row>
    <row r="29" spans="1:8" ht="16.5" thickTop="1">
      <c r="A29" s="981">
        <f t="shared" si="0"/>
        <v>19</v>
      </c>
      <c r="B29" s="91"/>
      <c r="C29" s="980"/>
      <c r="D29" s="980"/>
      <c r="E29" s="983"/>
      <c r="F29" s="48"/>
      <c r="G29" s="41"/>
      <c r="H29" s="981">
        <f t="shared" si="1"/>
        <v>19</v>
      </c>
    </row>
    <row r="30" spans="1:8">
      <c r="A30" s="981">
        <f t="shared" si="0"/>
        <v>20</v>
      </c>
      <c r="B30" s="49" t="s">
        <v>871</v>
      </c>
      <c r="C30" s="1046"/>
      <c r="D30" s="1046"/>
      <c r="E30" s="980"/>
      <c r="F30" s="91"/>
      <c r="G30" s="41"/>
      <c r="H30" s="981">
        <f t="shared" si="1"/>
        <v>20</v>
      </c>
    </row>
    <row r="31" spans="1:8">
      <c r="A31" s="981">
        <f t="shared" si="0"/>
        <v>21</v>
      </c>
      <c r="B31" s="50" t="s">
        <v>848</v>
      </c>
      <c r="C31" s="1047"/>
      <c r="D31" s="1047"/>
      <c r="E31" s="617">
        <v>27000</v>
      </c>
      <c r="F31" s="44"/>
      <c r="G31" s="34" t="s">
        <v>291</v>
      </c>
      <c r="H31" s="981">
        <f t="shared" si="1"/>
        <v>21</v>
      </c>
    </row>
    <row r="32" spans="1:8">
      <c r="A32" s="981">
        <f t="shared" si="0"/>
        <v>22</v>
      </c>
      <c r="B32" s="50"/>
      <c r="C32" s="1047"/>
      <c r="D32" s="1047"/>
      <c r="E32" s="1047"/>
      <c r="F32" s="50"/>
      <c r="G32" s="39"/>
      <c r="H32" s="981">
        <f t="shared" si="1"/>
        <v>22</v>
      </c>
    </row>
    <row r="33" spans="1:8">
      <c r="A33" s="981">
        <f t="shared" si="0"/>
        <v>23</v>
      </c>
      <c r="B33" s="45" t="s">
        <v>849</v>
      </c>
      <c r="C33" s="1035"/>
      <c r="D33" s="1035"/>
      <c r="E33" s="1048">
        <f>+E28</f>
        <v>3.0483436950723666E-2</v>
      </c>
      <c r="F33" s="942"/>
      <c r="G33" s="39" t="str">
        <f>"Line "&amp;A28&amp;" Above"</f>
        <v>Line 18 Above</v>
      </c>
      <c r="H33" s="981">
        <f t="shared" si="1"/>
        <v>23</v>
      </c>
    </row>
    <row r="34" spans="1:8">
      <c r="A34" s="981">
        <f t="shared" si="0"/>
        <v>24</v>
      </c>
      <c r="B34" s="36"/>
      <c r="C34" s="987"/>
      <c r="D34" s="987"/>
      <c r="E34" s="1049"/>
      <c r="F34" s="948"/>
      <c r="G34" s="39"/>
      <c r="H34" s="981">
        <f t="shared" si="1"/>
        <v>24</v>
      </c>
    </row>
    <row r="35" spans="1:8" ht="16.5" thickBot="1">
      <c r="A35" s="981">
        <f t="shared" si="0"/>
        <v>25</v>
      </c>
      <c r="B35" s="36" t="s">
        <v>872</v>
      </c>
      <c r="C35" s="1035"/>
      <c r="D35" s="1035"/>
      <c r="E35" s="1050">
        <f>E31*E33</f>
        <v>823.05279766953902</v>
      </c>
      <c r="F35" s="949"/>
      <c r="G35" s="39" t="str">
        <f>"Line "&amp;A31&amp;" x Line "&amp;A33</f>
        <v>Line 21 x Line 23</v>
      </c>
      <c r="H35" s="981">
        <f t="shared" si="1"/>
        <v>25</v>
      </c>
    </row>
    <row r="36" spans="1:8" ht="16.5" thickTop="1">
      <c r="A36" s="981"/>
      <c r="B36" s="36"/>
      <c r="C36" s="45"/>
      <c r="D36" s="45"/>
      <c r="E36" s="1018"/>
      <c r="F36" s="949"/>
      <c r="G36" s="39"/>
      <c r="H36" s="981"/>
    </row>
    <row r="37" spans="1:8">
      <c r="A37" s="980"/>
      <c r="B37" s="36"/>
      <c r="C37" s="36"/>
      <c r="D37" s="36"/>
      <c r="E37" s="1212"/>
      <c r="F37" s="1212"/>
      <c r="G37" s="91"/>
      <c r="H37" s="972"/>
    </row>
    <row r="38" spans="1:8">
      <c r="A38" s="980"/>
      <c r="B38" s="1624" t="str">
        <f>B2</f>
        <v>SAN DIEGO GAS &amp; ELECTRIC COMPANY</v>
      </c>
      <c r="C38" s="1624"/>
      <c r="D38" s="1624"/>
      <c r="E38" s="1624"/>
      <c r="F38" s="1624"/>
      <c r="G38" s="1624"/>
      <c r="H38" s="972"/>
    </row>
    <row r="39" spans="1:8">
      <c r="B39" s="1624" t="str">
        <f>B3</f>
        <v>CITIZENS' SHARE OF THE SX-PQ UNDERGROUND LINE SEGMENT</v>
      </c>
      <c r="C39" s="1624"/>
      <c r="D39" s="1624"/>
      <c r="E39" s="1624"/>
      <c r="F39" s="1624"/>
      <c r="G39" s="1624"/>
      <c r="H39" s="986"/>
    </row>
    <row r="40" spans="1:8">
      <c r="B40" s="1621" t="str">
        <f>B4</f>
        <v xml:space="preserve">Section 2 - Non-Direct Expense Cost Component </v>
      </c>
      <c r="C40" s="1621"/>
      <c r="D40" s="1621"/>
      <c r="E40" s="1621"/>
      <c r="F40" s="1621"/>
      <c r="G40" s="1621"/>
      <c r="H40" s="987"/>
    </row>
    <row r="41" spans="1:8">
      <c r="B41" s="1622" t="str">
        <f>B5</f>
        <v>Base Period &amp; True-Up Period 12 - Months Ending December 31, 2018</v>
      </c>
      <c r="C41" s="1622"/>
      <c r="D41" s="1622"/>
      <c r="E41" s="1622"/>
      <c r="F41" s="1622"/>
      <c r="G41" s="1622"/>
      <c r="H41" s="987"/>
    </row>
    <row r="42" spans="1:8">
      <c r="B42" s="1623" t="str">
        <f>B6</f>
        <v>($1,000)</v>
      </c>
      <c r="C42" s="1615"/>
      <c r="D42" s="1615"/>
      <c r="E42" s="1615"/>
      <c r="F42" s="1615"/>
      <c r="G42" s="1615"/>
      <c r="H42" s="1199"/>
    </row>
    <row r="43" spans="1:8">
      <c r="A43" s="982"/>
      <c r="B43" s="40"/>
      <c r="C43" s="40"/>
      <c r="D43" s="40"/>
      <c r="E43" s="41"/>
      <c r="F43" s="41"/>
      <c r="G43" s="41"/>
      <c r="H43" s="972"/>
    </row>
    <row r="44" spans="1:8">
      <c r="A44" s="981" t="s">
        <v>4</v>
      </c>
      <c r="B44" s="40"/>
      <c r="C44" s="40"/>
      <c r="D44" s="40"/>
      <c r="E44" s="35"/>
      <c r="F44" s="35"/>
      <c r="G44" s="41"/>
      <c r="H44" s="981" t="s">
        <v>4</v>
      </c>
    </row>
    <row r="45" spans="1:8">
      <c r="A45" s="981" t="s">
        <v>25</v>
      </c>
      <c r="B45" s="42"/>
      <c r="C45" s="42"/>
      <c r="D45" s="42"/>
      <c r="E45" s="952" t="s">
        <v>128</v>
      </c>
      <c r="F45" s="39"/>
      <c r="G45" s="952" t="s">
        <v>9</v>
      </c>
      <c r="H45" s="981" t="s">
        <v>25</v>
      </c>
    </row>
    <row r="46" spans="1:8">
      <c r="A46" s="981"/>
      <c r="B46" s="40"/>
      <c r="C46" s="40"/>
      <c r="D46" s="40"/>
      <c r="E46" s="54"/>
      <c r="F46" s="35"/>
      <c r="G46" s="41"/>
      <c r="H46" s="981"/>
    </row>
    <row r="47" spans="1:8">
      <c r="A47" s="981">
        <v>1</v>
      </c>
      <c r="B47" s="52" t="s">
        <v>832</v>
      </c>
      <c r="C47" s="52"/>
      <c r="D47" s="52"/>
      <c r="E47" s="1213">
        <f>'AV-4'!C16</f>
        <v>4637147.7942162799</v>
      </c>
      <c r="F47" s="35"/>
      <c r="G47" s="39" t="str">
        <f>"AV-4; Line "&amp;'AV-4'!A16&amp;""</f>
        <v>AV-4; Line 6</v>
      </c>
      <c r="H47" s="981">
        <f>A47</f>
        <v>1</v>
      </c>
    </row>
    <row r="48" spans="1:8">
      <c r="A48" s="981">
        <f>A47+1</f>
        <v>2</v>
      </c>
      <c r="B48" s="40"/>
      <c r="C48" s="40"/>
      <c r="D48" s="40"/>
      <c r="E48" s="1051"/>
      <c r="F48" s="54"/>
      <c r="G48" s="41"/>
      <c r="H48" s="981">
        <f>H47+1</f>
        <v>2</v>
      </c>
    </row>
    <row r="49" spans="1:10">
      <c r="A49" s="981">
        <f t="shared" ref="A49:A97" si="2">A48+1</f>
        <v>3</v>
      </c>
      <c r="B49" s="55" t="s">
        <v>922</v>
      </c>
      <c r="C49" s="55"/>
      <c r="D49" s="55"/>
      <c r="E49" s="1052"/>
      <c r="F49" s="56"/>
      <c r="G49" s="41"/>
      <c r="H49" s="981">
        <f t="shared" ref="H49:H97" si="3">H48+1</f>
        <v>3</v>
      </c>
    </row>
    <row r="50" spans="1:10">
      <c r="A50" s="981">
        <f t="shared" si="2"/>
        <v>4</v>
      </c>
      <c r="B50" s="57" t="s">
        <v>840</v>
      </c>
      <c r="C50" s="57"/>
      <c r="D50" s="57"/>
      <c r="E50" s="1456">
        <f>'Stmt AH'!E27</f>
        <v>33786.574329999996</v>
      </c>
      <c r="F50" s="35"/>
      <c r="G50" s="53" t="str">
        <f>"Statement AH; Line "&amp;'Stmt AH'!A27</f>
        <v>Statement AH; Line 17</v>
      </c>
      <c r="H50" s="981">
        <f t="shared" si="3"/>
        <v>4</v>
      </c>
      <c r="J50" s="1214"/>
    </row>
    <row r="51" spans="1:10">
      <c r="A51" s="981">
        <f t="shared" si="2"/>
        <v>5</v>
      </c>
      <c r="B51" s="57"/>
      <c r="C51" s="57"/>
      <c r="D51" s="57"/>
      <c r="E51" s="635"/>
      <c r="F51" s="58"/>
      <c r="G51" s="39"/>
      <c r="H51" s="981">
        <f t="shared" si="3"/>
        <v>5</v>
      </c>
      <c r="J51" s="1214"/>
    </row>
    <row r="52" spans="1:10">
      <c r="A52" s="981">
        <f t="shared" si="2"/>
        <v>6</v>
      </c>
      <c r="B52" s="50" t="s">
        <v>841</v>
      </c>
      <c r="C52" s="37"/>
      <c r="D52" s="37"/>
      <c r="E52" s="1053">
        <f>E50/E47</f>
        <v>7.2860680378012913E-3</v>
      </c>
      <c r="F52" s="90"/>
      <c r="G52" s="59" t="str">
        <f>"Line "&amp;A50&amp;" / Line "&amp;A47</f>
        <v>Line 4 / Line 1</v>
      </c>
      <c r="H52" s="981">
        <f t="shared" si="3"/>
        <v>6</v>
      </c>
      <c r="J52" s="1214"/>
    </row>
    <row r="53" spans="1:10">
      <c r="A53" s="981">
        <f t="shared" si="2"/>
        <v>7</v>
      </c>
      <c r="B53" s="57"/>
      <c r="C53" s="57"/>
      <c r="D53" s="57"/>
      <c r="E53" s="1215"/>
      <c r="F53" s="1216"/>
      <c r="G53" s="39"/>
      <c r="H53" s="981">
        <f t="shared" si="3"/>
        <v>7</v>
      </c>
    </row>
    <row r="54" spans="1:10">
      <c r="A54" s="981">
        <f t="shared" si="2"/>
        <v>8</v>
      </c>
      <c r="B54" s="55" t="s">
        <v>923</v>
      </c>
      <c r="C54" s="55"/>
      <c r="D54" s="55"/>
      <c r="E54" s="1217"/>
      <c r="F54" s="1218"/>
      <c r="G54" s="61"/>
      <c r="H54" s="981">
        <f t="shared" si="3"/>
        <v>8</v>
      </c>
    </row>
    <row r="55" spans="1:10">
      <c r="A55" s="981">
        <f t="shared" si="2"/>
        <v>9</v>
      </c>
      <c r="B55" s="50" t="s">
        <v>873</v>
      </c>
      <c r="C55" s="50"/>
      <c r="D55" s="50"/>
      <c r="E55" s="1054">
        <f>'Stmt AH'!E47</f>
        <v>35148.186670286726</v>
      </c>
      <c r="F55" s="35"/>
      <c r="G55" s="53" t="str">
        <f>"Statement AH; Line "&amp;'Stmt AH'!A47</f>
        <v>Statement AH; Line 37</v>
      </c>
      <c r="H55" s="981">
        <f t="shared" si="3"/>
        <v>9</v>
      </c>
    </row>
    <row r="56" spans="1:10">
      <c r="A56" s="981">
        <f t="shared" si="2"/>
        <v>10</v>
      </c>
      <c r="B56" s="40"/>
      <c r="C56" s="40"/>
      <c r="D56" s="40"/>
      <c r="E56" s="1217"/>
      <c r="F56" s="1218"/>
      <c r="G56" s="53"/>
      <c r="H56" s="981">
        <f t="shared" si="3"/>
        <v>10</v>
      </c>
    </row>
    <row r="57" spans="1:10">
      <c r="A57" s="981">
        <f t="shared" si="2"/>
        <v>11</v>
      </c>
      <c r="B57" s="1014" t="s">
        <v>292</v>
      </c>
      <c r="C57" s="38"/>
      <c r="D57" s="38"/>
      <c r="E57" s="1053">
        <f>E55/E47</f>
        <v>7.5796994683079945E-3</v>
      </c>
      <c r="F57" s="90"/>
      <c r="G57" s="59" t="str">
        <f>"Line "&amp;A55&amp;" / Line "&amp;A47</f>
        <v>Line 9 / Line 1</v>
      </c>
      <c r="H57" s="981">
        <f t="shared" si="3"/>
        <v>11</v>
      </c>
    </row>
    <row r="58" spans="1:10">
      <c r="A58" s="981">
        <f t="shared" si="2"/>
        <v>12</v>
      </c>
      <c r="B58" s="38"/>
      <c r="C58" s="38"/>
      <c r="D58" s="38"/>
      <c r="E58" s="1055"/>
      <c r="F58" s="62"/>
      <c r="G58" s="53"/>
      <c r="H58" s="981">
        <f t="shared" si="3"/>
        <v>12</v>
      </c>
    </row>
    <row r="59" spans="1:10">
      <c r="A59" s="981">
        <f t="shared" si="2"/>
        <v>13</v>
      </c>
      <c r="B59" s="55" t="s">
        <v>924</v>
      </c>
      <c r="C59" s="38"/>
      <c r="D59" s="38"/>
      <c r="E59" s="1055"/>
      <c r="F59" s="62"/>
      <c r="G59" s="53"/>
      <c r="H59" s="981">
        <f t="shared" si="3"/>
        <v>13</v>
      </c>
    </row>
    <row r="60" spans="1:10">
      <c r="A60" s="981">
        <f t="shared" si="2"/>
        <v>14</v>
      </c>
      <c r="B60" s="1014" t="s">
        <v>843</v>
      </c>
      <c r="C60" s="38"/>
      <c r="D60" s="38"/>
      <c r="E60" s="1054">
        <f>'Stmt AK'!E27</f>
        <v>43690.138328208282</v>
      </c>
      <c r="F60" s="62"/>
      <c r="G60" s="53" t="str">
        <f>"Statement AK; Line "&amp;'Stmt AK'!A27</f>
        <v>Statement AK; Line 17</v>
      </c>
      <c r="H60" s="981">
        <f t="shared" si="3"/>
        <v>14</v>
      </c>
    </row>
    <row r="61" spans="1:10">
      <c r="A61" s="981">
        <f t="shared" si="2"/>
        <v>15</v>
      </c>
      <c r="B61" s="38"/>
      <c r="C61" s="38"/>
      <c r="D61" s="38"/>
      <c r="E61" s="1217"/>
      <c r="F61" s="62"/>
      <c r="G61" s="53"/>
      <c r="H61" s="981">
        <f t="shared" si="3"/>
        <v>15</v>
      </c>
    </row>
    <row r="62" spans="1:10">
      <c r="A62" s="981">
        <f t="shared" si="2"/>
        <v>16</v>
      </c>
      <c r="B62" s="1014" t="s">
        <v>928</v>
      </c>
      <c r="C62" s="38"/>
      <c r="D62" s="38"/>
      <c r="E62" s="1053">
        <f>E60/E47</f>
        <v>9.4217696452765995E-3</v>
      </c>
      <c r="F62" s="62"/>
      <c r="G62" s="59" t="str">
        <f>"Line "&amp;A60&amp;" / Line "&amp;A47</f>
        <v>Line 14 / Line 1</v>
      </c>
      <c r="H62" s="981">
        <f t="shared" si="3"/>
        <v>16</v>
      </c>
    </row>
    <row r="63" spans="1:10">
      <c r="A63" s="981">
        <f t="shared" si="2"/>
        <v>17</v>
      </c>
      <c r="B63" s="38"/>
      <c r="C63" s="38"/>
      <c r="D63" s="38"/>
      <c r="E63" s="1055"/>
      <c r="F63" s="62"/>
      <c r="G63" s="53"/>
      <c r="H63" s="981">
        <f t="shared" si="3"/>
        <v>17</v>
      </c>
    </row>
    <row r="64" spans="1:10">
      <c r="A64" s="981">
        <f t="shared" si="2"/>
        <v>18</v>
      </c>
      <c r="B64" s="55" t="s">
        <v>925</v>
      </c>
      <c r="C64" s="55"/>
      <c r="D64" s="55"/>
      <c r="E64" s="1055"/>
      <c r="F64" s="62"/>
      <c r="G64" s="53"/>
      <c r="H64" s="981">
        <f t="shared" si="3"/>
        <v>18</v>
      </c>
    </row>
    <row r="65" spans="1:8">
      <c r="A65" s="981">
        <f t="shared" si="2"/>
        <v>19</v>
      </c>
      <c r="B65" s="50" t="s">
        <v>844</v>
      </c>
      <c r="C65" s="50"/>
      <c r="D65" s="50"/>
      <c r="E65" s="1054">
        <f>'Stmt AK'!E38</f>
        <v>1354.6426969659599</v>
      </c>
      <c r="F65" s="35"/>
      <c r="G65" s="53" t="str">
        <f>"Statement AK; Line "&amp;'Stmt AK'!A38</f>
        <v>Statement AK; Line 28</v>
      </c>
      <c r="H65" s="981">
        <f t="shared" si="3"/>
        <v>19</v>
      </c>
    </row>
    <row r="66" spans="1:8">
      <c r="A66" s="981">
        <f t="shared" si="2"/>
        <v>20</v>
      </c>
      <c r="B66" s="38"/>
      <c r="C66" s="38"/>
      <c r="D66" s="38"/>
      <c r="E66" s="1055"/>
      <c r="F66" s="62"/>
      <c r="G66" s="53"/>
      <c r="H66" s="981">
        <f t="shared" si="3"/>
        <v>20</v>
      </c>
    </row>
    <row r="67" spans="1:8">
      <c r="A67" s="981">
        <f t="shared" si="2"/>
        <v>21</v>
      </c>
      <c r="B67" s="1015" t="s">
        <v>293</v>
      </c>
      <c r="C67" s="51"/>
      <c r="D67" s="51"/>
      <c r="E67" s="1053">
        <f>E65/E47</f>
        <v>2.9212842831008082E-4</v>
      </c>
      <c r="F67" s="90"/>
      <c r="G67" s="59" t="str">
        <f>"Line "&amp;A65&amp;" / Line "&amp;A47</f>
        <v>Line 19 / Line 1</v>
      </c>
      <c r="H67" s="981">
        <f t="shared" si="3"/>
        <v>21</v>
      </c>
    </row>
    <row r="68" spans="1:8">
      <c r="A68" s="981">
        <f t="shared" si="2"/>
        <v>22</v>
      </c>
      <c r="B68" s="38"/>
      <c r="C68" s="38"/>
      <c r="D68" s="38"/>
      <c r="E68" s="1055"/>
      <c r="F68" s="62"/>
      <c r="G68" s="53"/>
      <c r="H68" s="981">
        <f t="shared" si="3"/>
        <v>22</v>
      </c>
    </row>
    <row r="69" spans="1:8">
      <c r="A69" s="981">
        <f t="shared" si="2"/>
        <v>23</v>
      </c>
      <c r="B69" s="55" t="s">
        <v>926</v>
      </c>
      <c r="C69" s="55"/>
      <c r="D69" s="55"/>
      <c r="E69" s="1056"/>
      <c r="F69" s="63"/>
      <c r="G69" s="39"/>
      <c r="H69" s="981">
        <f t="shared" si="3"/>
        <v>23</v>
      </c>
    </row>
    <row r="70" spans="1:8">
      <c r="A70" s="981">
        <f t="shared" si="2"/>
        <v>24</v>
      </c>
      <c r="B70" s="1016" t="s">
        <v>294</v>
      </c>
      <c r="C70" s="36"/>
      <c r="D70" s="36"/>
      <c r="E70" s="1056"/>
      <c r="F70" s="63"/>
      <c r="G70" s="39"/>
      <c r="H70" s="981">
        <f t="shared" si="3"/>
        <v>24</v>
      </c>
    </row>
    <row r="71" spans="1:8">
      <c r="A71" s="981">
        <f t="shared" si="2"/>
        <v>25</v>
      </c>
      <c r="B71" s="45" t="s">
        <v>697</v>
      </c>
      <c r="C71" s="45"/>
      <c r="D71" s="45"/>
      <c r="E71" s="1057">
        <f>'Stmt AL'!G15</f>
        <v>52122.705552521453</v>
      </c>
      <c r="F71" s="35"/>
      <c r="G71" s="39" t="str">
        <f>"Statement AL; Line "&amp;'Stmt AL'!A15</f>
        <v>Statement AL; Line 5</v>
      </c>
      <c r="H71" s="981">
        <f t="shared" si="3"/>
        <v>25</v>
      </c>
    </row>
    <row r="72" spans="1:8">
      <c r="A72" s="981">
        <f t="shared" si="2"/>
        <v>26</v>
      </c>
      <c r="B72" s="45" t="s">
        <v>698</v>
      </c>
      <c r="C72" s="45"/>
      <c r="D72" s="45"/>
      <c r="E72" s="1058">
        <f>'Stmt AL'!G19</f>
        <v>19698.911876068967</v>
      </c>
      <c r="F72" s="35"/>
      <c r="G72" s="39" t="str">
        <f>"Statement AL; Line "&amp;'Stmt AL'!A19</f>
        <v>Statement AL; Line 9</v>
      </c>
      <c r="H72" s="981">
        <f t="shared" si="3"/>
        <v>26</v>
      </c>
    </row>
    <row r="73" spans="1:8">
      <c r="A73" s="981">
        <f t="shared" si="2"/>
        <v>27</v>
      </c>
      <c r="B73" s="45" t="s">
        <v>699</v>
      </c>
      <c r="C73" s="45"/>
      <c r="D73" s="45"/>
      <c r="E73" s="1058">
        <f>'Stmt AL'!E29</f>
        <v>8616.8451250358412</v>
      </c>
      <c r="F73" s="35"/>
      <c r="G73" s="39" t="str">
        <f>"Statement AL; Line "&amp;'Stmt AL'!A29</f>
        <v>Statement AL; Line 19</v>
      </c>
      <c r="H73" s="981">
        <f t="shared" si="3"/>
        <v>27</v>
      </c>
    </row>
    <row r="74" spans="1:8">
      <c r="A74" s="981">
        <f t="shared" si="2"/>
        <v>28</v>
      </c>
      <c r="B74" s="45" t="s">
        <v>295</v>
      </c>
      <c r="C74" s="36"/>
      <c r="D74" s="36"/>
      <c r="E74" s="1059">
        <f>SUM(E71:E73)</f>
        <v>80438.462553626276</v>
      </c>
      <c r="F74" s="60"/>
      <c r="G74" s="34" t="str">
        <f>"Sum Lines "&amp;A71&amp;" thru "&amp;A73</f>
        <v>Sum Lines 25 thru 27</v>
      </c>
      <c r="H74" s="981">
        <f t="shared" si="3"/>
        <v>28</v>
      </c>
    </row>
    <row r="75" spans="1:8">
      <c r="A75" s="981">
        <f t="shared" si="2"/>
        <v>29</v>
      </c>
      <c r="B75" s="36"/>
      <c r="C75" s="36"/>
      <c r="D75" s="36"/>
      <c r="E75" s="1060"/>
      <c r="F75" s="64"/>
      <c r="G75" s="34"/>
      <c r="H75" s="981">
        <f t="shared" si="3"/>
        <v>29</v>
      </c>
    </row>
    <row r="76" spans="1:8">
      <c r="A76" s="981">
        <f t="shared" si="2"/>
        <v>30</v>
      </c>
      <c r="B76" s="65" t="s">
        <v>865</v>
      </c>
      <c r="C76" s="65"/>
      <c r="D76" s="65"/>
      <c r="E76" s="1061">
        <f>'Stmt AV'!G110</f>
        <v>0.10650576129497175</v>
      </c>
      <c r="F76" s="35"/>
      <c r="G76" s="34" t="str">
        <f>"Statement AV2; Line "&amp;'Stmt AV'!A110</f>
        <v>Statement AV2; Line 31</v>
      </c>
      <c r="H76" s="981">
        <f t="shared" si="3"/>
        <v>30</v>
      </c>
    </row>
    <row r="77" spans="1:8">
      <c r="A77" s="981">
        <f t="shared" si="2"/>
        <v>31</v>
      </c>
      <c r="B77" s="36"/>
      <c r="C77" s="36"/>
      <c r="D77" s="36"/>
      <c r="E77" s="1060"/>
      <c r="F77" s="64"/>
      <c r="G77" s="34"/>
      <c r="H77" s="981">
        <f t="shared" si="3"/>
        <v>31</v>
      </c>
    </row>
    <row r="78" spans="1:8">
      <c r="A78" s="981">
        <f t="shared" si="2"/>
        <v>32</v>
      </c>
      <c r="B78" s="45" t="s">
        <v>296</v>
      </c>
      <c r="C78" s="36"/>
      <c r="D78" s="36"/>
      <c r="E78" s="1062">
        <f>E74*E76</f>
        <v>8567.1596916710441</v>
      </c>
      <c r="F78" s="60"/>
      <c r="G78" s="39" t="str">
        <f>"Line "&amp;A74&amp;" x Line "&amp;A76</f>
        <v>Line 28 x Line 30</v>
      </c>
      <c r="H78" s="981">
        <f t="shared" si="3"/>
        <v>32</v>
      </c>
    </row>
    <row r="79" spans="1:8">
      <c r="A79" s="981">
        <f t="shared" si="2"/>
        <v>33</v>
      </c>
      <c r="B79" s="36"/>
      <c r="C79" s="36"/>
      <c r="D79" s="36"/>
      <c r="E79" s="1060"/>
      <c r="F79" s="64"/>
      <c r="G79" s="34"/>
      <c r="H79" s="981">
        <f t="shared" si="3"/>
        <v>33</v>
      </c>
    </row>
    <row r="80" spans="1:8">
      <c r="A80" s="981">
        <f t="shared" si="2"/>
        <v>34</v>
      </c>
      <c r="B80" s="45" t="s">
        <v>297</v>
      </c>
      <c r="C80" s="36"/>
      <c r="D80" s="36"/>
      <c r="E80" s="1053">
        <f>E78/E47</f>
        <v>1.8475062844355539E-3</v>
      </c>
      <c r="F80" s="90"/>
      <c r="G80" s="59" t="str">
        <f>"Line "&amp;A78&amp;" / Line "&amp;A47</f>
        <v>Line 32 / Line 1</v>
      </c>
      <c r="H80" s="981">
        <f t="shared" si="3"/>
        <v>34</v>
      </c>
    </row>
    <row r="81" spans="1:9">
      <c r="A81" s="981">
        <f t="shared" si="2"/>
        <v>35</v>
      </c>
      <c r="B81" s="45"/>
      <c r="C81" s="36"/>
      <c r="D81" s="36"/>
      <c r="E81" s="1013"/>
      <c r="F81" s="90"/>
      <c r="G81" s="59"/>
      <c r="H81" s="981">
        <f t="shared" si="3"/>
        <v>35</v>
      </c>
    </row>
    <row r="82" spans="1:9">
      <c r="A82" s="981">
        <f t="shared" si="2"/>
        <v>36</v>
      </c>
      <c r="B82" s="55" t="s">
        <v>927</v>
      </c>
      <c r="C82" s="1373"/>
      <c r="D82" s="1373"/>
      <c r="E82" s="1371"/>
      <c r="F82" s="1371"/>
      <c r="G82" s="1371"/>
      <c r="H82" s="981">
        <f t="shared" si="3"/>
        <v>36</v>
      </c>
    </row>
    <row r="83" spans="1:9">
      <c r="A83" s="981">
        <f t="shared" si="2"/>
        <v>37</v>
      </c>
      <c r="B83" s="65" t="s">
        <v>862</v>
      </c>
      <c r="C83" s="1373"/>
      <c r="D83" s="1373"/>
      <c r="E83" s="839">
        <f>'AV-4'!C14</f>
        <v>25019.600360902012</v>
      </c>
      <c r="F83" s="1371"/>
      <c r="G83" s="34" t="str">
        <f>"AV-4; Line "&amp;'AV-4'!F14</f>
        <v>AV-4; Line 4</v>
      </c>
      <c r="H83" s="981">
        <f t="shared" si="3"/>
        <v>37</v>
      </c>
    </row>
    <row r="84" spans="1:9">
      <c r="A84" s="981">
        <f t="shared" si="2"/>
        <v>38</v>
      </c>
      <c r="B84" s="55"/>
      <c r="C84" s="1373"/>
      <c r="D84" s="1373"/>
      <c r="E84" s="1371"/>
      <c r="F84" s="1371"/>
      <c r="G84" s="1371"/>
      <c r="H84" s="981">
        <f t="shared" si="3"/>
        <v>38</v>
      </c>
    </row>
    <row r="85" spans="1:9">
      <c r="A85" s="981">
        <f t="shared" si="2"/>
        <v>39</v>
      </c>
      <c r="B85" s="65" t="s">
        <v>861</v>
      </c>
      <c r="C85" s="1373"/>
      <c r="D85" s="1373"/>
      <c r="E85" s="1458">
        <f>'AV-4'!C15</f>
        <v>47895.496741946881</v>
      </c>
      <c r="F85" s="1371"/>
      <c r="G85" s="34" t="str">
        <f>"AV-4; Line "&amp;'AV-4'!F15</f>
        <v>AV-4; Line 5</v>
      </c>
      <c r="H85" s="981">
        <f t="shared" si="3"/>
        <v>39</v>
      </c>
    </row>
    <row r="86" spans="1:9" ht="20.25">
      <c r="A86" s="981">
        <f t="shared" si="2"/>
        <v>40</v>
      </c>
      <c r="B86" s="1394"/>
      <c r="C86" s="1388"/>
      <c r="D86" s="1388"/>
      <c r="E86" s="1395"/>
      <c r="F86" s="1396"/>
      <c r="G86" s="1394"/>
      <c r="H86" s="981">
        <f t="shared" si="3"/>
        <v>40</v>
      </c>
    </row>
    <row r="87" spans="1:9">
      <c r="A87" s="981">
        <f t="shared" si="2"/>
        <v>41</v>
      </c>
      <c r="B87" s="1460" t="s">
        <v>863</v>
      </c>
      <c r="C87" s="1388"/>
      <c r="D87" s="1388"/>
      <c r="E87" s="1459">
        <f>E83+E85</f>
        <v>72915.0971028489</v>
      </c>
      <c r="F87" s="1392"/>
      <c r="G87" s="34" t="str">
        <f>"Line "&amp;A83&amp;" + Line "&amp;A85</f>
        <v>Line 37 + Line 39</v>
      </c>
      <c r="H87" s="981">
        <f t="shared" si="3"/>
        <v>41</v>
      </c>
    </row>
    <row r="88" spans="1:9">
      <c r="A88" s="981">
        <f t="shared" si="2"/>
        <v>42</v>
      </c>
      <c r="B88" s="1391"/>
      <c r="C88" s="1388"/>
      <c r="D88" s="1388"/>
      <c r="E88" s="1397"/>
      <c r="F88" s="1392"/>
      <c r="G88" s="1393"/>
      <c r="H88" s="981">
        <f t="shared" si="3"/>
        <v>42</v>
      </c>
    </row>
    <row r="89" spans="1:9">
      <c r="A89" s="981">
        <f t="shared" si="2"/>
        <v>43</v>
      </c>
      <c r="B89" s="65" t="s">
        <v>865</v>
      </c>
      <c r="C89" s="1388"/>
      <c r="D89" s="1388"/>
      <c r="E89" s="1457">
        <f>E76</f>
        <v>0.10650576129497175</v>
      </c>
      <c r="F89" s="1392"/>
      <c r="G89" s="39" t="str">
        <f>"Line "&amp;A76</f>
        <v>Line 30</v>
      </c>
      <c r="H89" s="981">
        <f t="shared" si="3"/>
        <v>43</v>
      </c>
    </row>
    <row r="90" spans="1:9">
      <c r="A90" s="981">
        <f t="shared" si="2"/>
        <v>44</v>
      </c>
      <c r="B90" s="1394"/>
      <c r="C90" s="1388"/>
      <c r="D90" s="1388"/>
      <c r="E90" s="1398"/>
      <c r="F90" s="1399"/>
      <c r="G90" s="1394"/>
      <c r="H90" s="981">
        <f t="shared" si="3"/>
        <v>44</v>
      </c>
    </row>
    <row r="91" spans="1:9">
      <c r="A91" s="981">
        <f t="shared" si="2"/>
        <v>45</v>
      </c>
      <c r="B91" s="45" t="s">
        <v>874</v>
      </c>
      <c r="C91" s="1388"/>
      <c r="D91" s="1388"/>
      <c r="E91" s="1461">
        <f>E87*E89</f>
        <v>7765.8779268357112</v>
      </c>
      <c r="F91" s="1401"/>
      <c r="G91" s="34" t="str">
        <f>"Line "&amp;A87&amp;" * Line "&amp;A89</f>
        <v>Line 41 * Line 43</v>
      </c>
      <c r="H91" s="981">
        <f t="shared" si="3"/>
        <v>45</v>
      </c>
    </row>
    <row r="92" spans="1:9">
      <c r="A92" s="981">
        <f t="shared" si="2"/>
        <v>46</v>
      </c>
      <c r="B92" s="1372"/>
      <c r="C92" s="1388"/>
      <c r="D92" s="1388"/>
      <c r="E92" s="1400"/>
      <c r="F92" s="1401"/>
      <c r="G92" s="1370"/>
      <c r="H92" s="981">
        <f t="shared" si="3"/>
        <v>46</v>
      </c>
    </row>
    <row r="93" spans="1:9">
      <c r="A93" s="981">
        <f t="shared" si="2"/>
        <v>47</v>
      </c>
      <c r="B93" s="50" t="s">
        <v>864</v>
      </c>
      <c r="C93" s="1388"/>
      <c r="D93" s="1388"/>
      <c r="E93" s="1542">
        <f>'Stmt AJ'!E27</f>
        <v>9605.6827891860339</v>
      </c>
      <c r="F93" s="1401"/>
      <c r="G93" s="53" t="str">
        <f>"Statement AJ; Line "&amp;'Stmt AJ'!A27</f>
        <v>Statement AJ; Line 17</v>
      </c>
      <c r="H93" s="981">
        <f t="shared" si="3"/>
        <v>47</v>
      </c>
      <c r="I93" s="1388"/>
    </row>
    <row r="94" spans="1:9">
      <c r="A94" s="981">
        <f t="shared" si="2"/>
        <v>48</v>
      </c>
      <c r="B94" s="50"/>
      <c r="C94" s="1388"/>
      <c r="D94" s="1388"/>
      <c r="E94" s="1147"/>
      <c r="F94" s="1401"/>
      <c r="G94" s="53"/>
      <c r="H94" s="981">
        <f t="shared" si="3"/>
        <v>48</v>
      </c>
    </row>
    <row r="95" spans="1:9">
      <c r="A95" s="981">
        <f t="shared" si="2"/>
        <v>49</v>
      </c>
      <c r="B95" s="50" t="s">
        <v>979</v>
      </c>
      <c r="C95" s="1388"/>
      <c r="D95" s="1388"/>
      <c r="E95" s="1147">
        <f>E91+E93</f>
        <v>17371.560716021744</v>
      </c>
      <c r="F95" s="1401"/>
      <c r="G95" s="34" t="str">
        <f>"Line "&amp;A91&amp;" + Line "&amp;A93</f>
        <v>Line 45 + Line 47</v>
      </c>
      <c r="H95" s="981">
        <f t="shared" si="3"/>
        <v>49</v>
      </c>
    </row>
    <row r="96" spans="1:9">
      <c r="A96" s="981">
        <f t="shared" si="2"/>
        <v>50</v>
      </c>
      <c r="B96" s="1394"/>
      <c r="C96" s="1388"/>
      <c r="D96" s="1388"/>
      <c r="E96" s="1423"/>
      <c r="F96" s="1394"/>
      <c r="G96" s="1394"/>
      <c r="H96" s="981">
        <f t="shared" si="3"/>
        <v>50</v>
      </c>
    </row>
    <row r="97" spans="1:8" ht="16.5" thickBot="1">
      <c r="A97" s="981">
        <f t="shared" si="2"/>
        <v>51</v>
      </c>
      <c r="B97" s="45" t="s">
        <v>1009</v>
      </c>
      <c r="C97" s="1388"/>
      <c r="D97" s="1388"/>
      <c r="E97" s="1462">
        <f>E95/E47</f>
        <v>3.7461736151020598E-3</v>
      </c>
      <c r="F97" s="1402"/>
      <c r="G97" s="34" t="str">
        <f>"Line "&amp;A95&amp;" / Line "&amp;A47&amp;""</f>
        <v>Line 49 / Line 1</v>
      </c>
      <c r="H97" s="981">
        <f t="shared" si="3"/>
        <v>51</v>
      </c>
    </row>
    <row r="98" spans="1:8" ht="16.5" thickTop="1">
      <c r="A98" s="983"/>
    </row>
    <row r="99" spans="1:8">
      <c r="A99" s="983"/>
    </row>
    <row r="100" spans="1:8">
      <c r="A100" s="983"/>
    </row>
    <row r="101" spans="1:8">
      <c r="A101" s="983"/>
    </row>
    <row r="102" spans="1:8">
      <c r="A102" s="983"/>
    </row>
    <row r="103" spans="1:8">
      <c r="A103" s="983"/>
    </row>
    <row r="104" spans="1:8">
      <c r="A104" s="983"/>
    </row>
    <row r="105" spans="1:8">
      <c r="A105" s="983"/>
    </row>
    <row r="106" spans="1:8">
      <c r="A106" s="983"/>
    </row>
    <row r="107" spans="1:8">
      <c r="A107" s="983"/>
    </row>
    <row r="108" spans="1:8">
      <c r="A108" s="983"/>
    </row>
    <row r="109" spans="1:8">
      <c r="A109" s="983"/>
    </row>
    <row r="110" spans="1:8">
      <c r="A110" s="983"/>
    </row>
    <row r="111" spans="1:8">
      <c r="A111" s="983"/>
    </row>
    <row r="112" spans="1:8">
      <c r="A112" s="983"/>
    </row>
    <row r="113" spans="1:1">
      <c r="A113" s="983"/>
    </row>
    <row r="114" spans="1:1">
      <c r="A114" s="983"/>
    </row>
    <row r="115" spans="1:1">
      <c r="A115" s="983"/>
    </row>
    <row r="116" spans="1:1">
      <c r="A116" s="983"/>
    </row>
    <row r="117" spans="1:1">
      <c r="A117" s="983"/>
    </row>
    <row r="118" spans="1:1">
      <c r="A118" s="983"/>
    </row>
    <row r="119" spans="1:1">
      <c r="A119" s="983"/>
    </row>
    <row r="120" spans="1:1">
      <c r="A120" s="983"/>
    </row>
    <row r="121" spans="1:1">
      <c r="A121" s="983"/>
    </row>
    <row r="122" spans="1:1">
      <c r="A122" s="983"/>
    </row>
    <row r="123" spans="1:1">
      <c r="A123" s="983"/>
    </row>
    <row r="124" spans="1:1">
      <c r="A124" s="983"/>
    </row>
    <row r="125" spans="1:1">
      <c r="A125" s="983"/>
    </row>
    <row r="126" spans="1:1">
      <c r="A126" s="983"/>
    </row>
    <row r="127" spans="1:1">
      <c r="A127" s="983"/>
    </row>
    <row r="128" spans="1:1">
      <c r="A128" s="983"/>
    </row>
    <row r="129" spans="1:1">
      <c r="A129" s="983"/>
    </row>
    <row r="130" spans="1:1">
      <c r="A130" s="983"/>
    </row>
    <row r="131" spans="1:1">
      <c r="A131" s="983"/>
    </row>
    <row r="132" spans="1:1">
      <c r="A132" s="983"/>
    </row>
    <row r="133" spans="1:1">
      <c r="A133" s="983"/>
    </row>
    <row r="134" spans="1:1">
      <c r="A134" s="983"/>
    </row>
    <row r="135" spans="1:1">
      <c r="A135" s="983"/>
    </row>
    <row r="136" spans="1:1">
      <c r="A136" s="983"/>
    </row>
    <row r="137" spans="1:1">
      <c r="A137" s="983"/>
    </row>
    <row r="138" spans="1:1">
      <c r="A138" s="983"/>
    </row>
    <row r="139" spans="1:1">
      <c r="A139" s="983"/>
    </row>
    <row r="140" spans="1:1">
      <c r="A140" s="983"/>
    </row>
    <row r="141" spans="1:1">
      <c r="A141" s="983"/>
    </row>
    <row r="142" spans="1:1">
      <c r="A142" s="983"/>
    </row>
    <row r="143" spans="1:1">
      <c r="A143" s="983"/>
    </row>
    <row r="144" spans="1:1">
      <c r="A144" s="983"/>
    </row>
    <row r="145" spans="1:6">
      <c r="A145" s="983"/>
    </row>
    <row r="146" spans="1:6">
      <c r="A146" s="983"/>
    </row>
    <row r="147" spans="1:6">
      <c r="A147" s="983"/>
    </row>
    <row r="148" spans="1:6">
      <c r="A148" s="983"/>
    </row>
    <row r="149" spans="1:6">
      <c r="A149" s="983"/>
    </row>
    <row r="150" spans="1:6">
      <c r="A150" s="983"/>
    </row>
    <row r="151" spans="1:6">
      <c r="A151" s="983"/>
    </row>
    <row r="152" spans="1:6">
      <c r="A152" s="983"/>
      <c r="B152" s="91"/>
      <c r="C152" s="91"/>
      <c r="D152" s="91"/>
      <c r="E152" s="91"/>
      <c r="F152" s="91"/>
    </row>
    <row r="153" spans="1:6">
      <c r="A153" s="983"/>
      <c r="B153" s="91"/>
      <c r="C153" s="91"/>
      <c r="D153" s="91"/>
      <c r="E153" s="91"/>
      <c r="F153" s="91"/>
    </row>
    <row r="158" spans="1:6">
      <c r="A158" s="980"/>
      <c r="B158" s="91"/>
      <c r="C158" s="91"/>
      <c r="D158" s="91"/>
      <c r="E158" s="66"/>
      <c r="F158" s="66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4" fitToHeight="0" orientation="portrait" r:id="rId1"/>
  <headerFooter scaleWithDoc="0">
    <oddFooter>&amp;C&amp;"Times New Roman,Regular"&amp;10Section 2
Page &amp;P of 2</oddFooter>
  </headerFooter>
  <rowBreaks count="1" manualBreakCount="1">
    <brk id="36" max="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7"/>
  <sheetViews>
    <sheetView zoomScale="80" zoomScaleNormal="80" workbookViewId="0"/>
  </sheetViews>
  <sheetFormatPr defaultColWidth="10" defaultRowHeight="15.75"/>
  <cols>
    <col min="1" max="1" width="5.28515625" style="1295" customWidth="1"/>
    <col min="2" max="2" width="11.140625" style="1274" customWidth="1"/>
    <col min="3" max="3" width="69.28515625" style="1274" customWidth="1"/>
    <col min="4" max="4" width="18.5703125" style="1274" customWidth="1"/>
    <col min="5" max="5" width="5.28515625" style="1295" customWidth="1"/>
    <col min="6" max="7" width="10" style="1274"/>
    <col min="8" max="8" width="14" style="1274" customWidth="1"/>
    <col min="9" max="16384" width="10" style="1274"/>
  </cols>
  <sheetData>
    <row r="2" spans="1:10">
      <c r="A2" s="1273"/>
      <c r="B2" s="1643" t="s">
        <v>18</v>
      </c>
      <c r="C2" s="1643"/>
      <c r="D2" s="1643"/>
      <c r="E2" s="1202"/>
      <c r="F2" s="1203"/>
      <c r="G2" s="913"/>
      <c r="H2" s="913"/>
      <c r="I2" s="913"/>
      <c r="J2" s="913"/>
    </row>
    <row r="3" spans="1:10">
      <c r="A3" s="993"/>
      <c r="B3" s="1652" t="str">
        <f>Automation!B6&amp;" Citizens Direct Maintenance"</f>
        <v>2018 Citizens Direct Maintenance</v>
      </c>
      <c r="C3" s="1652"/>
      <c r="D3" s="1652"/>
      <c r="E3" s="995"/>
      <c r="F3" s="913"/>
      <c r="G3" s="913"/>
      <c r="H3" s="913"/>
      <c r="I3" s="913"/>
      <c r="J3" s="913"/>
    </row>
    <row r="4" spans="1:10">
      <c r="A4" s="893"/>
      <c r="B4" s="1653" t="str">
        <f>" 12 Months Ending December 31, "&amp;Automation!$B$6</f>
        <v xml:space="preserve"> 12 Months Ending December 31, 2018</v>
      </c>
      <c r="C4" s="1653"/>
      <c r="D4" s="1653"/>
      <c r="E4" s="994"/>
      <c r="F4" s="110"/>
      <c r="G4" s="110"/>
      <c r="H4" s="110"/>
      <c r="I4" s="110"/>
      <c r="J4" s="110"/>
    </row>
    <row r="5" spans="1:10">
      <c r="A5" s="893"/>
      <c r="B5" s="1654" t="s">
        <v>3</v>
      </c>
      <c r="C5" s="1654"/>
      <c r="D5" s="1654"/>
      <c r="E5" s="994"/>
      <c r="F5" s="110"/>
      <c r="G5" s="110"/>
      <c r="H5" s="110"/>
      <c r="I5" s="110"/>
      <c r="J5" s="110"/>
    </row>
    <row r="6" spans="1:10" ht="16.5" thickBot="1">
      <c r="A6" s="994"/>
      <c r="B6" s="1204"/>
      <c r="C6" s="1204"/>
      <c r="D6" s="1204"/>
      <c r="E6" s="994"/>
      <c r="F6" s="110"/>
      <c r="G6" s="110"/>
      <c r="H6" s="110"/>
      <c r="I6" s="110"/>
      <c r="J6" s="110"/>
    </row>
    <row r="7" spans="1:10">
      <c r="A7" s="1275" t="s">
        <v>4</v>
      </c>
      <c r="B7" s="1276" t="s">
        <v>735</v>
      </c>
      <c r="C7" s="1277"/>
      <c r="D7" s="1278"/>
      <c r="E7" s="1275" t="s">
        <v>4</v>
      </c>
    </row>
    <row r="8" spans="1:10">
      <c r="A8" s="1275" t="s">
        <v>25</v>
      </c>
      <c r="B8" s="1279" t="s">
        <v>71</v>
      </c>
      <c r="C8" s="1280" t="s">
        <v>72</v>
      </c>
      <c r="D8" s="1281" t="s">
        <v>128</v>
      </c>
      <c r="E8" s="1275" t="s">
        <v>25</v>
      </c>
    </row>
    <row r="9" spans="1:10">
      <c r="A9" s="1275">
        <v>1</v>
      </c>
      <c r="B9" s="1282">
        <v>6110020</v>
      </c>
      <c r="C9" s="1283" t="s">
        <v>633</v>
      </c>
      <c r="D9" s="1124">
        <f>0/1000</f>
        <v>0</v>
      </c>
      <c r="E9" s="1275">
        <f>A9</f>
        <v>1</v>
      </c>
    </row>
    <row r="10" spans="1:10">
      <c r="A10" s="1275">
        <f>A9+1</f>
        <v>2</v>
      </c>
      <c r="B10" s="1282">
        <v>6110030</v>
      </c>
      <c r="C10" s="1283" t="s">
        <v>677</v>
      </c>
      <c r="D10" s="916">
        <f>0/1000</f>
        <v>0</v>
      </c>
      <c r="E10" s="1275">
        <f>E9+1</f>
        <v>2</v>
      </c>
    </row>
    <row r="11" spans="1:10">
      <c r="A11" s="1275">
        <f>A10+1</f>
        <v>3</v>
      </c>
      <c r="B11" s="1282">
        <v>6110080</v>
      </c>
      <c r="C11" s="1283" t="s">
        <v>634</v>
      </c>
      <c r="D11" s="916">
        <f t="shared" ref="D11:D54" si="0">0/1000</f>
        <v>0</v>
      </c>
      <c r="E11" s="1275">
        <f>E10+1</f>
        <v>3</v>
      </c>
    </row>
    <row r="12" spans="1:10">
      <c r="A12" s="1275">
        <f>A11+1</f>
        <v>4</v>
      </c>
      <c r="B12" s="1282">
        <v>6110090</v>
      </c>
      <c r="C12" s="1283" t="s">
        <v>635</v>
      </c>
      <c r="D12" s="916">
        <f t="shared" si="0"/>
        <v>0</v>
      </c>
      <c r="E12" s="1275">
        <f>E11+1</f>
        <v>4</v>
      </c>
    </row>
    <row r="13" spans="1:10">
      <c r="A13" s="1275">
        <f>A12+1</f>
        <v>5</v>
      </c>
      <c r="B13" s="1282">
        <v>6110100</v>
      </c>
      <c r="C13" s="1283" t="s">
        <v>636</v>
      </c>
      <c r="D13" s="916">
        <f t="shared" si="0"/>
        <v>0</v>
      </c>
      <c r="E13" s="1275">
        <f>E12+1</f>
        <v>5</v>
      </c>
    </row>
    <row r="14" spans="1:10">
      <c r="A14" s="1275">
        <f>A13+1</f>
        <v>6</v>
      </c>
      <c r="B14" s="1282">
        <v>6110110</v>
      </c>
      <c r="C14" s="1283" t="s">
        <v>637</v>
      </c>
      <c r="D14" s="916">
        <f t="shared" si="0"/>
        <v>0</v>
      </c>
      <c r="E14" s="1275">
        <f>E13+1</f>
        <v>6</v>
      </c>
    </row>
    <row r="15" spans="1:10">
      <c r="A15" s="1275">
        <f t="shared" ref="A15:A57" si="1">A14+1</f>
        <v>7</v>
      </c>
      <c r="B15" s="1282">
        <v>6110120</v>
      </c>
      <c r="C15" s="1283" t="s">
        <v>638</v>
      </c>
      <c r="D15" s="916">
        <f t="shared" si="0"/>
        <v>0</v>
      </c>
      <c r="E15" s="1275">
        <f t="shared" ref="E15:E57" si="2">E14+1</f>
        <v>7</v>
      </c>
    </row>
    <row r="16" spans="1:10">
      <c r="A16" s="1275">
        <f t="shared" si="1"/>
        <v>8</v>
      </c>
      <c r="B16" s="1282">
        <v>6110130</v>
      </c>
      <c r="C16" s="1283" t="s">
        <v>639</v>
      </c>
      <c r="D16" s="916">
        <f t="shared" si="0"/>
        <v>0</v>
      </c>
      <c r="E16" s="1275">
        <f t="shared" si="2"/>
        <v>8</v>
      </c>
    </row>
    <row r="17" spans="1:5">
      <c r="A17" s="1275">
        <f t="shared" si="1"/>
        <v>9</v>
      </c>
      <c r="B17" s="1282">
        <v>6110335</v>
      </c>
      <c r="C17" s="1283" t="s">
        <v>710</v>
      </c>
      <c r="D17" s="916">
        <f t="shared" si="0"/>
        <v>0</v>
      </c>
      <c r="E17" s="1275">
        <f t="shared" si="2"/>
        <v>9</v>
      </c>
    </row>
    <row r="18" spans="1:5">
      <c r="A18" s="1275">
        <f t="shared" si="1"/>
        <v>10</v>
      </c>
      <c r="B18" s="1282">
        <v>6130020</v>
      </c>
      <c r="C18" s="1283" t="s">
        <v>640</v>
      </c>
      <c r="D18" s="916">
        <f t="shared" si="0"/>
        <v>0</v>
      </c>
      <c r="E18" s="1275">
        <f t="shared" si="2"/>
        <v>10</v>
      </c>
    </row>
    <row r="19" spans="1:5">
      <c r="A19" s="1275">
        <f t="shared" si="1"/>
        <v>11</v>
      </c>
      <c r="B19" s="1282">
        <v>6220007</v>
      </c>
      <c r="C19" s="1283" t="s">
        <v>711</v>
      </c>
      <c r="D19" s="916">
        <f t="shared" si="0"/>
        <v>0</v>
      </c>
      <c r="E19" s="1275">
        <f t="shared" si="2"/>
        <v>11</v>
      </c>
    </row>
    <row r="20" spans="1:5">
      <c r="A20" s="1275">
        <f t="shared" si="1"/>
        <v>12</v>
      </c>
      <c r="B20" s="1282">
        <v>6220100</v>
      </c>
      <c r="C20" s="1283" t="s">
        <v>712</v>
      </c>
      <c r="D20" s="916">
        <f t="shared" si="0"/>
        <v>0</v>
      </c>
      <c r="E20" s="1275">
        <f t="shared" si="2"/>
        <v>12</v>
      </c>
    </row>
    <row r="21" spans="1:5">
      <c r="A21" s="1275">
        <f t="shared" si="1"/>
        <v>13</v>
      </c>
      <c r="B21" s="1282">
        <v>6220600</v>
      </c>
      <c r="C21" s="1283" t="s">
        <v>641</v>
      </c>
      <c r="D21" s="916">
        <f t="shared" si="0"/>
        <v>0</v>
      </c>
      <c r="E21" s="1275">
        <f t="shared" si="2"/>
        <v>13</v>
      </c>
    </row>
    <row r="22" spans="1:5">
      <c r="A22" s="1275">
        <f t="shared" si="1"/>
        <v>14</v>
      </c>
      <c r="B22" s="1282">
        <v>6220850</v>
      </c>
      <c r="C22" s="1283" t="s">
        <v>642</v>
      </c>
      <c r="D22" s="916">
        <f t="shared" si="0"/>
        <v>0</v>
      </c>
      <c r="E22" s="1275">
        <f t="shared" si="2"/>
        <v>14</v>
      </c>
    </row>
    <row r="23" spans="1:5">
      <c r="A23" s="1275">
        <f t="shared" si="1"/>
        <v>15</v>
      </c>
      <c r="B23" s="1282">
        <v>6221000</v>
      </c>
      <c r="C23" s="1283" t="s">
        <v>643</v>
      </c>
      <c r="D23" s="916">
        <f t="shared" si="0"/>
        <v>0</v>
      </c>
      <c r="E23" s="1275">
        <f t="shared" si="2"/>
        <v>15</v>
      </c>
    </row>
    <row r="24" spans="1:5">
      <c r="A24" s="1275">
        <f t="shared" si="1"/>
        <v>16</v>
      </c>
      <c r="B24" s="1282">
        <v>6231042</v>
      </c>
      <c r="C24" s="1283" t="s">
        <v>644</v>
      </c>
      <c r="D24" s="916">
        <f t="shared" si="0"/>
        <v>0</v>
      </c>
      <c r="E24" s="1275">
        <f t="shared" si="2"/>
        <v>16</v>
      </c>
    </row>
    <row r="25" spans="1:5">
      <c r="A25" s="1275">
        <f t="shared" si="1"/>
        <v>17</v>
      </c>
      <c r="B25" s="1282">
        <v>6261050</v>
      </c>
      <c r="C25" s="1283" t="s">
        <v>645</v>
      </c>
      <c r="D25" s="916">
        <f t="shared" si="0"/>
        <v>0</v>
      </c>
      <c r="E25" s="1275">
        <f t="shared" si="2"/>
        <v>17</v>
      </c>
    </row>
    <row r="26" spans="1:5">
      <c r="A26" s="1275">
        <f t="shared" si="1"/>
        <v>18</v>
      </c>
      <c r="B26" s="1282">
        <v>6262050</v>
      </c>
      <c r="C26" s="1283" t="s">
        <v>646</v>
      </c>
      <c r="D26" s="916">
        <f t="shared" si="0"/>
        <v>0</v>
      </c>
      <c r="E26" s="1275">
        <f t="shared" si="2"/>
        <v>18</v>
      </c>
    </row>
    <row r="27" spans="1:5">
      <c r="A27" s="1275">
        <f t="shared" si="1"/>
        <v>19</v>
      </c>
      <c r="B27" s="1282">
        <v>6340000</v>
      </c>
      <c r="C27" s="1283" t="s">
        <v>647</v>
      </c>
      <c r="D27" s="916">
        <f t="shared" si="0"/>
        <v>0</v>
      </c>
      <c r="E27" s="1275">
        <f t="shared" si="2"/>
        <v>19</v>
      </c>
    </row>
    <row r="28" spans="1:5">
      <c r="A28" s="1275">
        <f t="shared" si="1"/>
        <v>20</v>
      </c>
      <c r="B28" s="1282">
        <v>9121100</v>
      </c>
      <c r="C28" s="1283" t="s">
        <v>648</v>
      </c>
      <c r="D28" s="916">
        <f t="shared" si="0"/>
        <v>0</v>
      </c>
      <c r="E28" s="1275">
        <f t="shared" si="2"/>
        <v>20</v>
      </c>
    </row>
    <row r="29" spans="1:5">
      <c r="A29" s="1275">
        <f t="shared" si="1"/>
        <v>21</v>
      </c>
      <c r="B29" s="1282">
        <v>9121200</v>
      </c>
      <c r="C29" s="1283" t="s">
        <v>649</v>
      </c>
      <c r="D29" s="916">
        <f t="shared" si="0"/>
        <v>0</v>
      </c>
      <c r="E29" s="1275">
        <f t="shared" si="2"/>
        <v>21</v>
      </c>
    </row>
    <row r="30" spans="1:5">
      <c r="A30" s="1275">
        <f t="shared" si="1"/>
        <v>22</v>
      </c>
      <c r="B30" s="1282">
        <v>9121400</v>
      </c>
      <c r="C30" s="1283" t="s">
        <v>650</v>
      </c>
      <c r="D30" s="916">
        <f t="shared" si="0"/>
        <v>0</v>
      </c>
      <c r="E30" s="1275">
        <f t="shared" si="2"/>
        <v>22</v>
      </c>
    </row>
    <row r="31" spans="1:5">
      <c r="A31" s="1275">
        <f t="shared" si="1"/>
        <v>23</v>
      </c>
      <c r="B31" s="1282">
        <v>9121500</v>
      </c>
      <c r="C31" s="1283" t="s">
        <v>651</v>
      </c>
      <c r="D31" s="916">
        <f t="shared" si="0"/>
        <v>0</v>
      </c>
      <c r="E31" s="1275">
        <f t="shared" si="2"/>
        <v>23</v>
      </c>
    </row>
    <row r="32" spans="1:5">
      <c r="A32" s="1275">
        <f t="shared" si="1"/>
        <v>24</v>
      </c>
      <c r="B32" s="1282">
        <v>9121600</v>
      </c>
      <c r="C32" s="1283" t="s">
        <v>652</v>
      </c>
      <c r="D32" s="916">
        <f t="shared" si="0"/>
        <v>0</v>
      </c>
      <c r="E32" s="1275">
        <f t="shared" si="2"/>
        <v>24</v>
      </c>
    </row>
    <row r="33" spans="1:5">
      <c r="A33" s="1275">
        <f t="shared" si="1"/>
        <v>25</v>
      </c>
      <c r="B33" s="1282">
        <v>9122300</v>
      </c>
      <c r="C33" s="1283" t="s">
        <v>653</v>
      </c>
      <c r="D33" s="916">
        <f t="shared" si="0"/>
        <v>0</v>
      </c>
      <c r="E33" s="1275">
        <f t="shared" si="2"/>
        <v>25</v>
      </c>
    </row>
    <row r="34" spans="1:5">
      <c r="A34" s="1275">
        <f t="shared" si="1"/>
        <v>26</v>
      </c>
      <c r="B34" s="1282">
        <v>9122400</v>
      </c>
      <c r="C34" s="1283" t="s">
        <v>654</v>
      </c>
      <c r="D34" s="916">
        <f t="shared" si="0"/>
        <v>0</v>
      </c>
      <c r="E34" s="1275">
        <f t="shared" si="2"/>
        <v>26</v>
      </c>
    </row>
    <row r="35" spans="1:5">
      <c r="A35" s="1275">
        <f t="shared" si="1"/>
        <v>27</v>
      </c>
      <c r="B35" s="1282">
        <v>9122500</v>
      </c>
      <c r="C35" s="1283" t="s">
        <v>655</v>
      </c>
      <c r="D35" s="916">
        <f t="shared" si="0"/>
        <v>0</v>
      </c>
      <c r="E35" s="1275">
        <f t="shared" si="2"/>
        <v>27</v>
      </c>
    </row>
    <row r="36" spans="1:5">
      <c r="A36" s="1275">
        <f t="shared" si="1"/>
        <v>28</v>
      </c>
      <c r="B36" s="1282">
        <v>9122600</v>
      </c>
      <c r="C36" s="1283" t="s">
        <v>656</v>
      </c>
      <c r="D36" s="916">
        <f t="shared" si="0"/>
        <v>0</v>
      </c>
      <c r="E36" s="1275">
        <f t="shared" si="2"/>
        <v>28</v>
      </c>
    </row>
    <row r="37" spans="1:5">
      <c r="A37" s="1275">
        <f t="shared" si="1"/>
        <v>29</v>
      </c>
      <c r="B37" s="1282">
        <v>9122900</v>
      </c>
      <c r="C37" s="1283" t="s">
        <v>657</v>
      </c>
      <c r="D37" s="916">
        <f t="shared" si="0"/>
        <v>0</v>
      </c>
      <c r="E37" s="1275">
        <f t="shared" si="2"/>
        <v>29</v>
      </c>
    </row>
    <row r="38" spans="1:5">
      <c r="A38" s="1275">
        <f t="shared" si="1"/>
        <v>30</v>
      </c>
      <c r="B38" s="1282">
        <v>9123100</v>
      </c>
      <c r="C38" s="1283" t="s">
        <v>658</v>
      </c>
      <c r="D38" s="916">
        <f t="shared" si="0"/>
        <v>0</v>
      </c>
      <c r="E38" s="1275">
        <f t="shared" si="2"/>
        <v>30</v>
      </c>
    </row>
    <row r="39" spans="1:5">
      <c r="A39" s="1275">
        <f t="shared" si="1"/>
        <v>31</v>
      </c>
      <c r="B39" s="1282">
        <v>9123200</v>
      </c>
      <c r="C39" s="1283" t="s">
        <v>659</v>
      </c>
      <c r="D39" s="916">
        <f t="shared" si="0"/>
        <v>0</v>
      </c>
      <c r="E39" s="1275">
        <f t="shared" si="2"/>
        <v>31</v>
      </c>
    </row>
    <row r="40" spans="1:5">
      <c r="A40" s="1275">
        <f t="shared" si="1"/>
        <v>32</v>
      </c>
      <c r="B40" s="1282">
        <v>9123400</v>
      </c>
      <c r="C40" s="1283" t="s">
        <v>660</v>
      </c>
      <c r="D40" s="916">
        <f t="shared" si="0"/>
        <v>0</v>
      </c>
      <c r="E40" s="1275">
        <f t="shared" si="2"/>
        <v>32</v>
      </c>
    </row>
    <row r="41" spans="1:5">
      <c r="A41" s="1275">
        <f t="shared" si="1"/>
        <v>33</v>
      </c>
      <c r="B41" s="1282">
        <v>9123500</v>
      </c>
      <c r="C41" s="1283" t="s">
        <v>661</v>
      </c>
      <c r="D41" s="916">
        <f t="shared" si="0"/>
        <v>0</v>
      </c>
      <c r="E41" s="1275">
        <f t="shared" si="2"/>
        <v>33</v>
      </c>
    </row>
    <row r="42" spans="1:5">
      <c r="A42" s="1275">
        <f t="shared" si="1"/>
        <v>34</v>
      </c>
      <c r="B42" s="1282">
        <v>9123600</v>
      </c>
      <c r="C42" s="1283" t="s">
        <v>662</v>
      </c>
      <c r="D42" s="916">
        <f t="shared" si="0"/>
        <v>0</v>
      </c>
      <c r="E42" s="1275">
        <f t="shared" si="2"/>
        <v>34</v>
      </c>
    </row>
    <row r="43" spans="1:5">
      <c r="A43" s="1275">
        <f t="shared" si="1"/>
        <v>35</v>
      </c>
      <c r="B43" s="1282">
        <v>9124300</v>
      </c>
      <c r="C43" s="1283" t="s">
        <v>663</v>
      </c>
      <c r="D43" s="916">
        <f t="shared" si="0"/>
        <v>0</v>
      </c>
      <c r="E43" s="1275">
        <f t="shared" si="2"/>
        <v>35</v>
      </c>
    </row>
    <row r="44" spans="1:5">
      <c r="A44" s="1275">
        <f t="shared" si="1"/>
        <v>36</v>
      </c>
      <c r="B44" s="1282">
        <v>9124400</v>
      </c>
      <c r="C44" s="1283" t="s">
        <v>664</v>
      </c>
      <c r="D44" s="916">
        <f t="shared" si="0"/>
        <v>0</v>
      </c>
      <c r="E44" s="1275">
        <f t="shared" si="2"/>
        <v>36</v>
      </c>
    </row>
    <row r="45" spans="1:5">
      <c r="A45" s="1275">
        <f t="shared" si="1"/>
        <v>37</v>
      </c>
      <c r="B45" s="1282">
        <v>9124500</v>
      </c>
      <c r="C45" s="1283" t="s">
        <v>665</v>
      </c>
      <c r="D45" s="916">
        <f t="shared" si="0"/>
        <v>0</v>
      </c>
      <c r="E45" s="1275">
        <f t="shared" si="2"/>
        <v>37</v>
      </c>
    </row>
    <row r="46" spans="1:5">
      <c r="A46" s="1275">
        <f t="shared" si="1"/>
        <v>38</v>
      </c>
      <c r="B46" s="1282">
        <v>9124600</v>
      </c>
      <c r="C46" s="1283" t="s">
        <v>666</v>
      </c>
      <c r="D46" s="916">
        <f t="shared" si="0"/>
        <v>0</v>
      </c>
      <c r="E46" s="1275">
        <f t="shared" si="2"/>
        <v>38</v>
      </c>
    </row>
    <row r="47" spans="1:5">
      <c r="A47" s="1275">
        <f t="shared" si="1"/>
        <v>39</v>
      </c>
      <c r="B47" s="1282">
        <v>9124900</v>
      </c>
      <c r="C47" s="1283" t="s">
        <v>667</v>
      </c>
      <c r="D47" s="916">
        <f t="shared" si="0"/>
        <v>0</v>
      </c>
      <c r="E47" s="1275">
        <f t="shared" si="2"/>
        <v>39</v>
      </c>
    </row>
    <row r="48" spans="1:5">
      <c r="A48" s="1275">
        <f t="shared" si="1"/>
        <v>40</v>
      </c>
      <c r="B48" s="1282">
        <v>9131150</v>
      </c>
      <c r="C48" s="1283" t="s">
        <v>668</v>
      </c>
      <c r="D48" s="916">
        <f t="shared" si="0"/>
        <v>0</v>
      </c>
      <c r="E48" s="1275">
        <f t="shared" si="2"/>
        <v>40</v>
      </c>
    </row>
    <row r="49" spans="1:5">
      <c r="A49" s="1275">
        <f t="shared" si="1"/>
        <v>41</v>
      </c>
      <c r="B49" s="1282">
        <v>9131700</v>
      </c>
      <c r="C49" s="1283" t="s">
        <v>1018</v>
      </c>
      <c r="D49" s="916">
        <f t="shared" si="0"/>
        <v>0</v>
      </c>
      <c r="E49" s="1275">
        <f t="shared" si="2"/>
        <v>41</v>
      </c>
    </row>
    <row r="50" spans="1:5">
      <c r="A50" s="1275">
        <f t="shared" si="1"/>
        <v>42</v>
      </c>
      <c r="B50" s="1282">
        <v>9131850</v>
      </c>
      <c r="C50" s="1283" t="s">
        <v>669</v>
      </c>
      <c r="D50" s="916">
        <f t="shared" si="0"/>
        <v>0</v>
      </c>
      <c r="E50" s="1275">
        <f t="shared" si="2"/>
        <v>42</v>
      </c>
    </row>
    <row r="51" spans="1:5">
      <c r="A51" s="1275">
        <f t="shared" si="1"/>
        <v>43</v>
      </c>
      <c r="B51" s="1282">
        <v>9131860</v>
      </c>
      <c r="C51" s="1283" t="s">
        <v>670</v>
      </c>
      <c r="D51" s="916">
        <f t="shared" si="0"/>
        <v>0</v>
      </c>
      <c r="E51" s="1275">
        <f t="shared" si="2"/>
        <v>43</v>
      </c>
    </row>
    <row r="52" spans="1:5">
      <c r="A52" s="1275">
        <f t="shared" si="1"/>
        <v>44</v>
      </c>
      <c r="B52" s="1282">
        <v>9132150</v>
      </c>
      <c r="C52" s="1283" t="s">
        <v>671</v>
      </c>
      <c r="D52" s="916">
        <f t="shared" si="0"/>
        <v>0</v>
      </c>
      <c r="E52" s="1275">
        <f t="shared" si="2"/>
        <v>44</v>
      </c>
    </row>
    <row r="53" spans="1:5">
      <c r="A53" s="1275">
        <f t="shared" si="1"/>
        <v>45</v>
      </c>
      <c r="B53" s="1282">
        <v>9132700</v>
      </c>
      <c r="C53" s="1283" t="s">
        <v>1019</v>
      </c>
      <c r="D53" s="916">
        <f t="shared" si="0"/>
        <v>0</v>
      </c>
      <c r="E53" s="1275">
        <f t="shared" si="2"/>
        <v>45</v>
      </c>
    </row>
    <row r="54" spans="1:5">
      <c r="A54" s="1275">
        <f t="shared" si="1"/>
        <v>46</v>
      </c>
      <c r="B54" s="1284">
        <v>9132850</v>
      </c>
      <c r="C54" s="1285" t="s">
        <v>672</v>
      </c>
      <c r="D54" s="1465">
        <f t="shared" si="0"/>
        <v>0</v>
      </c>
      <c r="E54" s="1275">
        <f t="shared" si="2"/>
        <v>46</v>
      </c>
    </row>
    <row r="55" spans="1:5">
      <c r="A55" s="1275">
        <f t="shared" si="1"/>
        <v>47</v>
      </c>
      <c r="B55" s="1286"/>
      <c r="C55" s="1287"/>
      <c r="D55" s="1288"/>
      <c r="E55" s="1275">
        <f t="shared" si="2"/>
        <v>47</v>
      </c>
    </row>
    <row r="56" spans="1:5" ht="19.5" thickBot="1">
      <c r="A56" s="1275">
        <f t="shared" si="1"/>
        <v>48</v>
      </c>
      <c r="B56" s="1289" t="s">
        <v>823</v>
      </c>
      <c r="C56" s="1290"/>
      <c r="D56" s="1291">
        <f>SUM(D9:D54)</f>
        <v>0</v>
      </c>
      <c r="E56" s="1275">
        <f t="shared" si="2"/>
        <v>48</v>
      </c>
    </row>
    <row r="57" spans="1:5" ht="17.25" thickTop="1" thickBot="1">
      <c r="A57" s="1275">
        <f t="shared" si="1"/>
        <v>49</v>
      </c>
      <c r="B57" s="1292"/>
      <c r="C57" s="1293"/>
      <c r="D57" s="1294"/>
      <c r="E57" s="1275">
        <f t="shared" si="2"/>
        <v>49</v>
      </c>
    </row>
    <row r="58" spans="1:5">
      <c r="D58" s="1296"/>
    </row>
    <row r="59" spans="1:5">
      <c r="D59" s="1296"/>
    </row>
    <row r="60" spans="1:5" ht="18.75">
      <c r="A60" s="1297">
        <v>1</v>
      </c>
      <c r="B60" s="1298" t="s">
        <v>734</v>
      </c>
      <c r="C60" s="1298"/>
      <c r="D60" s="1299"/>
    </row>
    <row r="61" spans="1:5" ht="18.75">
      <c r="A61" s="1297"/>
      <c r="B61" s="1298" t="s">
        <v>709</v>
      </c>
      <c r="C61" s="1298"/>
      <c r="D61" s="1299"/>
    </row>
    <row r="62" spans="1:5" ht="18.75">
      <c r="A62" s="1300">
        <v>2</v>
      </c>
      <c r="B62" s="1298" t="s">
        <v>900</v>
      </c>
      <c r="C62" s="1298"/>
    </row>
    <row r="63" spans="1:5">
      <c r="C63" s="1299"/>
    </row>
    <row r="64" spans="1:5">
      <c r="C64" s="210"/>
    </row>
    <row r="65" spans="3:3">
      <c r="C65" s="1298"/>
    </row>
    <row r="66" spans="3:3">
      <c r="C66" s="1298"/>
    </row>
    <row r="67" spans="3:3">
      <c r="C67" s="1298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74" orientation="portrait" r:id="rId1"/>
  <headerFooter scaleWithDoc="0">
    <oddFooter>&amp;C&amp;"Times New Roman,Regular"&amp;10&amp;A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7"/>
  <sheetViews>
    <sheetView zoomScale="80" zoomScaleNormal="80" zoomScalePageLayoutView="90" workbookViewId="0"/>
  </sheetViews>
  <sheetFormatPr defaultColWidth="13.42578125" defaultRowHeight="15.75"/>
  <cols>
    <col min="1" max="1" width="5.28515625" style="408" customWidth="1"/>
    <col min="2" max="2" width="8.5703125" style="442" customWidth="1"/>
    <col min="3" max="3" width="63.140625" style="408" customWidth="1"/>
    <col min="4" max="4" width="16.85546875" style="408" customWidth="1"/>
    <col min="5" max="5" width="16.85546875" style="301" customWidth="1"/>
    <col min="6" max="6" width="16.85546875" style="408" customWidth="1"/>
    <col min="7" max="7" width="38.7109375" style="408" customWidth="1"/>
    <col min="8" max="8" width="5.28515625" style="408" customWidth="1"/>
    <col min="9" max="16384" width="13.42578125" style="408"/>
  </cols>
  <sheetData>
    <row r="1" spans="1:11">
      <c r="A1" s="1203"/>
    </row>
    <row r="2" spans="1:11" s="1203" customFormat="1">
      <c r="B2" s="1628" t="s">
        <v>18</v>
      </c>
      <c r="C2" s="1628"/>
      <c r="D2" s="1628"/>
      <c r="E2" s="1628"/>
      <c r="F2" s="1628"/>
      <c r="G2" s="1628"/>
      <c r="H2" s="1196"/>
    </row>
    <row r="3" spans="1:11" s="1203" customFormat="1">
      <c r="B3" s="1628" t="s">
        <v>140</v>
      </c>
      <c r="C3" s="1628"/>
      <c r="D3" s="1628"/>
      <c r="E3" s="1628"/>
      <c r="F3" s="1628"/>
      <c r="G3" s="1628"/>
      <c r="H3" s="443"/>
    </row>
    <row r="4" spans="1:11" s="1203" customFormat="1">
      <c r="B4" s="1628" t="str">
        <f>" 12 Months Ending December 31, "&amp;Automation!$B$6</f>
        <v xml:space="preserve"> 12 Months Ending December 31, 2018</v>
      </c>
      <c r="C4" s="1628"/>
      <c r="D4" s="1628"/>
      <c r="E4" s="1628"/>
      <c r="F4" s="1628"/>
      <c r="G4" s="1628"/>
      <c r="H4" s="443"/>
    </row>
    <row r="5" spans="1:11" s="444" customFormat="1">
      <c r="B5" s="1655" t="s">
        <v>3</v>
      </c>
      <c r="C5" s="1655"/>
      <c r="D5" s="1655"/>
      <c r="E5" s="1655"/>
      <c r="F5" s="1655"/>
      <c r="G5" s="1655"/>
      <c r="H5" s="445"/>
    </row>
    <row r="6" spans="1:11" ht="16.5" thickBot="1">
      <c r="A6" s="446"/>
      <c r="B6" s="447"/>
      <c r="C6" s="448"/>
      <c r="D6" s="448"/>
      <c r="E6" s="449"/>
      <c r="F6" s="448"/>
      <c r="G6" s="448"/>
      <c r="H6" s="448"/>
    </row>
    <row r="7" spans="1:11" s="1203" customFormat="1">
      <c r="A7" s="450"/>
      <c r="B7" s="451"/>
      <c r="C7" s="452"/>
      <c r="D7" s="453" t="s">
        <v>5</v>
      </c>
      <c r="E7" s="454" t="s">
        <v>6</v>
      </c>
      <c r="F7" s="453" t="s">
        <v>141</v>
      </c>
      <c r="G7" s="455"/>
      <c r="H7" s="450"/>
    </row>
    <row r="8" spans="1:11" s="1203" customFormat="1">
      <c r="A8" s="456" t="s">
        <v>4</v>
      </c>
      <c r="B8" s="457" t="s">
        <v>142</v>
      </c>
      <c r="C8" s="444"/>
      <c r="D8" s="458" t="s">
        <v>31</v>
      </c>
      <c r="E8" s="458" t="s">
        <v>143</v>
      </c>
      <c r="F8" s="458" t="s">
        <v>31</v>
      </c>
      <c r="G8" s="459"/>
      <c r="H8" s="456" t="s">
        <v>4</v>
      </c>
    </row>
    <row r="9" spans="1:11" s="1203" customFormat="1">
      <c r="A9" s="456" t="s">
        <v>25</v>
      </c>
      <c r="B9" s="460" t="s">
        <v>144</v>
      </c>
      <c r="C9" s="417" t="s">
        <v>72</v>
      </c>
      <c r="D9" s="461" t="s">
        <v>145</v>
      </c>
      <c r="E9" s="461" t="s">
        <v>146</v>
      </c>
      <c r="F9" s="461" t="s">
        <v>147</v>
      </c>
      <c r="G9" s="462" t="s">
        <v>9</v>
      </c>
      <c r="H9" s="456" t="s">
        <v>25</v>
      </c>
    </row>
    <row r="10" spans="1:11" s="1203" customFormat="1">
      <c r="A10" s="456"/>
      <c r="B10" s="463"/>
      <c r="C10" s="464" t="s">
        <v>148</v>
      </c>
      <c r="D10" s="465"/>
      <c r="E10" s="465"/>
      <c r="F10" s="465"/>
      <c r="G10" s="466"/>
      <c r="H10" s="456"/>
      <c r="J10" s="408"/>
      <c r="K10" s="408"/>
    </row>
    <row r="11" spans="1:11" s="1203" customFormat="1">
      <c r="A11" s="456">
        <v>1</v>
      </c>
      <c r="B11" s="467">
        <v>560</v>
      </c>
      <c r="C11" s="450" t="s">
        <v>149</v>
      </c>
      <c r="D11" s="325">
        <v>6649.0659999999998</v>
      </c>
      <c r="E11" s="325">
        <v>0</v>
      </c>
      <c r="F11" s="325">
        <f>D11-E11</f>
        <v>6649.0659999999998</v>
      </c>
      <c r="G11" s="468" t="s">
        <v>462</v>
      </c>
      <c r="H11" s="456">
        <f>A11</f>
        <v>1</v>
      </c>
      <c r="J11" s="408"/>
      <c r="K11" s="408"/>
    </row>
    <row r="12" spans="1:11" s="1203" customFormat="1">
      <c r="A12" s="456">
        <f>A11+1</f>
        <v>2</v>
      </c>
      <c r="B12" s="467">
        <v>561.1</v>
      </c>
      <c r="C12" s="450" t="s">
        <v>150</v>
      </c>
      <c r="D12" s="327">
        <v>543.58699999999999</v>
      </c>
      <c r="E12" s="327">
        <v>0</v>
      </c>
      <c r="F12" s="327">
        <f>D12-E12</f>
        <v>543.58699999999999</v>
      </c>
      <c r="G12" s="468" t="s">
        <v>463</v>
      </c>
      <c r="H12" s="456">
        <f>H11+1</f>
        <v>2</v>
      </c>
      <c r="J12" s="408"/>
      <c r="K12" s="408"/>
    </row>
    <row r="13" spans="1:11" s="1203" customFormat="1">
      <c r="A13" s="456">
        <f t="shared" ref="A13:A74" si="0">A12+1</f>
        <v>3</v>
      </c>
      <c r="B13" s="467">
        <v>561.20000000000005</v>
      </c>
      <c r="C13" s="450" t="s">
        <v>151</v>
      </c>
      <c r="D13" s="327">
        <v>1623.6130000000001</v>
      </c>
      <c r="E13" s="327">
        <v>0</v>
      </c>
      <c r="F13" s="327">
        <f>D13-E13</f>
        <v>1623.6130000000001</v>
      </c>
      <c r="G13" s="468" t="s">
        <v>464</v>
      </c>
      <c r="H13" s="456">
        <f t="shared" ref="H13:H74" si="1">H12+1</f>
        <v>3</v>
      </c>
      <c r="J13" s="408"/>
      <c r="K13" s="408"/>
    </row>
    <row r="14" spans="1:11" s="1203" customFormat="1">
      <c r="A14" s="456">
        <f t="shared" si="0"/>
        <v>4</v>
      </c>
      <c r="B14" s="467">
        <v>561.29999999999995</v>
      </c>
      <c r="C14" s="450" t="s">
        <v>152</v>
      </c>
      <c r="D14" s="327">
        <v>228.21799999999999</v>
      </c>
      <c r="E14" s="327">
        <v>0</v>
      </c>
      <c r="F14" s="327">
        <f>D14-E14</f>
        <v>228.21799999999999</v>
      </c>
      <c r="G14" s="468" t="s">
        <v>465</v>
      </c>
      <c r="H14" s="456">
        <f t="shared" si="1"/>
        <v>4</v>
      </c>
      <c r="J14" s="408"/>
      <c r="K14" s="408"/>
    </row>
    <row r="15" spans="1:11" s="1203" customFormat="1">
      <c r="A15" s="456">
        <f t="shared" si="0"/>
        <v>5</v>
      </c>
      <c r="B15" s="467">
        <v>561.4</v>
      </c>
      <c r="C15" s="450" t="s">
        <v>153</v>
      </c>
      <c r="D15" s="327">
        <v>5880.4229999999998</v>
      </c>
      <c r="E15" s="327">
        <f>E51</f>
        <v>5877.8884600000001</v>
      </c>
      <c r="F15" s="327">
        <f t="shared" ref="F15:F17" si="2">D15-E15</f>
        <v>2.5345399999996516</v>
      </c>
      <c r="G15" s="468" t="s">
        <v>466</v>
      </c>
      <c r="H15" s="456">
        <f t="shared" si="1"/>
        <v>5</v>
      </c>
      <c r="J15" s="408"/>
      <c r="K15" s="408"/>
    </row>
    <row r="16" spans="1:11" s="1203" customFormat="1">
      <c r="A16" s="456">
        <f t="shared" si="0"/>
        <v>6</v>
      </c>
      <c r="B16" s="467">
        <v>561.5</v>
      </c>
      <c r="C16" s="450" t="s">
        <v>154</v>
      </c>
      <c r="D16" s="327">
        <v>161.16</v>
      </c>
      <c r="E16" s="327">
        <v>0</v>
      </c>
      <c r="F16" s="327">
        <f t="shared" si="2"/>
        <v>161.16</v>
      </c>
      <c r="G16" s="468" t="s">
        <v>467</v>
      </c>
      <c r="H16" s="456">
        <f t="shared" si="1"/>
        <v>6</v>
      </c>
      <c r="J16" s="408"/>
      <c r="K16" s="408"/>
    </row>
    <row r="17" spans="1:11" s="1203" customFormat="1">
      <c r="A17" s="456">
        <f t="shared" si="0"/>
        <v>7</v>
      </c>
      <c r="B17" s="467">
        <v>561.6</v>
      </c>
      <c r="C17" s="450" t="s">
        <v>155</v>
      </c>
      <c r="D17" s="327">
        <v>0</v>
      </c>
      <c r="E17" s="327">
        <v>0</v>
      </c>
      <c r="F17" s="327">
        <f t="shared" si="2"/>
        <v>0</v>
      </c>
      <c r="G17" s="468" t="s">
        <v>468</v>
      </c>
      <c r="H17" s="456">
        <f t="shared" si="1"/>
        <v>7</v>
      </c>
      <c r="J17" s="408"/>
      <c r="K17" s="408"/>
    </row>
    <row r="18" spans="1:11" s="1203" customFormat="1">
      <c r="A18" s="456">
        <f t="shared" si="0"/>
        <v>8</v>
      </c>
      <c r="B18" s="467">
        <v>561.70000000000005</v>
      </c>
      <c r="C18" s="450" t="s">
        <v>156</v>
      </c>
      <c r="D18" s="327">
        <v>2.0910000000000002</v>
      </c>
      <c r="E18" s="327">
        <v>0</v>
      </c>
      <c r="F18" s="327">
        <f>D18-E18</f>
        <v>2.0910000000000002</v>
      </c>
      <c r="G18" s="469" t="s">
        <v>469</v>
      </c>
      <c r="H18" s="456">
        <f t="shared" si="1"/>
        <v>8</v>
      </c>
      <c r="J18" s="408"/>
      <c r="K18" s="408"/>
    </row>
    <row r="19" spans="1:11" s="1203" customFormat="1">
      <c r="A19" s="456">
        <f t="shared" si="0"/>
        <v>9</v>
      </c>
      <c r="B19" s="467">
        <v>561.79999999999995</v>
      </c>
      <c r="C19" s="450" t="s">
        <v>157</v>
      </c>
      <c r="D19" s="327">
        <v>3340.0349999999999</v>
      </c>
      <c r="E19" s="470">
        <f>E52</f>
        <v>2718.2313100000001</v>
      </c>
      <c r="F19" s="327">
        <f t="shared" ref="F19:F20" si="3">D19-E19</f>
        <v>621.80368999999973</v>
      </c>
      <c r="G19" s="469" t="s">
        <v>470</v>
      </c>
      <c r="H19" s="456">
        <f t="shared" si="1"/>
        <v>9</v>
      </c>
      <c r="J19" s="408"/>
      <c r="K19" s="408"/>
    </row>
    <row r="20" spans="1:11" s="1203" customFormat="1" ht="18.75">
      <c r="A20" s="456">
        <f t="shared" si="0"/>
        <v>10</v>
      </c>
      <c r="B20" s="467">
        <v>562</v>
      </c>
      <c r="C20" s="450" t="s">
        <v>489</v>
      </c>
      <c r="D20" s="327">
        <v>8343</v>
      </c>
      <c r="E20" s="470">
        <f>E53</f>
        <v>8343</v>
      </c>
      <c r="F20" s="327">
        <f t="shared" si="3"/>
        <v>0</v>
      </c>
      <c r="G20" s="469" t="s">
        <v>471</v>
      </c>
      <c r="H20" s="456">
        <f t="shared" si="1"/>
        <v>10</v>
      </c>
      <c r="I20" s="1126"/>
      <c r="J20" s="408"/>
      <c r="K20" s="408"/>
    </row>
    <row r="21" spans="1:11" s="1203" customFormat="1">
      <c r="A21" s="456">
        <f t="shared" si="0"/>
        <v>11</v>
      </c>
      <c r="B21" s="467">
        <v>563</v>
      </c>
      <c r="C21" s="450" t="s">
        <v>488</v>
      </c>
      <c r="D21" s="327">
        <v>4406.2079999999996</v>
      </c>
      <c r="E21" s="327">
        <f>E54</f>
        <v>4406.2079999999996</v>
      </c>
      <c r="F21" s="327">
        <f>D21-E21</f>
        <v>0</v>
      </c>
      <c r="G21" s="469" t="s">
        <v>472</v>
      </c>
      <c r="H21" s="456">
        <f t="shared" si="1"/>
        <v>11</v>
      </c>
      <c r="I21" s="1127"/>
      <c r="J21" s="408"/>
      <c r="K21" s="408"/>
    </row>
    <row r="22" spans="1:11" s="1203" customFormat="1">
      <c r="A22" s="456">
        <f t="shared" si="0"/>
        <v>12</v>
      </c>
      <c r="B22" s="467">
        <v>564</v>
      </c>
      <c r="C22" s="450" t="s">
        <v>158</v>
      </c>
      <c r="D22" s="327">
        <v>0</v>
      </c>
      <c r="E22" s="327">
        <v>0</v>
      </c>
      <c r="F22" s="327">
        <f>D22-E22</f>
        <v>0</v>
      </c>
      <c r="G22" s="469" t="s">
        <v>473</v>
      </c>
      <c r="H22" s="456">
        <f t="shared" si="1"/>
        <v>12</v>
      </c>
      <c r="J22" s="408"/>
      <c r="K22" s="408"/>
    </row>
    <row r="23" spans="1:11" s="1203" customFormat="1">
      <c r="A23" s="456">
        <f t="shared" si="0"/>
        <v>13</v>
      </c>
      <c r="B23" s="467">
        <v>565</v>
      </c>
      <c r="C23" s="450" t="s">
        <v>159</v>
      </c>
      <c r="D23" s="327">
        <v>0</v>
      </c>
      <c r="E23" s="327">
        <f>E55</f>
        <v>0</v>
      </c>
      <c r="F23" s="327">
        <f t="shared" ref="F23:F24" si="4">D23-E23</f>
        <v>0</v>
      </c>
      <c r="G23" s="469" t="s">
        <v>474</v>
      </c>
      <c r="H23" s="456">
        <f t="shared" si="1"/>
        <v>13</v>
      </c>
      <c r="J23" s="408"/>
      <c r="K23" s="408"/>
    </row>
    <row r="24" spans="1:11" s="1203" customFormat="1">
      <c r="A24" s="456">
        <f t="shared" si="0"/>
        <v>14</v>
      </c>
      <c r="B24" s="467">
        <v>566</v>
      </c>
      <c r="C24" s="450" t="s">
        <v>160</v>
      </c>
      <c r="D24" s="327">
        <v>18341.678</v>
      </c>
      <c r="E24" s="470">
        <f>E61</f>
        <v>3045.7638999999999</v>
      </c>
      <c r="F24" s="327">
        <f t="shared" si="4"/>
        <v>15295.9141</v>
      </c>
      <c r="G24" s="469" t="s">
        <v>475</v>
      </c>
      <c r="H24" s="456">
        <f t="shared" si="1"/>
        <v>14</v>
      </c>
      <c r="J24" s="408"/>
      <c r="K24" s="408"/>
    </row>
    <row r="25" spans="1:11" s="1203" customFormat="1">
      <c r="A25" s="456">
        <f t="shared" si="0"/>
        <v>15</v>
      </c>
      <c r="B25" s="467">
        <v>567</v>
      </c>
      <c r="C25" s="450" t="s">
        <v>161</v>
      </c>
      <c r="D25" s="471">
        <v>2890.1129999999998</v>
      </c>
      <c r="E25" s="471">
        <v>0</v>
      </c>
      <c r="F25" s="471">
        <f>D25-E25</f>
        <v>2890.1129999999998</v>
      </c>
      <c r="G25" s="469" t="s">
        <v>476</v>
      </c>
      <c r="H25" s="456">
        <f t="shared" si="1"/>
        <v>15</v>
      </c>
      <c r="J25" s="408"/>
      <c r="K25" s="408"/>
    </row>
    <row r="26" spans="1:11" s="1203" customFormat="1">
      <c r="A26" s="456">
        <f t="shared" si="0"/>
        <v>16</v>
      </c>
      <c r="B26" s="467"/>
      <c r="C26" s="450"/>
      <c r="D26" s="327"/>
      <c r="E26" s="470"/>
      <c r="F26" s="327"/>
      <c r="G26" s="468"/>
      <c r="H26" s="456">
        <f t="shared" si="1"/>
        <v>16</v>
      </c>
      <c r="J26" s="408"/>
      <c r="K26" s="408"/>
    </row>
    <row r="27" spans="1:11" s="1203" customFormat="1" ht="16.5" thickBot="1">
      <c r="A27" s="456">
        <f t="shared" si="0"/>
        <v>17</v>
      </c>
      <c r="B27" s="472"/>
      <c r="C27" s="473" t="s">
        <v>477</v>
      </c>
      <c r="D27" s="474">
        <f>SUM(D11:D25)</f>
        <v>52409.191999999995</v>
      </c>
      <c r="E27" s="475">
        <f>SUM(E11:E25)</f>
        <v>24391.091670000002</v>
      </c>
      <c r="F27" s="474">
        <f>SUM(F11:F25)</f>
        <v>28018.100330000005</v>
      </c>
      <c r="G27" s="476" t="str">
        <f>"Sum Lines "&amp;A11&amp;" thru "&amp;A25</f>
        <v>Sum Lines 1 thru 15</v>
      </c>
      <c r="H27" s="456">
        <f t="shared" si="1"/>
        <v>17</v>
      </c>
      <c r="J27" s="1606"/>
      <c r="K27" s="408"/>
    </row>
    <row r="28" spans="1:11" s="1203" customFormat="1">
      <c r="A28" s="456">
        <f t="shared" si="0"/>
        <v>18</v>
      </c>
      <c r="B28" s="477"/>
      <c r="C28" s="450"/>
      <c r="D28" s="478"/>
      <c r="E28" s="479"/>
      <c r="F28" s="478"/>
      <c r="G28" s="469"/>
      <c r="H28" s="456">
        <f t="shared" si="1"/>
        <v>18</v>
      </c>
      <c r="J28" s="408"/>
      <c r="K28" s="408"/>
    </row>
    <row r="29" spans="1:11" s="1203" customFormat="1">
      <c r="A29" s="456">
        <f t="shared" si="0"/>
        <v>19</v>
      </c>
      <c r="B29" s="463"/>
      <c r="C29" s="464" t="s">
        <v>162</v>
      </c>
      <c r="D29" s="478"/>
      <c r="E29" s="479"/>
      <c r="F29" s="478"/>
      <c r="G29" s="469"/>
      <c r="H29" s="456">
        <f t="shared" si="1"/>
        <v>19</v>
      </c>
      <c r="J29" s="408"/>
      <c r="K29" s="408"/>
    </row>
    <row r="30" spans="1:11" s="1203" customFormat="1">
      <c r="A30" s="456">
        <f t="shared" si="0"/>
        <v>20</v>
      </c>
      <c r="B30" s="467">
        <v>568</v>
      </c>
      <c r="C30" s="450" t="s">
        <v>163</v>
      </c>
      <c r="D30" s="325">
        <v>2329.3449999999998</v>
      </c>
      <c r="E30" s="325">
        <v>0</v>
      </c>
      <c r="F30" s="325">
        <f t="shared" ref="F30:F31" si="5">D30-E30</f>
        <v>2329.3449999999998</v>
      </c>
      <c r="G30" s="469" t="s">
        <v>478</v>
      </c>
      <c r="H30" s="456">
        <f t="shared" si="1"/>
        <v>20</v>
      </c>
      <c r="J30" s="408"/>
      <c r="K30" s="408"/>
    </row>
    <row r="31" spans="1:11" s="1203" customFormat="1">
      <c r="A31" s="456">
        <f t="shared" si="0"/>
        <v>21</v>
      </c>
      <c r="B31" s="467">
        <v>569</v>
      </c>
      <c r="C31" s="450" t="s">
        <v>164</v>
      </c>
      <c r="D31" s="327">
        <v>9.9350000000000005</v>
      </c>
      <c r="E31" s="470">
        <v>0</v>
      </c>
      <c r="F31" s="327">
        <f t="shared" si="5"/>
        <v>9.9350000000000005</v>
      </c>
      <c r="G31" s="469" t="s">
        <v>479</v>
      </c>
      <c r="H31" s="456">
        <f t="shared" si="1"/>
        <v>21</v>
      </c>
      <c r="J31" s="408"/>
      <c r="K31" s="408"/>
    </row>
    <row r="32" spans="1:11" s="1203" customFormat="1">
      <c r="A32" s="456">
        <f t="shared" si="0"/>
        <v>22</v>
      </c>
      <c r="B32" s="467">
        <v>569.1</v>
      </c>
      <c r="C32" s="450" t="s">
        <v>165</v>
      </c>
      <c r="D32" s="327">
        <v>1322.203</v>
      </c>
      <c r="E32" s="470">
        <v>0</v>
      </c>
      <c r="F32" s="327">
        <f>D32-E32</f>
        <v>1322.203</v>
      </c>
      <c r="G32" s="469" t="s">
        <v>480</v>
      </c>
      <c r="H32" s="456">
        <f t="shared" si="1"/>
        <v>22</v>
      </c>
      <c r="J32" s="408"/>
      <c r="K32" s="408"/>
    </row>
    <row r="33" spans="1:11" s="1203" customFormat="1">
      <c r="A33" s="456">
        <f t="shared" si="0"/>
        <v>23</v>
      </c>
      <c r="B33" s="467">
        <v>569.20000000000005</v>
      </c>
      <c r="C33" s="450" t="s">
        <v>166</v>
      </c>
      <c r="D33" s="327">
        <v>1941.6030000000001</v>
      </c>
      <c r="E33" s="470">
        <v>0</v>
      </c>
      <c r="F33" s="327">
        <f t="shared" ref="F33:F35" si="6">D33-E33</f>
        <v>1941.6030000000001</v>
      </c>
      <c r="G33" s="469" t="s">
        <v>481</v>
      </c>
      <c r="H33" s="456">
        <f t="shared" si="1"/>
        <v>23</v>
      </c>
      <c r="J33" s="408"/>
      <c r="K33" s="408"/>
    </row>
    <row r="34" spans="1:11" s="1203" customFormat="1">
      <c r="A34" s="456">
        <f t="shared" si="0"/>
        <v>24</v>
      </c>
      <c r="B34" s="467">
        <v>569.29999999999995</v>
      </c>
      <c r="C34" s="450" t="s">
        <v>167</v>
      </c>
      <c r="D34" s="327">
        <v>0</v>
      </c>
      <c r="E34" s="470">
        <v>0</v>
      </c>
      <c r="F34" s="327">
        <f t="shared" si="6"/>
        <v>0</v>
      </c>
      <c r="G34" s="469" t="s">
        <v>482</v>
      </c>
      <c r="H34" s="456">
        <f t="shared" si="1"/>
        <v>24</v>
      </c>
      <c r="J34" s="408"/>
      <c r="K34" s="408"/>
    </row>
    <row r="35" spans="1:11" s="1203" customFormat="1">
      <c r="A35" s="456">
        <f t="shared" si="0"/>
        <v>25</v>
      </c>
      <c r="B35" s="467">
        <v>569.4</v>
      </c>
      <c r="C35" s="450" t="s">
        <v>168</v>
      </c>
      <c r="D35" s="327">
        <v>165.38800000000001</v>
      </c>
      <c r="E35" s="470">
        <v>0</v>
      </c>
      <c r="F35" s="327">
        <f t="shared" si="6"/>
        <v>165.38800000000001</v>
      </c>
      <c r="G35" s="469" t="s">
        <v>483</v>
      </c>
      <c r="H35" s="456">
        <f t="shared" si="1"/>
        <v>25</v>
      </c>
      <c r="J35" s="408"/>
      <c r="K35" s="408"/>
    </row>
    <row r="36" spans="1:11" s="1203" customFormat="1" ht="18.75">
      <c r="A36" s="456">
        <f t="shared" si="0"/>
        <v>26</v>
      </c>
      <c r="B36" s="467">
        <v>570</v>
      </c>
      <c r="C36" s="450" t="s">
        <v>859</v>
      </c>
      <c r="D36" s="327">
        <v>14934.723</v>
      </c>
      <c r="E36" s="470">
        <f>E62</f>
        <v>14934.723</v>
      </c>
      <c r="F36" s="327">
        <f>D36-E36</f>
        <v>0</v>
      </c>
      <c r="G36" s="469" t="s">
        <v>484</v>
      </c>
      <c r="H36" s="456">
        <f t="shared" si="1"/>
        <v>26</v>
      </c>
      <c r="J36" s="408"/>
      <c r="K36" s="408"/>
    </row>
    <row r="37" spans="1:11" s="1203" customFormat="1" ht="18.75">
      <c r="A37" s="456">
        <f t="shared" si="0"/>
        <v>27</v>
      </c>
      <c r="B37" s="467">
        <v>571</v>
      </c>
      <c r="C37" s="450" t="s">
        <v>860</v>
      </c>
      <c r="D37" s="327">
        <v>14791.550999999999</v>
      </c>
      <c r="E37" s="470">
        <f>E63</f>
        <v>14791.550999999999</v>
      </c>
      <c r="F37" s="327">
        <f t="shared" ref="F37:F38" si="7">D37-E37</f>
        <v>0</v>
      </c>
      <c r="G37" s="469" t="s">
        <v>485</v>
      </c>
      <c r="H37" s="456">
        <f t="shared" si="1"/>
        <v>27</v>
      </c>
      <c r="J37" s="408"/>
      <c r="K37" s="408"/>
    </row>
    <row r="38" spans="1:11" s="1203" customFormat="1" ht="18.75">
      <c r="A38" s="456">
        <f t="shared" si="0"/>
        <v>28</v>
      </c>
      <c r="B38" s="467">
        <v>572</v>
      </c>
      <c r="C38" s="450" t="s">
        <v>825</v>
      </c>
      <c r="D38" s="327">
        <v>671.30499999999995</v>
      </c>
      <c r="E38" s="470">
        <f>E64</f>
        <v>671.30499999999995</v>
      </c>
      <c r="F38" s="327">
        <f t="shared" si="7"/>
        <v>0</v>
      </c>
      <c r="G38" s="468" t="s">
        <v>486</v>
      </c>
      <c r="H38" s="456">
        <f t="shared" si="1"/>
        <v>28</v>
      </c>
      <c r="J38" s="408"/>
      <c r="K38" s="408"/>
    </row>
    <row r="39" spans="1:11" s="1203" customFormat="1">
      <c r="A39" s="456">
        <f t="shared" si="0"/>
        <v>29</v>
      </c>
      <c r="B39" s="467">
        <v>573</v>
      </c>
      <c r="C39" s="450" t="s">
        <v>169</v>
      </c>
      <c r="D39" s="471">
        <v>0</v>
      </c>
      <c r="E39" s="471">
        <v>0</v>
      </c>
      <c r="F39" s="471">
        <f>D39-E39</f>
        <v>0</v>
      </c>
      <c r="G39" s="468" t="s">
        <v>487</v>
      </c>
      <c r="H39" s="456">
        <f t="shared" si="1"/>
        <v>29</v>
      </c>
      <c r="J39" s="408"/>
      <c r="K39" s="408"/>
    </row>
    <row r="40" spans="1:11" s="1203" customFormat="1">
      <c r="A40" s="456">
        <f t="shared" si="0"/>
        <v>30</v>
      </c>
      <c r="B40" s="467"/>
      <c r="C40" s="450"/>
      <c r="D40" s="480"/>
      <c r="E40" s="470"/>
      <c r="F40" s="480"/>
      <c r="G40" s="468"/>
      <c r="H40" s="456">
        <f t="shared" si="1"/>
        <v>30</v>
      </c>
      <c r="J40" s="408"/>
      <c r="K40" s="408"/>
    </row>
    <row r="41" spans="1:11" s="1203" customFormat="1">
      <c r="A41" s="456">
        <f t="shared" si="0"/>
        <v>31</v>
      </c>
      <c r="B41" s="477"/>
      <c r="C41" s="481" t="s">
        <v>170</v>
      </c>
      <c r="D41" s="325">
        <f>SUM(D30:D39)</f>
        <v>36166.053</v>
      </c>
      <c r="E41" s="325">
        <f>SUM(E30:E39)</f>
        <v>30397.578999999998</v>
      </c>
      <c r="F41" s="325">
        <f>SUM(F30:F39)</f>
        <v>5768.4739999999993</v>
      </c>
      <c r="G41" s="468" t="str">
        <f>"Sum Lines "&amp;A30&amp;" thru "&amp;A39</f>
        <v>Sum Lines 20 thru 29</v>
      </c>
      <c r="H41" s="456">
        <f t="shared" si="1"/>
        <v>31</v>
      </c>
      <c r="J41" s="408"/>
      <c r="K41" s="408"/>
    </row>
    <row r="42" spans="1:11" s="1203" customFormat="1">
      <c r="A42" s="456">
        <f t="shared" si="0"/>
        <v>32</v>
      </c>
      <c r="B42" s="477"/>
      <c r="C42" s="450"/>
      <c r="D42" s="482"/>
      <c r="E42" s="482"/>
      <c r="F42" s="482"/>
      <c r="G42" s="468"/>
      <c r="H42" s="456">
        <f t="shared" si="1"/>
        <v>32</v>
      </c>
      <c r="J42" s="408"/>
      <c r="K42" s="408"/>
    </row>
    <row r="43" spans="1:11" s="1203" customFormat="1" ht="16.5" thickBot="1">
      <c r="A43" s="456">
        <f t="shared" si="0"/>
        <v>33</v>
      </c>
      <c r="B43" s="457"/>
      <c r="C43" s="444" t="s">
        <v>171</v>
      </c>
      <c r="D43" s="483">
        <f>D27+D41</f>
        <v>88575.244999999995</v>
      </c>
      <c r="E43" s="483">
        <f>+E27+E41</f>
        <v>54788.67067</v>
      </c>
      <c r="F43" s="483">
        <f>+F27+F41</f>
        <v>33786.574330000003</v>
      </c>
      <c r="G43" s="468" t="str">
        <f>"Line "&amp;A27&amp;" + Line "&amp;A41</f>
        <v>Line 17 + Line 31</v>
      </c>
      <c r="H43" s="456">
        <f t="shared" si="1"/>
        <v>33</v>
      </c>
      <c r="J43" s="408"/>
      <c r="K43" s="408"/>
    </row>
    <row r="44" spans="1:11" s="1203" customFormat="1" ht="16.5" thickTop="1">
      <c r="A44" s="456">
        <f t="shared" si="0"/>
        <v>34</v>
      </c>
      <c r="B44" s="457"/>
      <c r="C44" s="444"/>
      <c r="D44" s="496"/>
      <c r="E44" s="496"/>
      <c r="F44" s="496"/>
      <c r="G44" s="468"/>
      <c r="H44" s="456">
        <f t="shared" si="1"/>
        <v>34</v>
      </c>
      <c r="J44" s="408"/>
      <c r="K44" s="408"/>
    </row>
    <row r="45" spans="1:11" s="1203" customFormat="1" ht="18.75">
      <c r="A45" s="456">
        <f t="shared" si="0"/>
        <v>35</v>
      </c>
      <c r="B45" s="467">
        <v>413</v>
      </c>
      <c r="C45" s="450" t="s">
        <v>1007</v>
      </c>
      <c r="D45" s="471">
        <v>0</v>
      </c>
      <c r="E45" s="471">
        <v>0</v>
      </c>
      <c r="F45" s="471">
        <f>D45-E45</f>
        <v>0</v>
      </c>
      <c r="G45" s="543"/>
      <c r="H45" s="456">
        <f t="shared" si="1"/>
        <v>35</v>
      </c>
      <c r="J45" s="408"/>
      <c r="K45" s="408"/>
    </row>
    <row r="46" spans="1:11" s="1203" customFormat="1">
      <c r="A46" s="456">
        <f t="shared" si="0"/>
        <v>36</v>
      </c>
      <c r="B46" s="457"/>
      <c r="C46" s="444"/>
      <c r="D46" s="496"/>
      <c r="E46" s="496"/>
      <c r="F46" s="496"/>
      <c r="G46" s="468"/>
      <c r="H46" s="456">
        <f t="shared" si="1"/>
        <v>36</v>
      </c>
      <c r="J46" s="408"/>
      <c r="K46" s="408"/>
    </row>
    <row r="47" spans="1:11" s="1203" customFormat="1" ht="16.5" thickBot="1">
      <c r="A47" s="456">
        <f t="shared" si="0"/>
        <v>37</v>
      </c>
      <c r="B47" s="457"/>
      <c r="C47" s="444" t="s">
        <v>304</v>
      </c>
      <c r="D47" s="483">
        <f>D43+D45</f>
        <v>88575.244999999995</v>
      </c>
      <c r="E47" s="483">
        <f>E43+E45</f>
        <v>54788.67067</v>
      </c>
      <c r="F47" s="483">
        <f>F43+F45</f>
        <v>33786.574330000003</v>
      </c>
      <c r="G47" s="468" t="str">
        <f>"Line "&amp;A43&amp;" + Line "&amp;A45</f>
        <v>Line 33 + Line 35</v>
      </c>
      <c r="H47" s="456">
        <f t="shared" si="1"/>
        <v>37</v>
      </c>
      <c r="J47" s="408"/>
      <c r="K47" s="408"/>
    </row>
    <row r="48" spans="1:11" ht="17.25" thickTop="1" thickBot="1">
      <c r="A48" s="456">
        <f t="shared" si="0"/>
        <v>38</v>
      </c>
      <c r="B48" s="484"/>
      <c r="C48" s="485"/>
      <c r="D48" s="486"/>
      <c r="E48" s="487"/>
      <c r="F48" s="486"/>
      <c r="G48" s="488"/>
      <c r="H48" s="456">
        <f t="shared" si="1"/>
        <v>38</v>
      </c>
    </row>
    <row r="49" spans="1:8">
      <c r="A49" s="456">
        <f t="shared" si="0"/>
        <v>39</v>
      </c>
      <c r="B49" s="489"/>
      <c r="C49" s="450"/>
      <c r="D49" s="490"/>
      <c r="E49" s="479"/>
      <c r="F49" s="490"/>
      <c r="G49" s="491"/>
      <c r="H49" s="456">
        <f t="shared" si="1"/>
        <v>39</v>
      </c>
    </row>
    <row r="50" spans="1:8" s="4" customFormat="1">
      <c r="A50" s="456">
        <f t="shared" si="0"/>
        <v>40</v>
      </c>
      <c r="B50" s="500" t="s">
        <v>172</v>
      </c>
      <c r="C50" s="11"/>
      <c r="D50" s="14"/>
      <c r="E50" s="13"/>
      <c r="F50" s="14"/>
      <c r="G50" s="505"/>
      <c r="H50" s="456">
        <f t="shared" si="1"/>
        <v>40</v>
      </c>
    </row>
    <row r="51" spans="1:8" s="4" customFormat="1">
      <c r="A51" s="456">
        <f t="shared" si="0"/>
        <v>41</v>
      </c>
      <c r="B51" s="499">
        <v>561.4</v>
      </c>
      <c r="C51" s="11" t="s">
        <v>173</v>
      </c>
      <c r="D51" s="14"/>
      <c r="E51" s="15">
        <v>5877.8884600000001</v>
      </c>
      <c r="F51" s="1301"/>
      <c r="G51" s="505"/>
      <c r="H51" s="456">
        <f t="shared" si="1"/>
        <v>41</v>
      </c>
    </row>
    <row r="52" spans="1:8" s="4" customFormat="1">
      <c r="A52" s="456">
        <f t="shared" si="0"/>
        <v>42</v>
      </c>
      <c r="B52" s="499">
        <v>561.79999999999995</v>
      </c>
      <c r="C52" s="11" t="s">
        <v>174</v>
      </c>
      <c r="D52" s="14"/>
      <c r="E52" s="12">
        <v>2718.2313100000001</v>
      </c>
      <c r="F52" s="1301"/>
      <c r="G52" s="505"/>
      <c r="H52" s="456">
        <f t="shared" si="1"/>
        <v>42</v>
      </c>
    </row>
    <row r="53" spans="1:8" s="4" customFormat="1" ht="18.75">
      <c r="A53" s="456">
        <f t="shared" si="0"/>
        <v>43</v>
      </c>
      <c r="B53" s="499">
        <v>562</v>
      </c>
      <c r="C53" s="20" t="s">
        <v>489</v>
      </c>
      <c r="D53" s="14"/>
      <c r="E53" s="12">
        <v>8343</v>
      </c>
      <c r="F53" s="1301"/>
      <c r="G53" s="505"/>
      <c r="H53" s="456">
        <f t="shared" si="1"/>
        <v>43</v>
      </c>
    </row>
    <row r="54" spans="1:8" s="4" customFormat="1">
      <c r="A54" s="456">
        <f t="shared" si="0"/>
        <v>44</v>
      </c>
      <c r="B54" s="499">
        <v>563</v>
      </c>
      <c r="C54" s="20" t="s">
        <v>488</v>
      </c>
      <c r="D54" s="14"/>
      <c r="E54" s="12">
        <v>4406.2079999999996</v>
      </c>
      <c r="F54" s="1301"/>
      <c r="G54" s="505"/>
      <c r="H54" s="456">
        <f t="shared" si="1"/>
        <v>44</v>
      </c>
    </row>
    <row r="55" spans="1:8" s="4" customFormat="1">
      <c r="A55" s="456">
        <f t="shared" si="0"/>
        <v>45</v>
      </c>
      <c r="B55" s="499">
        <v>565</v>
      </c>
      <c r="C55" s="11" t="s">
        <v>175</v>
      </c>
      <c r="D55" s="14"/>
      <c r="E55" s="12">
        <v>0</v>
      </c>
      <c r="F55" s="1301"/>
      <c r="G55" s="505"/>
      <c r="H55" s="456">
        <f t="shared" si="1"/>
        <v>45</v>
      </c>
    </row>
    <row r="56" spans="1:8" s="4" customFormat="1">
      <c r="A56" s="456">
        <f t="shared" si="0"/>
        <v>46</v>
      </c>
      <c r="B56" s="499">
        <v>566</v>
      </c>
      <c r="C56" s="11" t="s">
        <v>176</v>
      </c>
      <c r="D56" s="14"/>
      <c r="E56" s="12"/>
      <c r="F56" s="14"/>
      <c r="G56" s="505"/>
      <c r="H56" s="456">
        <f t="shared" si="1"/>
        <v>46</v>
      </c>
    </row>
    <row r="57" spans="1:8" s="4" customFormat="1">
      <c r="A57" s="456">
        <f t="shared" si="0"/>
        <v>47</v>
      </c>
      <c r="B57" s="501"/>
      <c r="C57" s="11" t="s">
        <v>177</v>
      </c>
      <c r="D57" s="15">
        <v>-34.882319999999993</v>
      </c>
      <c r="E57" s="12"/>
      <c r="F57" s="14"/>
      <c r="G57" s="505"/>
      <c r="H57" s="456">
        <f t="shared" si="1"/>
        <v>47</v>
      </c>
    </row>
    <row r="58" spans="1:8" s="4" customFormat="1">
      <c r="A58" s="456">
        <f t="shared" si="0"/>
        <v>48</v>
      </c>
      <c r="B58" s="501"/>
      <c r="C58" s="11" t="s">
        <v>178</v>
      </c>
      <c r="D58" s="12">
        <v>6.7259500000000001</v>
      </c>
      <c r="E58" s="12"/>
      <c r="F58" s="14"/>
      <c r="G58" s="505"/>
      <c r="H58" s="456">
        <f t="shared" si="1"/>
        <v>48</v>
      </c>
    </row>
    <row r="59" spans="1:8" s="4" customFormat="1">
      <c r="A59" s="456">
        <f t="shared" si="0"/>
        <v>49</v>
      </c>
      <c r="B59" s="501"/>
      <c r="C59" s="11" t="s">
        <v>179</v>
      </c>
      <c r="D59" s="12">
        <v>2300.0309600000001</v>
      </c>
      <c r="E59" s="12"/>
      <c r="F59" s="14"/>
      <c r="G59" s="505"/>
      <c r="H59" s="456">
        <f t="shared" si="1"/>
        <v>49</v>
      </c>
    </row>
    <row r="60" spans="1:8" s="4" customFormat="1">
      <c r="A60" s="456">
        <f t="shared" si="0"/>
        <v>50</v>
      </c>
      <c r="B60" s="501"/>
      <c r="C60" s="11" t="s">
        <v>180</v>
      </c>
      <c r="D60" s="12">
        <v>461.42366000000004</v>
      </c>
      <c r="E60" s="12"/>
      <c r="F60" s="14"/>
      <c r="G60" s="505"/>
      <c r="H60" s="456">
        <f t="shared" si="1"/>
        <v>50</v>
      </c>
    </row>
    <row r="61" spans="1:8" s="4" customFormat="1">
      <c r="A61" s="456">
        <f t="shared" si="0"/>
        <v>51</v>
      </c>
      <c r="B61" s="501"/>
      <c r="C61" s="11" t="s">
        <v>181</v>
      </c>
      <c r="D61" s="498">
        <v>312.46565000000004</v>
      </c>
      <c r="E61" s="12">
        <f>SUM(D57:D61)</f>
        <v>3045.7638999999999</v>
      </c>
      <c r="F61" s="1301"/>
      <c r="G61" s="505"/>
      <c r="H61" s="456">
        <f t="shared" si="1"/>
        <v>51</v>
      </c>
    </row>
    <row r="62" spans="1:8" s="4" customFormat="1" ht="18.75">
      <c r="A62" s="456">
        <f t="shared" si="0"/>
        <v>52</v>
      </c>
      <c r="B62" s="499">
        <v>570</v>
      </c>
      <c r="C62" s="93" t="s">
        <v>490</v>
      </c>
      <c r="D62" s="12"/>
      <c r="E62" s="12">
        <v>14934.723</v>
      </c>
      <c r="F62" s="1301"/>
      <c r="G62" s="505"/>
      <c r="H62" s="456">
        <f t="shared" si="1"/>
        <v>52</v>
      </c>
    </row>
    <row r="63" spans="1:8" s="4" customFormat="1" ht="18.75">
      <c r="A63" s="456">
        <f t="shared" si="0"/>
        <v>53</v>
      </c>
      <c r="B63" s="499">
        <v>571</v>
      </c>
      <c r="C63" s="93" t="s">
        <v>824</v>
      </c>
      <c r="D63" s="12"/>
      <c r="E63" s="12">
        <v>14791.550999999999</v>
      </c>
      <c r="F63" s="1301"/>
      <c r="G63" s="505"/>
      <c r="H63" s="456">
        <f t="shared" si="1"/>
        <v>53</v>
      </c>
    </row>
    <row r="64" spans="1:8" s="4" customFormat="1" ht="18.75">
      <c r="A64" s="456">
        <f t="shared" si="0"/>
        <v>54</v>
      </c>
      <c r="B64" s="499">
        <v>572</v>
      </c>
      <c r="C64" s="1302" t="s">
        <v>825</v>
      </c>
      <c r="D64" s="12"/>
      <c r="E64" s="498">
        <v>671.30499999999995</v>
      </c>
      <c r="F64" s="14"/>
      <c r="G64" s="505"/>
      <c r="H64" s="456">
        <f t="shared" si="1"/>
        <v>54</v>
      </c>
    </row>
    <row r="65" spans="1:9" s="4" customFormat="1">
      <c r="A65" s="456">
        <f t="shared" si="0"/>
        <v>55</v>
      </c>
      <c r="B65" s="502"/>
      <c r="C65" s="11"/>
      <c r="D65" s="14"/>
      <c r="E65" s="565"/>
      <c r="F65" s="14"/>
      <c r="G65" s="505"/>
      <c r="H65" s="456">
        <f t="shared" si="1"/>
        <v>55</v>
      </c>
    </row>
    <row r="66" spans="1:9" s="4" customFormat="1" ht="16.5" thickBot="1">
      <c r="A66" s="456">
        <f t="shared" si="0"/>
        <v>56</v>
      </c>
      <c r="B66" s="503"/>
      <c r="C66" s="1010" t="s">
        <v>182</v>
      </c>
      <c r="D66" s="14"/>
      <c r="E66" s="564">
        <f>SUM(E51:E64)</f>
        <v>54788.67067</v>
      </c>
      <c r="F66" s="14"/>
      <c r="G66" s="505"/>
      <c r="H66" s="456">
        <f t="shared" si="1"/>
        <v>56</v>
      </c>
    </row>
    <row r="67" spans="1:9" s="4" customFormat="1" ht="16.5" thickTop="1">
      <c r="A67" s="456">
        <f t="shared" si="0"/>
        <v>57</v>
      </c>
      <c r="B67" s="503"/>
      <c r="C67" s="93"/>
      <c r="D67" s="14"/>
      <c r="E67" s="172"/>
      <c r="F67" s="14"/>
      <c r="G67" s="505"/>
      <c r="H67" s="456">
        <f t="shared" si="1"/>
        <v>57</v>
      </c>
    </row>
    <row r="68" spans="1:9" s="4" customFormat="1">
      <c r="A68" s="456">
        <f t="shared" si="0"/>
        <v>58</v>
      </c>
      <c r="B68" s="503"/>
      <c r="C68" s="93"/>
      <c r="D68" s="14"/>
      <c r="E68" s="12"/>
      <c r="F68" s="14"/>
      <c r="G68" s="505"/>
      <c r="H68" s="456">
        <f t="shared" si="1"/>
        <v>58</v>
      </c>
      <c r="I68" s="10"/>
    </row>
    <row r="69" spans="1:9" s="4" customFormat="1" ht="18.75">
      <c r="A69" s="456">
        <f t="shared" si="0"/>
        <v>59</v>
      </c>
      <c r="B69" s="504">
        <v>1</v>
      </c>
      <c r="C69" s="93" t="s">
        <v>1024</v>
      </c>
      <c r="D69" s="14"/>
      <c r="E69" s="16"/>
      <c r="F69" s="14"/>
      <c r="G69" s="505"/>
      <c r="H69" s="456">
        <f t="shared" si="1"/>
        <v>59</v>
      </c>
    </row>
    <row r="70" spans="1:9" s="4" customFormat="1" ht="18.75">
      <c r="A70" s="456">
        <f t="shared" si="0"/>
        <v>60</v>
      </c>
      <c r="B70" s="504"/>
      <c r="C70" s="93" t="s">
        <v>692</v>
      </c>
      <c r="D70" s="14"/>
      <c r="E70" s="16"/>
      <c r="F70" s="14"/>
      <c r="G70" s="505"/>
      <c r="H70" s="456">
        <f t="shared" si="1"/>
        <v>60</v>
      </c>
    </row>
    <row r="71" spans="1:9" s="4" customFormat="1" ht="18.75">
      <c r="A71" s="456">
        <f t="shared" si="0"/>
        <v>61</v>
      </c>
      <c r="B71" s="504">
        <v>2</v>
      </c>
      <c r="C71" s="93" t="s">
        <v>826</v>
      </c>
      <c r="D71" s="11"/>
      <c r="E71" s="16"/>
      <c r="F71" s="11"/>
      <c r="G71" s="505"/>
      <c r="H71" s="456">
        <f t="shared" si="1"/>
        <v>61</v>
      </c>
    </row>
    <row r="72" spans="1:9" s="4" customFormat="1" ht="18.75">
      <c r="A72" s="456">
        <f t="shared" si="0"/>
        <v>62</v>
      </c>
      <c r="B72" s="504">
        <v>3</v>
      </c>
      <c r="C72" s="93" t="str">
        <f>"This amount represents the Direct Maintenance and Non-Direct O&amp;M expenses billed to Citizens in "&amp;Automation!B6&amp;", which is added back to derive Total Adjusted Electric"</f>
        <v>This amount represents the Direct Maintenance and Non-Direct O&amp;M expenses billed to Citizens in 2018, which is added back to derive Total Adjusted Electric</v>
      </c>
      <c r="D72" s="11"/>
      <c r="E72" s="16"/>
      <c r="F72" s="11"/>
      <c r="G72" s="505"/>
      <c r="H72" s="456">
        <f t="shared" si="1"/>
        <v>62</v>
      </c>
    </row>
    <row r="73" spans="1:9" s="4" customFormat="1" ht="18.75">
      <c r="A73" s="456">
        <f t="shared" si="0"/>
        <v>63</v>
      </c>
      <c r="B73" s="504"/>
      <c r="C73" s="93" t="s">
        <v>1006</v>
      </c>
      <c r="D73" s="11"/>
      <c r="E73" s="16"/>
      <c r="F73" s="11"/>
      <c r="G73" s="505"/>
      <c r="H73" s="456">
        <f t="shared" si="1"/>
        <v>63</v>
      </c>
    </row>
    <row r="74" spans="1:9" ht="16.5" thickBot="1">
      <c r="A74" s="456">
        <f t="shared" si="0"/>
        <v>64</v>
      </c>
      <c r="B74" s="493"/>
      <c r="C74" s="485"/>
      <c r="D74" s="485"/>
      <c r="E74" s="494"/>
      <c r="F74" s="485"/>
      <c r="G74" s="488"/>
      <c r="H74" s="456">
        <f t="shared" si="1"/>
        <v>64</v>
      </c>
    </row>
    <row r="75" spans="1:9">
      <c r="A75" s="456"/>
      <c r="B75" s="495"/>
    </row>
    <row r="76" spans="1:9" ht="18.75">
      <c r="A76" s="456"/>
      <c r="B76" s="231"/>
      <c r="C76" s="4"/>
      <c r="D76" s="114"/>
      <c r="E76" s="114"/>
      <c r="F76" s="114"/>
    </row>
    <row r="77" spans="1:9" ht="18.75">
      <c r="A77" s="456"/>
      <c r="B77" s="231"/>
      <c r="C77" s="107"/>
      <c r="D77" s="114"/>
      <c r="E77" s="114"/>
      <c r="F77" s="114"/>
    </row>
    <row r="78" spans="1:9" ht="18.75">
      <c r="A78" s="456"/>
      <c r="B78" s="231"/>
      <c r="C78" s="107"/>
      <c r="D78" s="114"/>
      <c r="E78" s="114"/>
      <c r="F78" s="114"/>
    </row>
    <row r="79" spans="1:9">
      <c r="A79" s="456"/>
      <c r="B79" s="495"/>
    </row>
    <row r="80" spans="1:9">
      <c r="A80" s="456"/>
      <c r="B80" s="495"/>
    </row>
    <row r="81" spans="1:5">
      <c r="A81" s="456"/>
      <c r="B81" s="495"/>
    </row>
    <row r="82" spans="1:5">
      <c r="A82" s="456"/>
      <c r="B82" s="495"/>
    </row>
    <row r="83" spans="1:5">
      <c r="A83" s="456"/>
      <c r="B83" s="495"/>
    </row>
    <row r="84" spans="1:5">
      <c r="A84" s="456"/>
      <c r="B84" s="495"/>
    </row>
    <row r="85" spans="1:5">
      <c r="A85" s="456"/>
      <c r="B85" s="495"/>
    </row>
    <row r="86" spans="1:5">
      <c r="A86" s="456"/>
      <c r="B86" s="495"/>
    </row>
    <row r="87" spans="1:5">
      <c r="A87" s="456"/>
      <c r="B87" s="495"/>
    </row>
    <row r="88" spans="1:5">
      <c r="A88" s="456"/>
      <c r="B88" s="495"/>
      <c r="E88" s="408"/>
    </row>
    <row r="89" spans="1:5">
      <c r="A89" s="456"/>
      <c r="B89" s="495"/>
      <c r="E89" s="408"/>
    </row>
    <row r="90" spans="1:5">
      <c r="A90" s="456"/>
      <c r="B90" s="495"/>
      <c r="E90" s="408"/>
    </row>
    <row r="91" spans="1:5">
      <c r="A91" s="456"/>
      <c r="B91" s="495"/>
      <c r="E91" s="408"/>
    </row>
    <row r="92" spans="1:5">
      <c r="A92" s="456"/>
      <c r="B92" s="495"/>
      <c r="E92" s="408"/>
    </row>
    <row r="93" spans="1:5">
      <c r="A93" s="456"/>
      <c r="B93" s="495"/>
      <c r="E93" s="408"/>
    </row>
    <row r="94" spans="1:5">
      <c r="A94" s="456"/>
      <c r="B94" s="495"/>
      <c r="E94" s="408"/>
    </row>
    <row r="95" spans="1:5">
      <c r="A95" s="456"/>
      <c r="B95" s="495"/>
      <c r="E95" s="408"/>
    </row>
    <row r="96" spans="1:5">
      <c r="A96" s="456"/>
      <c r="B96" s="495"/>
      <c r="E96" s="408"/>
    </row>
    <row r="97" spans="1:5">
      <c r="A97" s="456"/>
      <c r="B97" s="495"/>
      <c r="E97" s="408"/>
    </row>
    <row r="98" spans="1:5">
      <c r="A98" s="456"/>
      <c r="B98" s="495"/>
      <c r="E98" s="408"/>
    </row>
    <row r="99" spans="1:5">
      <c r="A99" s="456"/>
      <c r="B99" s="495"/>
      <c r="E99" s="408"/>
    </row>
    <row r="100" spans="1:5">
      <c r="A100" s="456"/>
      <c r="B100" s="495"/>
      <c r="E100" s="408"/>
    </row>
    <row r="101" spans="1:5">
      <c r="A101" s="456"/>
      <c r="B101" s="495"/>
      <c r="E101" s="408"/>
    </row>
    <row r="102" spans="1:5">
      <c r="B102" s="495"/>
      <c r="E102" s="408"/>
    </row>
    <row r="103" spans="1:5">
      <c r="B103" s="495"/>
      <c r="E103" s="408"/>
    </row>
    <row r="104" spans="1:5">
      <c r="B104" s="495"/>
      <c r="E104" s="408"/>
    </row>
    <row r="105" spans="1:5">
      <c r="B105" s="495"/>
      <c r="E105" s="408"/>
    </row>
    <row r="106" spans="1:5">
      <c r="B106" s="495"/>
      <c r="E106" s="408"/>
    </row>
    <row r="107" spans="1:5">
      <c r="B107" s="495"/>
      <c r="E107" s="408"/>
    </row>
    <row r="108" spans="1:5">
      <c r="B108" s="495"/>
      <c r="E108" s="408"/>
    </row>
    <row r="109" spans="1:5">
      <c r="B109" s="495"/>
      <c r="E109" s="408"/>
    </row>
    <row r="110" spans="1:5">
      <c r="B110" s="495"/>
      <c r="E110" s="408"/>
    </row>
    <row r="111" spans="1:5">
      <c r="B111" s="495"/>
      <c r="E111" s="408"/>
    </row>
    <row r="112" spans="1:5">
      <c r="B112" s="495"/>
      <c r="E112" s="408"/>
    </row>
    <row r="113" spans="2:5">
      <c r="B113" s="495"/>
      <c r="E113" s="408"/>
    </row>
    <row r="114" spans="2:5">
      <c r="B114" s="495"/>
      <c r="E114" s="408"/>
    </row>
    <row r="115" spans="2:5">
      <c r="B115" s="495"/>
      <c r="E115" s="408"/>
    </row>
    <row r="116" spans="2:5">
      <c r="B116" s="495"/>
      <c r="E116" s="408"/>
    </row>
    <row r="117" spans="2:5">
      <c r="B117" s="495"/>
      <c r="E117" s="408"/>
    </row>
    <row r="118" spans="2:5">
      <c r="B118" s="495"/>
      <c r="E118" s="408"/>
    </row>
    <row r="119" spans="2:5">
      <c r="B119" s="495"/>
      <c r="E119" s="408"/>
    </row>
    <row r="120" spans="2:5">
      <c r="B120" s="495"/>
      <c r="E120" s="408"/>
    </row>
    <row r="121" spans="2:5">
      <c r="B121" s="495"/>
      <c r="E121" s="408"/>
    </row>
    <row r="122" spans="2:5">
      <c r="B122" s="495"/>
      <c r="E122" s="408"/>
    </row>
    <row r="123" spans="2:5">
      <c r="B123" s="495"/>
      <c r="E123" s="408"/>
    </row>
    <row r="124" spans="2:5">
      <c r="B124" s="495"/>
      <c r="E124" s="408"/>
    </row>
    <row r="125" spans="2:5">
      <c r="B125" s="495"/>
      <c r="E125" s="408"/>
    </row>
    <row r="126" spans="2:5">
      <c r="B126" s="495"/>
      <c r="E126" s="408"/>
    </row>
    <row r="127" spans="2:5">
      <c r="B127" s="495"/>
      <c r="E127" s="408"/>
    </row>
    <row r="128" spans="2:5">
      <c r="B128" s="495"/>
      <c r="E128" s="408"/>
    </row>
    <row r="129" spans="2:5">
      <c r="B129" s="495"/>
      <c r="E129" s="408"/>
    </row>
    <row r="130" spans="2:5">
      <c r="B130" s="495"/>
      <c r="E130" s="408"/>
    </row>
    <row r="131" spans="2:5">
      <c r="B131" s="495"/>
      <c r="E131" s="408"/>
    </row>
    <row r="132" spans="2:5">
      <c r="B132" s="495"/>
      <c r="E132" s="408"/>
    </row>
    <row r="133" spans="2:5">
      <c r="B133" s="495"/>
      <c r="E133" s="408"/>
    </row>
    <row r="134" spans="2:5">
      <c r="B134" s="495"/>
      <c r="E134" s="408"/>
    </row>
    <row r="135" spans="2:5">
      <c r="B135" s="495"/>
      <c r="E135" s="408"/>
    </row>
    <row r="136" spans="2:5">
      <c r="B136" s="495"/>
      <c r="E136" s="408"/>
    </row>
    <row r="137" spans="2:5">
      <c r="B137" s="495"/>
      <c r="E137" s="408"/>
    </row>
    <row r="138" spans="2:5">
      <c r="B138" s="495"/>
      <c r="E138" s="408"/>
    </row>
    <row r="139" spans="2:5">
      <c r="B139" s="495"/>
      <c r="E139" s="408"/>
    </row>
    <row r="140" spans="2:5">
      <c r="B140" s="495"/>
      <c r="E140" s="408"/>
    </row>
    <row r="141" spans="2:5">
      <c r="B141" s="495"/>
      <c r="E141" s="408"/>
    </row>
    <row r="142" spans="2:5">
      <c r="B142" s="495"/>
      <c r="E142" s="408"/>
    </row>
    <row r="143" spans="2:5">
      <c r="B143" s="495"/>
      <c r="E143" s="408"/>
    </row>
    <row r="144" spans="2:5">
      <c r="B144" s="495"/>
      <c r="E144" s="408"/>
    </row>
    <row r="145" spans="2:5">
      <c r="B145" s="495"/>
      <c r="E145" s="408"/>
    </row>
    <row r="146" spans="2:5">
      <c r="B146" s="495"/>
      <c r="E146" s="408"/>
    </row>
    <row r="147" spans="2:5">
      <c r="B147" s="495"/>
      <c r="E147" s="408"/>
    </row>
    <row r="148" spans="2:5">
      <c r="B148" s="495"/>
      <c r="E148" s="408"/>
    </row>
    <row r="149" spans="2:5">
      <c r="B149" s="495"/>
      <c r="E149" s="408"/>
    </row>
    <row r="150" spans="2:5">
      <c r="B150" s="495"/>
      <c r="E150" s="408"/>
    </row>
    <row r="151" spans="2:5">
      <c r="B151" s="495"/>
      <c r="E151" s="408"/>
    </row>
    <row r="152" spans="2:5">
      <c r="B152" s="495"/>
      <c r="E152" s="408"/>
    </row>
    <row r="153" spans="2:5">
      <c r="B153" s="495"/>
      <c r="E153" s="408"/>
    </row>
    <row r="154" spans="2:5">
      <c r="B154" s="495"/>
      <c r="E154" s="408"/>
    </row>
    <row r="155" spans="2:5">
      <c r="B155" s="495"/>
      <c r="E155" s="408"/>
    </row>
    <row r="156" spans="2:5">
      <c r="B156" s="495"/>
      <c r="E156" s="408"/>
    </row>
    <row r="157" spans="2:5">
      <c r="B157" s="495"/>
      <c r="E157" s="408"/>
    </row>
    <row r="158" spans="2:5">
      <c r="B158" s="495"/>
      <c r="E158" s="408"/>
    </row>
    <row r="159" spans="2:5">
      <c r="B159" s="495"/>
      <c r="E159" s="408"/>
    </row>
    <row r="160" spans="2:5">
      <c r="B160" s="495"/>
      <c r="E160" s="408"/>
    </row>
    <row r="161" spans="2:5">
      <c r="B161" s="495"/>
      <c r="E161" s="408"/>
    </row>
    <row r="162" spans="2:5">
      <c r="B162" s="495"/>
      <c r="E162" s="408"/>
    </row>
    <row r="163" spans="2:5">
      <c r="B163" s="495"/>
      <c r="E163" s="408"/>
    </row>
    <row r="164" spans="2:5">
      <c r="B164" s="495"/>
      <c r="E164" s="408"/>
    </row>
    <row r="165" spans="2:5">
      <c r="B165" s="495"/>
      <c r="E165" s="408"/>
    </row>
    <row r="166" spans="2:5">
      <c r="B166" s="495"/>
      <c r="E166" s="408"/>
    </row>
    <row r="167" spans="2:5">
      <c r="B167" s="495"/>
      <c r="E167" s="408"/>
    </row>
    <row r="168" spans="2:5">
      <c r="B168" s="495"/>
      <c r="E168" s="408"/>
    </row>
    <row r="169" spans="2:5">
      <c r="B169" s="495"/>
      <c r="E169" s="408"/>
    </row>
    <row r="170" spans="2:5">
      <c r="B170" s="495"/>
      <c r="E170" s="408"/>
    </row>
    <row r="171" spans="2:5">
      <c r="B171" s="495"/>
      <c r="E171" s="408"/>
    </row>
    <row r="172" spans="2:5">
      <c r="B172" s="495"/>
      <c r="E172" s="408"/>
    </row>
    <row r="173" spans="2:5">
      <c r="B173" s="495"/>
      <c r="E173" s="408"/>
    </row>
    <row r="174" spans="2:5">
      <c r="B174" s="495"/>
      <c r="E174" s="408"/>
    </row>
    <row r="175" spans="2:5">
      <c r="B175" s="495"/>
      <c r="E175" s="408"/>
    </row>
    <row r="176" spans="2:5">
      <c r="B176" s="495"/>
      <c r="E176" s="408"/>
    </row>
    <row r="177" spans="2:5">
      <c r="B177" s="495"/>
      <c r="E177" s="408"/>
    </row>
    <row r="178" spans="2:5">
      <c r="B178" s="495"/>
      <c r="E178" s="408"/>
    </row>
    <row r="179" spans="2:5">
      <c r="B179" s="495"/>
      <c r="E179" s="408"/>
    </row>
    <row r="180" spans="2:5">
      <c r="B180" s="495"/>
      <c r="E180" s="408"/>
    </row>
    <row r="181" spans="2:5">
      <c r="B181" s="495"/>
      <c r="E181" s="408"/>
    </row>
    <row r="182" spans="2:5">
      <c r="B182" s="495"/>
      <c r="E182" s="408"/>
    </row>
    <row r="183" spans="2:5">
      <c r="B183" s="495"/>
      <c r="E183" s="408"/>
    </row>
    <row r="184" spans="2:5">
      <c r="B184" s="495"/>
      <c r="E184" s="408"/>
    </row>
    <row r="185" spans="2:5">
      <c r="B185" s="495"/>
      <c r="E185" s="408"/>
    </row>
    <row r="186" spans="2:5">
      <c r="B186" s="495"/>
      <c r="E186" s="408"/>
    </row>
    <row r="187" spans="2:5">
      <c r="B187" s="495"/>
      <c r="E187" s="408"/>
    </row>
    <row r="188" spans="2:5">
      <c r="B188" s="495"/>
      <c r="E188" s="408"/>
    </row>
    <row r="189" spans="2:5">
      <c r="B189" s="495"/>
      <c r="E189" s="408"/>
    </row>
    <row r="190" spans="2:5">
      <c r="B190" s="495"/>
      <c r="E190" s="408"/>
    </row>
    <row r="191" spans="2:5">
      <c r="B191" s="495"/>
      <c r="E191" s="408"/>
    </row>
    <row r="192" spans="2:5">
      <c r="B192" s="495"/>
      <c r="E192" s="408"/>
    </row>
    <row r="193" spans="2:5">
      <c r="B193" s="495"/>
      <c r="E193" s="408"/>
    </row>
    <row r="194" spans="2:5">
      <c r="B194" s="495"/>
      <c r="E194" s="408"/>
    </row>
    <row r="195" spans="2:5">
      <c r="B195" s="495"/>
      <c r="E195" s="408"/>
    </row>
    <row r="196" spans="2:5">
      <c r="B196" s="495"/>
      <c r="E196" s="408"/>
    </row>
    <row r="197" spans="2:5">
      <c r="B197" s="495"/>
      <c r="E197" s="408"/>
    </row>
    <row r="198" spans="2:5">
      <c r="B198" s="495"/>
      <c r="E198" s="408"/>
    </row>
    <row r="199" spans="2:5">
      <c r="B199" s="495"/>
      <c r="E199" s="408"/>
    </row>
    <row r="200" spans="2:5">
      <c r="B200" s="495"/>
      <c r="E200" s="408"/>
    </row>
    <row r="201" spans="2:5">
      <c r="B201" s="495"/>
      <c r="E201" s="408"/>
    </row>
    <row r="202" spans="2:5">
      <c r="B202" s="495"/>
      <c r="E202" s="408"/>
    </row>
    <row r="203" spans="2:5">
      <c r="B203" s="495"/>
      <c r="E203" s="408"/>
    </row>
    <row r="204" spans="2:5">
      <c r="B204" s="495"/>
      <c r="E204" s="408"/>
    </row>
    <row r="205" spans="2:5">
      <c r="B205" s="495"/>
      <c r="E205" s="408"/>
    </row>
    <row r="206" spans="2:5">
      <c r="B206" s="495"/>
      <c r="E206" s="408"/>
    </row>
    <row r="207" spans="2:5">
      <c r="B207" s="495"/>
      <c r="E207" s="408"/>
    </row>
    <row r="208" spans="2:5">
      <c r="B208" s="495"/>
      <c r="E208" s="408"/>
    </row>
    <row r="209" spans="2:5">
      <c r="B209" s="495"/>
      <c r="E209" s="408"/>
    </row>
    <row r="210" spans="2:5">
      <c r="B210" s="495"/>
      <c r="E210" s="408"/>
    </row>
    <row r="211" spans="2:5">
      <c r="B211" s="495"/>
      <c r="E211" s="408"/>
    </row>
    <row r="212" spans="2:5">
      <c r="B212" s="495"/>
      <c r="E212" s="408"/>
    </row>
    <row r="213" spans="2:5">
      <c r="B213" s="495"/>
      <c r="E213" s="408"/>
    </row>
    <row r="214" spans="2:5">
      <c r="B214" s="495"/>
      <c r="E214" s="408"/>
    </row>
    <row r="215" spans="2:5">
      <c r="B215" s="495"/>
      <c r="E215" s="408"/>
    </row>
    <row r="216" spans="2:5">
      <c r="B216" s="495"/>
      <c r="E216" s="408"/>
    </row>
    <row r="217" spans="2:5">
      <c r="B217" s="495"/>
      <c r="E217" s="408"/>
    </row>
    <row r="218" spans="2:5">
      <c r="B218" s="495"/>
      <c r="E218" s="408"/>
    </row>
    <row r="219" spans="2:5">
      <c r="B219" s="495"/>
      <c r="E219" s="408"/>
    </row>
    <row r="220" spans="2:5">
      <c r="B220" s="495"/>
      <c r="E220" s="408"/>
    </row>
    <row r="221" spans="2:5">
      <c r="B221" s="495"/>
      <c r="E221" s="408"/>
    </row>
    <row r="222" spans="2:5">
      <c r="B222" s="495"/>
      <c r="E222" s="408"/>
    </row>
    <row r="223" spans="2:5">
      <c r="B223" s="495"/>
      <c r="E223" s="408"/>
    </row>
    <row r="224" spans="2:5">
      <c r="B224" s="495"/>
      <c r="E224" s="408"/>
    </row>
    <row r="225" spans="2:5">
      <c r="B225" s="495"/>
      <c r="E225" s="408"/>
    </row>
    <row r="226" spans="2:5">
      <c r="B226" s="495"/>
      <c r="E226" s="408"/>
    </row>
    <row r="227" spans="2:5">
      <c r="B227" s="495"/>
      <c r="E227" s="408"/>
    </row>
    <row r="228" spans="2:5">
      <c r="B228" s="495"/>
      <c r="E228" s="408"/>
    </row>
    <row r="229" spans="2:5">
      <c r="B229" s="495"/>
      <c r="E229" s="408"/>
    </row>
    <row r="230" spans="2:5">
      <c r="B230" s="495"/>
      <c r="E230" s="408"/>
    </row>
    <row r="231" spans="2:5">
      <c r="B231" s="495"/>
      <c r="E231" s="408"/>
    </row>
    <row r="232" spans="2:5">
      <c r="B232" s="495"/>
      <c r="E232" s="408"/>
    </row>
    <row r="233" spans="2:5">
      <c r="B233" s="495"/>
      <c r="E233" s="408"/>
    </row>
    <row r="234" spans="2:5">
      <c r="B234" s="495"/>
      <c r="E234" s="408"/>
    </row>
    <row r="235" spans="2:5">
      <c r="B235" s="495"/>
      <c r="E235" s="408"/>
    </row>
    <row r="236" spans="2:5">
      <c r="B236" s="495"/>
      <c r="E236" s="408"/>
    </row>
    <row r="237" spans="2:5">
      <c r="B237" s="495"/>
      <c r="E237" s="408"/>
    </row>
    <row r="238" spans="2:5">
      <c r="B238" s="495"/>
      <c r="E238" s="408"/>
    </row>
    <row r="239" spans="2:5">
      <c r="B239" s="495"/>
      <c r="E239" s="408"/>
    </row>
    <row r="240" spans="2:5">
      <c r="B240" s="495"/>
      <c r="E240" s="408"/>
    </row>
    <row r="241" spans="2:5">
      <c r="B241" s="495"/>
      <c r="E241" s="408"/>
    </row>
    <row r="242" spans="2:5">
      <c r="B242" s="495"/>
      <c r="E242" s="408"/>
    </row>
    <row r="243" spans="2:5">
      <c r="B243" s="495"/>
      <c r="E243" s="408"/>
    </row>
    <row r="244" spans="2:5">
      <c r="B244" s="495"/>
      <c r="E244" s="408"/>
    </row>
    <row r="245" spans="2:5">
      <c r="B245" s="495"/>
      <c r="E245" s="408"/>
    </row>
    <row r="246" spans="2:5">
      <c r="B246" s="495"/>
      <c r="E246" s="408"/>
    </row>
    <row r="247" spans="2:5">
      <c r="B247" s="495"/>
      <c r="E247" s="408"/>
    </row>
    <row r="248" spans="2:5">
      <c r="B248" s="495"/>
      <c r="E248" s="408"/>
    </row>
    <row r="249" spans="2:5">
      <c r="B249" s="495"/>
      <c r="E249" s="408"/>
    </row>
    <row r="250" spans="2:5">
      <c r="B250" s="495"/>
      <c r="E250" s="408"/>
    </row>
    <row r="251" spans="2:5">
      <c r="B251" s="495"/>
      <c r="E251" s="408"/>
    </row>
    <row r="252" spans="2:5">
      <c r="B252" s="495"/>
      <c r="E252" s="408"/>
    </row>
    <row r="253" spans="2:5">
      <c r="B253" s="495"/>
      <c r="E253" s="408"/>
    </row>
    <row r="254" spans="2:5">
      <c r="B254" s="495"/>
      <c r="E254" s="408"/>
    </row>
    <row r="255" spans="2:5">
      <c r="B255" s="495"/>
      <c r="E255" s="408"/>
    </row>
    <row r="256" spans="2:5">
      <c r="B256" s="495"/>
      <c r="E256" s="408"/>
    </row>
    <row r="257" spans="2:5">
      <c r="B257" s="495"/>
      <c r="E257" s="408"/>
    </row>
    <row r="258" spans="2:5">
      <c r="B258" s="495"/>
      <c r="E258" s="408"/>
    </row>
    <row r="259" spans="2:5">
      <c r="B259" s="495"/>
      <c r="E259" s="408"/>
    </row>
    <row r="260" spans="2:5">
      <c r="B260" s="495"/>
      <c r="E260" s="408"/>
    </row>
    <row r="261" spans="2:5">
      <c r="B261" s="495"/>
      <c r="E261" s="408"/>
    </row>
    <row r="262" spans="2:5">
      <c r="B262" s="495"/>
      <c r="E262" s="408"/>
    </row>
    <row r="263" spans="2:5">
      <c r="B263" s="495"/>
      <c r="E263" s="408"/>
    </row>
    <row r="264" spans="2:5">
      <c r="B264" s="495"/>
      <c r="E264" s="408"/>
    </row>
    <row r="265" spans="2:5">
      <c r="B265" s="495"/>
      <c r="E265" s="408"/>
    </row>
    <row r="266" spans="2:5">
      <c r="B266" s="495"/>
      <c r="E266" s="408"/>
    </row>
    <row r="267" spans="2:5">
      <c r="B267" s="495"/>
      <c r="E267" s="408"/>
    </row>
    <row r="268" spans="2:5">
      <c r="B268" s="495"/>
      <c r="E268" s="408"/>
    </row>
    <row r="269" spans="2:5">
      <c r="B269" s="495"/>
      <c r="E269" s="408"/>
    </row>
    <row r="270" spans="2:5">
      <c r="B270" s="495"/>
      <c r="E270" s="408"/>
    </row>
    <row r="271" spans="2:5">
      <c r="B271" s="495"/>
      <c r="E271" s="408"/>
    </row>
    <row r="272" spans="2:5">
      <c r="B272" s="495"/>
      <c r="E272" s="408"/>
    </row>
    <row r="273" spans="2:5">
      <c r="B273" s="495"/>
      <c r="E273" s="408"/>
    </row>
    <row r="274" spans="2:5">
      <c r="B274" s="495"/>
      <c r="E274" s="408"/>
    </row>
    <row r="275" spans="2:5">
      <c r="B275" s="495"/>
      <c r="E275" s="408"/>
    </row>
    <row r="276" spans="2:5">
      <c r="B276" s="495"/>
      <c r="E276" s="408"/>
    </row>
    <row r="277" spans="2:5">
      <c r="B277" s="495"/>
      <c r="E277" s="408"/>
    </row>
    <row r="278" spans="2:5">
      <c r="B278" s="495"/>
      <c r="E278" s="408"/>
    </row>
    <row r="279" spans="2:5">
      <c r="B279" s="495"/>
      <c r="E279" s="408"/>
    </row>
    <row r="280" spans="2:5">
      <c r="B280" s="495"/>
      <c r="E280" s="408"/>
    </row>
    <row r="281" spans="2:5">
      <c r="B281" s="495"/>
      <c r="E281" s="408"/>
    </row>
    <row r="282" spans="2:5">
      <c r="B282" s="495"/>
      <c r="E282" s="408"/>
    </row>
    <row r="283" spans="2:5">
      <c r="B283" s="495"/>
      <c r="E283" s="408"/>
    </row>
    <row r="284" spans="2:5">
      <c r="B284" s="495"/>
      <c r="E284" s="408"/>
    </row>
    <row r="285" spans="2:5">
      <c r="B285" s="495"/>
      <c r="E285" s="408"/>
    </row>
    <row r="286" spans="2:5">
      <c r="B286" s="495"/>
      <c r="E286" s="408"/>
    </row>
    <row r="287" spans="2:5">
      <c r="B287" s="495"/>
      <c r="E287" s="408"/>
    </row>
    <row r="288" spans="2:5">
      <c r="B288" s="495"/>
      <c r="E288" s="408"/>
    </row>
    <row r="289" spans="2:5">
      <c r="B289" s="495"/>
      <c r="E289" s="408"/>
    </row>
    <row r="290" spans="2:5">
      <c r="B290" s="495"/>
      <c r="E290" s="408"/>
    </row>
    <row r="291" spans="2:5">
      <c r="B291" s="495"/>
      <c r="E291" s="408"/>
    </row>
    <row r="292" spans="2:5">
      <c r="B292" s="495"/>
      <c r="E292" s="408"/>
    </row>
    <row r="293" spans="2:5">
      <c r="B293" s="495"/>
      <c r="E293" s="408"/>
    </row>
    <row r="294" spans="2:5">
      <c r="B294" s="495"/>
      <c r="E294" s="408"/>
    </row>
    <row r="295" spans="2:5">
      <c r="B295" s="495"/>
      <c r="E295" s="408"/>
    </row>
    <row r="296" spans="2:5">
      <c r="B296" s="495"/>
      <c r="E296" s="408"/>
    </row>
    <row r="297" spans="2:5">
      <c r="B297" s="495"/>
      <c r="E297" s="408"/>
    </row>
    <row r="298" spans="2:5">
      <c r="B298" s="495"/>
      <c r="E298" s="408"/>
    </row>
    <row r="299" spans="2:5">
      <c r="B299" s="495"/>
      <c r="E299" s="408"/>
    </row>
    <row r="300" spans="2:5">
      <c r="B300" s="495"/>
      <c r="E300" s="408"/>
    </row>
    <row r="301" spans="2:5">
      <c r="B301" s="495"/>
      <c r="E301" s="408"/>
    </row>
    <row r="302" spans="2:5">
      <c r="B302" s="495"/>
      <c r="E302" s="408"/>
    </row>
    <row r="303" spans="2:5">
      <c r="B303" s="495"/>
      <c r="E303" s="408"/>
    </row>
    <row r="304" spans="2:5">
      <c r="B304" s="495"/>
      <c r="E304" s="408"/>
    </row>
    <row r="305" spans="2:5">
      <c r="B305" s="495"/>
      <c r="E305" s="408"/>
    </row>
    <row r="306" spans="2:5">
      <c r="B306" s="495"/>
      <c r="E306" s="408"/>
    </row>
    <row r="307" spans="2:5">
      <c r="B307" s="495"/>
      <c r="E307" s="408"/>
    </row>
    <row r="308" spans="2:5">
      <c r="B308" s="495"/>
      <c r="E308" s="408"/>
    </row>
    <row r="309" spans="2:5">
      <c r="B309" s="495"/>
      <c r="E309" s="408"/>
    </row>
    <row r="310" spans="2:5">
      <c r="B310" s="495"/>
      <c r="E310" s="408"/>
    </row>
    <row r="311" spans="2:5">
      <c r="B311" s="495"/>
      <c r="E311" s="408"/>
    </row>
    <row r="312" spans="2:5">
      <c r="B312" s="495"/>
      <c r="E312" s="408"/>
    </row>
    <row r="313" spans="2:5">
      <c r="B313" s="495"/>
      <c r="E313" s="408"/>
    </row>
    <row r="314" spans="2:5">
      <c r="B314" s="495"/>
      <c r="E314" s="408"/>
    </row>
    <row r="315" spans="2:5">
      <c r="B315" s="495"/>
      <c r="E315" s="408"/>
    </row>
    <row r="316" spans="2:5">
      <c r="B316" s="495"/>
      <c r="E316" s="408"/>
    </row>
    <row r="317" spans="2:5">
      <c r="B317" s="495"/>
      <c r="E317" s="408"/>
    </row>
    <row r="318" spans="2:5">
      <c r="B318" s="495"/>
      <c r="E318" s="408"/>
    </row>
    <row r="319" spans="2:5">
      <c r="B319" s="495"/>
      <c r="E319" s="408"/>
    </row>
    <row r="320" spans="2:5">
      <c r="B320" s="495"/>
      <c r="E320" s="408"/>
    </row>
    <row r="321" spans="2:5">
      <c r="B321" s="495"/>
      <c r="E321" s="408"/>
    </row>
    <row r="322" spans="2:5">
      <c r="B322" s="495"/>
      <c r="E322" s="408"/>
    </row>
    <row r="323" spans="2:5">
      <c r="B323" s="495"/>
      <c r="E323" s="408"/>
    </row>
    <row r="324" spans="2:5">
      <c r="B324" s="495"/>
      <c r="E324" s="408"/>
    </row>
    <row r="325" spans="2:5">
      <c r="B325" s="495"/>
      <c r="E325" s="408"/>
    </row>
    <row r="326" spans="2:5">
      <c r="B326" s="495"/>
      <c r="E326" s="408"/>
    </row>
    <row r="327" spans="2:5">
      <c r="B327" s="495"/>
      <c r="E327" s="408"/>
    </row>
    <row r="328" spans="2:5">
      <c r="B328" s="495"/>
      <c r="E328" s="408"/>
    </row>
    <row r="329" spans="2:5">
      <c r="B329" s="495"/>
      <c r="E329" s="408"/>
    </row>
    <row r="330" spans="2:5">
      <c r="B330" s="495"/>
      <c r="E330" s="408"/>
    </row>
    <row r="331" spans="2:5">
      <c r="B331" s="495"/>
      <c r="E331" s="408"/>
    </row>
    <row r="332" spans="2:5">
      <c r="B332" s="495"/>
      <c r="E332" s="408"/>
    </row>
    <row r="333" spans="2:5">
      <c r="B333" s="495"/>
      <c r="E333" s="408"/>
    </row>
    <row r="334" spans="2:5">
      <c r="B334" s="495"/>
      <c r="E334" s="408"/>
    </row>
    <row r="335" spans="2:5">
      <c r="B335" s="495"/>
      <c r="E335" s="408"/>
    </row>
    <row r="336" spans="2:5">
      <c r="B336" s="495"/>
      <c r="E336" s="408"/>
    </row>
    <row r="337" spans="2:5">
      <c r="B337" s="495"/>
      <c r="E337" s="408"/>
    </row>
    <row r="338" spans="2:5">
      <c r="B338" s="495"/>
      <c r="E338" s="408"/>
    </row>
    <row r="339" spans="2:5">
      <c r="B339" s="495"/>
      <c r="E339" s="408"/>
    </row>
    <row r="340" spans="2:5">
      <c r="B340" s="495"/>
      <c r="E340" s="408"/>
    </row>
    <row r="341" spans="2:5">
      <c r="B341" s="495"/>
      <c r="E341" s="408"/>
    </row>
    <row r="342" spans="2:5">
      <c r="B342" s="495"/>
      <c r="E342" s="408"/>
    </row>
    <row r="343" spans="2:5">
      <c r="B343" s="495"/>
      <c r="E343" s="408"/>
    </row>
    <row r="344" spans="2:5">
      <c r="B344" s="495"/>
      <c r="E344" s="408"/>
    </row>
    <row r="345" spans="2:5">
      <c r="B345" s="495"/>
      <c r="E345" s="408"/>
    </row>
    <row r="346" spans="2:5">
      <c r="B346" s="495"/>
      <c r="E346" s="408"/>
    </row>
    <row r="347" spans="2:5">
      <c r="B347" s="495"/>
      <c r="E347" s="408"/>
    </row>
    <row r="348" spans="2:5">
      <c r="B348" s="495"/>
      <c r="E348" s="408"/>
    </row>
    <row r="349" spans="2:5">
      <c r="B349" s="495"/>
      <c r="E349" s="408"/>
    </row>
    <row r="350" spans="2:5">
      <c r="B350" s="495"/>
      <c r="E350" s="408"/>
    </row>
    <row r="351" spans="2:5">
      <c r="B351" s="495"/>
      <c r="E351" s="408"/>
    </row>
    <row r="352" spans="2:5">
      <c r="B352" s="495"/>
      <c r="E352" s="408"/>
    </row>
    <row r="353" spans="2:5">
      <c r="B353" s="495"/>
      <c r="E353" s="408"/>
    </row>
    <row r="354" spans="2:5">
      <c r="B354" s="495"/>
      <c r="E354" s="408"/>
    </row>
    <row r="355" spans="2:5">
      <c r="B355" s="495"/>
      <c r="E355" s="408"/>
    </row>
    <row r="356" spans="2:5">
      <c r="B356" s="495"/>
      <c r="E356" s="408"/>
    </row>
    <row r="357" spans="2:5">
      <c r="B357" s="495"/>
      <c r="E357" s="408"/>
    </row>
    <row r="358" spans="2:5">
      <c r="B358" s="495"/>
      <c r="E358" s="408"/>
    </row>
    <row r="359" spans="2:5">
      <c r="B359" s="495"/>
      <c r="E359" s="408"/>
    </row>
    <row r="360" spans="2:5">
      <c r="B360" s="495"/>
      <c r="E360" s="408"/>
    </row>
    <row r="361" spans="2:5">
      <c r="B361" s="495"/>
      <c r="E361" s="408"/>
    </row>
    <row r="362" spans="2:5">
      <c r="B362" s="495"/>
      <c r="E362" s="408"/>
    </row>
    <row r="363" spans="2:5">
      <c r="B363" s="495"/>
      <c r="E363" s="408"/>
    </row>
    <row r="364" spans="2:5">
      <c r="B364" s="495"/>
      <c r="E364" s="408"/>
    </row>
    <row r="365" spans="2:5">
      <c r="B365" s="495"/>
      <c r="E365" s="408"/>
    </row>
    <row r="366" spans="2:5">
      <c r="B366" s="495"/>
      <c r="E366" s="408"/>
    </row>
    <row r="367" spans="2:5">
      <c r="B367" s="495"/>
      <c r="E367" s="408"/>
    </row>
    <row r="368" spans="2:5">
      <c r="B368" s="495"/>
      <c r="E368" s="408"/>
    </row>
    <row r="369" spans="2:5">
      <c r="B369" s="495"/>
      <c r="E369" s="408"/>
    </row>
    <row r="370" spans="2:5">
      <c r="B370" s="495"/>
      <c r="E370" s="408"/>
    </row>
    <row r="371" spans="2:5">
      <c r="B371" s="495"/>
      <c r="E371" s="408"/>
    </row>
    <row r="372" spans="2:5">
      <c r="B372" s="495"/>
      <c r="E372" s="408"/>
    </row>
    <row r="373" spans="2:5">
      <c r="B373" s="495"/>
      <c r="E373" s="408"/>
    </row>
    <row r="374" spans="2:5">
      <c r="B374" s="495"/>
      <c r="E374" s="408"/>
    </row>
    <row r="375" spans="2:5">
      <c r="B375" s="495"/>
      <c r="E375" s="408"/>
    </row>
    <row r="376" spans="2:5">
      <c r="B376" s="495"/>
      <c r="E376" s="408"/>
    </row>
    <row r="377" spans="2:5">
      <c r="B377" s="495"/>
      <c r="E377" s="408"/>
    </row>
    <row r="378" spans="2:5">
      <c r="B378" s="495"/>
      <c r="E378" s="408"/>
    </row>
    <row r="379" spans="2:5">
      <c r="B379" s="495"/>
      <c r="E379" s="408"/>
    </row>
    <row r="380" spans="2:5">
      <c r="B380" s="495"/>
      <c r="E380" s="408"/>
    </row>
    <row r="381" spans="2:5">
      <c r="B381" s="495"/>
      <c r="E381" s="408"/>
    </row>
    <row r="382" spans="2:5">
      <c r="B382" s="495"/>
      <c r="E382" s="408"/>
    </row>
    <row r="383" spans="2:5">
      <c r="B383" s="495"/>
      <c r="E383" s="408"/>
    </row>
    <row r="384" spans="2:5">
      <c r="B384" s="495"/>
      <c r="E384" s="408"/>
    </row>
    <row r="385" spans="2:5">
      <c r="B385" s="495"/>
      <c r="E385" s="408"/>
    </row>
    <row r="386" spans="2:5">
      <c r="B386" s="495"/>
      <c r="E386" s="408"/>
    </row>
    <row r="387" spans="2:5">
      <c r="B387" s="495"/>
      <c r="E387" s="408"/>
    </row>
    <row r="388" spans="2:5">
      <c r="B388" s="495"/>
      <c r="E388" s="408"/>
    </row>
    <row r="389" spans="2:5">
      <c r="B389" s="495"/>
      <c r="E389" s="408"/>
    </row>
    <row r="390" spans="2:5">
      <c r="B390" s="495"/>
      <c r="E390" s="408"/>
    </row>
    <row r="391" spans="2:5">
      <c r="B391" s="495"/>
      <c r="E391" s="408"/>
    </row>
    <row r="392" spans="2:5">
      <c r="B392" s="495"/>
      <c r="E392" s="408"/>
    </row>
    <row r="393" spans="2:5">
      <c r="B393" s="495"/>
      <c r="E393" s="408"/>
    </row>
    <row r="394" spans="2:5">
      <c r="B394" s="495"/>
      <c r="E394" s="408"/>
    </row>
    <row r="395" spans="2:5">
      <c r="B395" s="495"/>
      <c r="E395" s="408"/>
    </row>
    <row r="396" spans="2:5">
      <c r="B396" s="495"/>
      <c r="E396" s="408"/>
    </row>
    <row r="397" spans="2:5">
      <c r="B397" s="495"/>
      <c r="E397" s="408"/>
    </row>
    <row r="398" spans="2:5">
      <c r="B398" s="495"/>
      <c r="E398" s="408"/>
    </row>
    <row r="399" spans="2:5">
      <c r="B399" s="495"/>
      <c r="E399" s="408"/>
    </row>
    <row r="400" spans="2:5">
      <c r="B400" s="495"/>
      <c r="E400" s="408"/>
    </row>
    <row r="401" spans="2:5">
      <c r="B401" s="495"/>
      <c r="E401" s="408"/>
    </row>
    <row r="402" spans="2:5">
      <c r="B402" s="495"/>
      <c r="E402" s="408"/>
    </row>
    <row r="403" spans="2:5">
      <c r="B403" s="495"/>
      <c r="E403" s="408"/>
    </row>
    <row r="404" spans="2:5">
      <c r="B404" s="495"/>
      <c r="E404" s="408"/>
    </row>
    <row r="405" spans="2:5">
      <c r="B405" s="495"/>
      <c r="E405" s="408"/>
    </row>
    <row r="406" spans="2:5">
      <c r="B406" s="495"/>
      <c r="E406" s="408"/>
    </row>
    <row r="407" spans="2:5">
      <c r="B407" s="495"/>
      <c r="E407" s="408"/>
    </row>
    <row r="408" spans="2:5">
      <c r="B408" s="495"/>
      <c r="E408" s="408"/>
    </row>
    <row r="409" spans="2:5">
      <c r="B409" s="495"/>
      <c r="E409" s="408"/>
    </row>
    <row r="410" spans="2:5">
      <c r="B410" s="495"/>
      <c r="E410" s="408"/>
    </row>
    <row r="411" spans="2:5">
      <c r="B411" s="495"/>
      <c r="E411" s="408"/>
    </row>
    <row r="412" spans="2:5">
      <c r="B412" s="495"/>
      <c r="E412" s="408"/>
    </row>
    <row r="413" spans="2:5">
      <c r="B413" s="495"/>
      <c r="E413" s="408"/>
    </row>
    <row r="414" spans="2:5">
      <c r="B414" s="495"/>
      <c r="E414" s="408"/>
    </row>
    <row r="415" spans="2:5">
      <c r="B415" s="495"/>
      <c r="E415" s="408"/>
    </row>
    <row r="416" spans="2:5">
      <c r="B416" s="495"/>
      <c r="E416" s="408"/>
    </row>
    <row r="417" spans="2:5">
      <c r="B417" s="495"/>
      <c r="E417" s="408"/>
    </row>
    <row r="418" spans="2:5">
      <c r="B418" s="495"/>
      <c r="E418" s="408"/>
    </row>
    <row r="419" spans="2:5">
      <c r="B419" s="495"/>
      <c r="E419" s="408"/>
    </row>
    <row r="420" spans="2:5">
      <c r="B420" s="495"/>
      <c r="E420" s="408"/>
    </row>
    <row r="421" spans="2:5">
      <c r="B421" s="495"/>
      <c r="E421" s="408"/>
    </row>
    <row r="422" spans="2:5">
      <c r="B422" s="495"/>
      <c r="E422" s="408"/>
    </row>
    <row r="423" spans="2:5">
      <c r="B423" s="495"/>
      <c r="E423" s="408"/>
    </row>
    <row r="424" spans="2:5">
      <c r="B424" s="495"/>
      <c r="E424" s="408"/>
    </row>
    <row r="425" spans="2:5">
      <c r="B425" s="495"/>
      <c r="E425" s="408"/>
    </row>
    <row r="426" spans="2:5">
      <c r="B426" s="495"/>
      <c r="E426" s="408"/>
    </row>
    <row r="427" spans="2:5">
      <c r="B427" s="495"/>
      <c r="E427" s="408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T77"/>
  <sheetViews>
    <sheetView zoomScale="80" zoomScaleNormal="80" zoomScalePageLayoutView="80" workbookViewId="0"/>
  </sheetViews>
  <sheetFormatPr defaultColWidth="9.140625" defaultRowHeight="15.75"/>
  <cols>
    <col min="1" max="1" width="5.140625" style="996" customWidth="1"/>
    <col min="2" max="2" width="8.5703125" style="506" customWidth="1"/>
    <col min="3" max="3" width="68.7109375" style="506" customWidth="1"/>
    <col min="4" max="6" width="16.85546875" style="506" customWidth="1"/>
    <col min="7" max="7" width="34.5703125" style="506" customWidth="1"/>
    <col min="8" max="8" width="5.140625" style="996" customWidth="1"/>
    <col min="9" max="9" width="4" style="506" customWidth="1"/>
    <col min="10" max="10" width="13.28515625" style="506" bestFit="1" customWidth="1"/>
    <col min="11" max="11" width="9.140625" style="506"/>
    <col min="12" max="12" width="9.7109375" style="506" customWidth="1"/>
    <col min="13" max="13" width="10" style="506" customWidth="1"/>
    <col min="14" max="16384" width="9.140625" style="506"/>
  </cols>
  <sheetData>
    <row r="2" spans="1:11">
      <c r="B2" s="1656" t="s">
        <v>18</v>
      </c>
      <c r="C2" s="1656"/>
      <c r="D2" s="1656"/>
      <c r="E2" s="1656"/>
      <c r="F2" s="1656"/>
      <c r="G2" s="1656"/>
      <c r="H2" s="1205"/>
    </row>
    <row r="3" spans="1:11">
      <c r="B3" s="1656" t="s">
        <v>183</v>
      </c>
      <c r="C3" s="1656"/>
      <c r="D3" s="1656"/>
      <c r="E3" s="1656"/>
      <c r="F3" s="1656"/>
      <c r="G3" s="1656"/>
      <c r="H3" s="1205"/>
    </row>
    <row r="4" spans="1:11">
      <c r="B4" s="1656" t="str">
        <f>" 12 Months Ending December 31, "&amp;Automation!$B$6</f>
        <v xml:space="preserve"> 12 Months Ending December 31, 2018</v>
      </c>
      <c r="C4" s="1656"/>
      <c r="D4" s="1656"/>
      <c r="E4" s="1656"/>
      <c r="F4" s="1656"/>
      <c r="G4" s="1656"/>
      <c r="H4" s="1205"/>
    </row>
    <row r="5" spans="1:11">
      <c r="B5" s="1657" t="s">
        <v>3</v>
      </c>
      <c r="C5" s="1657"/>
      <c r="D5" s="1657"/>
      <c r="E5" s="1657"/>
      <c r="F5" s="1657"/>
      <c r="G5" s="1657"/>
      <c r="H5" s="1205"/>
    </row>
    <row r="6" spans="1:11" ht="16.5" thickBot="1">
      <c r="A6" s="515"/>
      <c r="B6" s="507"/>
      <c r="C6" s="507"/>
      <c r="D6" s="508"/>
      <c r="E6" s="508"/>
      <c r="F6" s="508"/>
      <c r="G6" s="508"/>
      <c r="H6" s="515"/>
      <c r="J6" s="408"/>
    </row>
    <row r="7" spans="1:11">
      <c r="A7" s="509"/>
      <c r="B7" s="510"/>
      <c r="C7" s="511"/>
      <c r="D7" s="512" t="s">
        <v>5</v>
      </c>
      <c r="E7" s="513" t="s">
        <v>6</v>
      </c>
      <c r="F7" s="512" t="s">
        <v>141</v>
      </c>
      <c r="G7" s="514"/>
      <c r="H7" s="509"/>
    </row>
    <row r="8" spans="1:11">
      <c r="A8" s="515" t="s">
        <v>4</v>
      </c>
      <c r="B8" s="516" t="s">
        <v>142</v>
      </c>
      <c r="C8" s="517"/>
      <c r="D8" s="518" t="s">
        <v>31</v>
      </c>
      <c r="E8" s="519" t="s">
        <v>143</v>
      </c>
      <c r="F8" s="518" t="s">
        <v>31</v>
      </c>
      <c r="G8" s="520"/>
      <c r="H8" s="515" t="s">
        <v>4</v>
      </c>
    </row>
    <row r="9" spans="1:11" ht="16.5" thickBot="1">
      <c r="A9" s="515" t="s">
        <v>25</v>
      </c>
      <c r="B9" s="521" t="s">
        <v>144</v>
      </c>
      <c r="C9" s="522" t="s">
        <v>72</v>
      </c>
      <c r="D9" s="523" t="s">
        <v>145</v>
      </c>
      <c r="E9" s="522" t="s">
        <v>146</v>
      </c>
      <c r="F9" s="523" t="s">
        <v>147</v>
      </c>
      <c r="G9" s="524" t="s">
        <v>9</v>
      </c>
      <c r="H9" s="515" t="s">
        <v>25</v>
      </c>
      <c r="I9" s="515"/>
    </row>
    <row r="10" spans="1:11">
      <c r="A10" s="515"/>
      <c r="B10" s="525"/>
      <c r="C10" s="526" t="s">
        <v>184</v>
      </c>
      <c r="D10" s="1303"/>
      <c r="E10" s="1303"/>
      <c r="F10" s="527"/>
      <c r="G10" s="528"/>
      <c r="H10" s="515"/>
    </row>
    <row r="11" spans="1:11">
      <c r="A11" s="515">
        <v>1</v>
      </c>
      <c r="B11" s="525">
        <v>920</v>
      </c>
      <c r="C11" s="529" t="s">
        <v>185</v>
      </c>
      <c r="D11" s="325">
        <v>38528.063410000002</v>
      </c>
      <c r="E11" s="325">
        <v>0</v>
      </c>
      <c r="F11" s="325">
        <f>D11-E11</f>
        <v>38528.063410000002</v>
      </c>
      <c r="G11" s="530" t="s">
        <v>491</v>
      </c>
      <c r="H11" s="515">
        <f>A11</f>
        <v>1</v>
      </c>
      <c r="I11" s="506" t="s">
        <v>10</v>
      </c>
      <c r="J11" s="300"/>
    </row>
    <row r="12" spans="1:11">
      <c r="A12" s="515">
        <f t="shared" ref="A12:A55" si="0">A11+1</f>
        <v>2</v>
      </c>
      <c r="B12" s="525">
        <v>921</v>
      </c>
      <c r="C12" s="529" t="s">
        <v>696</v>
      </c>
      <c r="D12" s="327">
        <v>8714.1837200000009</v>
      </c>
      <c r="E12" s="470">
        <v>0.75301000000000207</v>
      </c>
      <c r="F12" s="327">
        <f>D12-E12</f>
        <v>8713.4307100000005</v>
      </c>
      <c r="G12" s="530" t="s">
        <v>492</v>
      </c>
      <c r="H12" s="515">
        <f t="shared" ref="H12:H55" si="1">H11+1</f>
        <v>2</v>
      </c>
      <c r="J12" s="300"/>
      <c r="K12" s="531"/>
    </row>
    <row r="13" spans="1:11">
      <c r="A13" s="515">
        <f t="shared" si="0"/>
        <v>3</v>
      </c>
      <c r="B13" s="525">
        <v>922</v>
      </c>
      <c r="C13" s="529" t="s">
        <v>186</v>
      </c>
      <c r="D13" s="327">
        <v>-10239.58124</v>
      </c>
      <c r="E13" s="470">
        <v>0</v>
      </c>
      <c r="F13" s="327">
        <f>D13-E13</f>
        <v>-10239.58124</v>
      </c>
      <c r="G13" s="530" t="s">
        <v>493</v>
      </c>
      <c r="H13" s="515">
        <f t="shared" si="1"/>
        <v>3</v>
      </c>
      <c r="J13" s="300"/>
    </row>
    <row r="14" spans="1:11">
      <c r="A14" s="515">
        <f t="shared" si="0"/>
        <v>4</v>
      </c>
      <c r="B14" s="525">
        <v>923</v>
      </c>
      <c r="C14" s="529" t="s">
        <v>695</v>
      </c>
      <c r="D14" s="327">
        <v>93646.322090000001</v>
      </c>
      <c r="E14" s="470">
        <v>333.74215999999996</v>
      </c>
      <c r="F14" s="327">
        <f>D14-E14</f>
        <v>93312.579930000007</v>
      </c>
      <c r="G14" s="530" t="s">
        <v>494</v>
      </c>
      <c r="H14" s="515">
        <f t="shared" si="1"/>
        <v>4</v>
      </c>
      <c r="J14" s="300"/>
    </row>
    <row r="15" spans="1:11">
      <c r="A15" s="515">
        <f t="shared" si="0"/>
        <v>5</v>
      </c>
      <c r="B15" s="525">
        <v>924</v>
      </c>
      <c r="C15" s="529" t="s">
        <v>693</v>
      </c>
      <c r="D15" s="327">
        <v>5523.0058700000009</v>
      </c>
      <c r="E15" s="470">
        <v>0</v>
      </c>
      <c r="F15" s="327">
        <f t="shared" ref="F15:F16" si="2">D15-E15</f>
        <v>5523.0058700000009</v>
      </c>
      <c r="G15" s="530" t="s">
        <v>495</v>
      </c>
      <c r="H15" s="515">
        <f t="shared" si="1"/>
        <v>5</v>
      </c>
      <c r="J15" s="300"/>
    </row>
    <row r="16" spans="1:11">
      <c r="A16" s="515">
        <f t="shared" si="0"/>
        <v>6</v>
      </c>
      <c r="B16" s="525">
        <v>925</v>
      </c>
      <c r="C16" s="529" t="s">
        <v>308</v>
      </c>
      <c r="D16" s="327">
        <v>112646.05174</v>
      </c>
      <c r="E16" s="470">
        <v>102.631419228</v>
      </c>
      <c r="F16" s="327">
        <f t="shared" si="2"/>
        <v>112543.420320772</v>
      </c>
      <c r="G16" s="530" t="s">
        <v>496</v>
      </c>
      <c r="H16" s="515">
        <f t="shared" si="1"/>
        <v>6</v>
      </c>
      <c r="J16" s="300"/>
    </row>
    <row r="17" spans="1:14">
      <c r="A17" s="515">
        <f t="shared" si="0"/>
        <v>7</v>
      </c>
      <c r="B17" s="525">
        <v>926</v>
      </c>
      <c r="C17" s="529" t="s">
        <v>187</v>
      </c>
      <c r="D17" s="327">
        <v>48997.417150000008</v>
      </c>
      <c r="E17" s="470">
        <v>343.98778952699996</v>
      </c>
      <c r="F17" s="327">
        <f>D17-E17</f>
        <v>48653.429360473012</v>
      </c>
      <c r="G17" s="530" t="s">
        <v>497</v>
      </c>
      <c r="H17" s="515">
        <f t="shared" si="1"/>
        <v>7</v>
      </c>
      <c r="J17" s="532"/>
      <c r="L17" s="533"/>
      <c r="M17" s="533"/>
      <c r="N17" s="533"/>
    </row>
    <row r="18" spans="1:14">
      <c r="A18" s="515">
        <f t="shared" si="0"/>
        <v>8</v>
      </c>
      <c r="B18" s="525">
        <v>927</v>
      </c>
      <c r="C18" s="529" t="s">
        <v>188</v>
      </c>
      <c r="D18" s="327">
        <v>131978.20225999999</v>
      </c>
      <c r="E18" s="470">
        <v>131978.20225999999</v>
      </c>
      <c r="F18" s="327">
        <f t="shared" ref="F18:F20" si="3">D18-E18</f>
        <v>0</v>
      </c>
      <c r="G18" s="530" t="s">
        <v>498</v>
      </c>
      <c r="H18" s="515">
        <f t="shared" si="1"/>
        <v>8</v>
      </c>
      <c r="I18" s="533"/>
      <c r="J18" s="532"/>
      <c r="K18" s="533"/>
      <c r="L18" s="533"/>
      <c r="M18" s="533"/>
      <c r="N18" s="533"/>
    </row>
    <row r="19" spans="1:14">
      <c r="A19" s="515">
        <f t="shared" si="0"/>
        <v>9</v>
      </c>
      <c r="B19" s="525">
        <v>928</v>
      </c>
      <c r="C19" s="529" t="s">
        <v>505</v>
      </c>
      <c r="D19" s="327">
        <v>20960.245720000003</v>
      </c>
      <c r="E19" s="470">
        <v>10076.049580000001</v>
      </c>
      <c r="F19" s="327">
        <f t="shared" si="3"/>
        <v>10884.196140000002</v>
      </c>
      <c r="G19" s="530" t="s">
        <v>499</v>
      </c>
      <c r="H19" s="515">
        <f t="shared" si="1"/>
        <v>9</v>
      </c>
      <c r="I19" s="533"/>
      <c r="J19" s="532"/>
      <c r="K19" s="533"/>
      <c r="L19" s="533"/>
      <c r="M19" s="533"/>
      <c r="N19" s="533"/>
    </row>
    <row r="20" spans="1:14">
      <c r="A20" s="515">
        <f t="shared" si="0"/>
        <v>10</v>
      </c>
      <c r="B20" s="525">
        <v>929</v>
      </c>
      <c r="C20" s="529" t="s">
        <v>189</v>
      </c>
      <c r="D20" s="327">
        <v>-1622.2648800000004</v>
      </c>
      <c r="E20" s="470">
        <v>0</v>
      </c>
      <c r="F20" s="327">
        <f t="shared" si="3"/>
        <v>-1622.2648800000004</v>
      </c>
      <c r="G20" s="530" t="s">
        <v>500</v>
      </c>
      <c r="H20" s="515">
        <f t="shared" si="1"/>
        <v>10</v>
      </c>
      <c r="J20" s="300"/>
    </row>
    <row r="21" spans="1:14">
      <c r="A21" s="515">
        <f t="shared" si="0"/>
        <v>11</v>
      </c>
      <c r="B21" s="534">
        <v>930.1</v>
      </c>
      <c r="C21" s="529" t="s">
        <v>190</v>
      </c>
      <c r="D21" s="327">
        <v>242.68352000000002</v>
      </c>
      <c r="E21" s="470">
        <v>242.68352000000002</v>
      </c>
      <c r="F21" s="327">
        <f>D21-E21</f>
        <v>0</v>
      </c>
      <c r="G21" s="530" t="s">
        <v>501</v>
      </c>
      <c r="H21" s="515">
        <f t="shared" si="1"/>
        <v>11</v>
      </c>
      <c r="J21" s="300"/>
    </row>
    <row r="22" spans="1:14" s="507" customFormat="1">
      <c r="A22" s="515">
        <f t="shared" si="0"/>
        <v>12</v>
      </c>
      <c r="B22" s="534">
        <v>930.2</v>
      </c>
      <c r="C22" s="529" t="s">
        <v>694</v>
      </c>
      <c r="D22" s="327">
        <v>7563.7374500000005</v>
      </c>
      <c r="E22" s="470">
        <v>2000.03565</v>
      </c>
      <c r="F22" s="327">
        <f t="shared" ref="F22" si="4">D22-E22</f>
        <v>5563.7018000000007</v>
      </c>
      <c r="G22" s="530" t="s">
        <v>502</v>
      </c>
      <c r="H22" s="515">
        <f t="shared" si="1"/>
        <v>12</v>
      </c>
      <c r="J22" s="535"/>
      <c r="K22" s="506"/>
    </row>
    <row r="23" spans="1:14">
      <c r="A23" s="515">
        <f t="shared" si="0"/>
        <v>13</v>
      </c>
      <c r="B23" s="525">
        <v>931</v>
      </c>
      <c r="C23" s="529" t="s">
        <v>161</v>
      </c>
      <c r="D23" s="327">
        <v>11844.36429</v>
      </c>
      <c r="E23" s="470">
        <v>0</v>
      </c>
      <c r="F23" s="327">
        <f>D23-E23</f>
        <v>11844.36429</v>
      </c>
      <c r="G23" s="530" t="s">
        <v>503</v>
      </c>
      <c r="H23" s="515">
        <f t="shared" si="1"/>
        <v>13</v>
      </c>
      <c r="J23" s="300"/>
    </row>
    <row r="24" spans="1:14">
      <c r="A24" s="515">
        <f t="shared" si="0"/>
        <v>14</v>
      </c>
      <c r="B24" s="525">
        <v>935</v>
      </c>
      <c r="C24" s="529" t="s">
        <v>191</v>
      </c>
      <c r="D24" s="471">
        <v>9056.059220000001</v>
      </c>
      <c r="E24" s="492">
        <v>65.000791141999997</v>
      </c>
      <c r="F24" s="471">
        <f>D24-E24</f>
        <v>8991.0584288580012</v>
      </c>
      <c r="G24" s="536" t="s">
        <v>504</v>
      </c>
      <c r="H24" s="515">
        <f t="shared" si="1"/>
        <v>14</v>
      </c>
      <c r="I24" s="506" t="s">
        <v>10</v>
      </c>
      <c r="J24" s="300"/>
    </row>
    <row r="25" spans="1:14">
      <c r="A25" s="515">
        <f t="shared" si="0"/>
        <v>15</v>
      </c>
      <c r="B25" s="525"/>
      <c r="C25" s="507"/>
      <c r="D25" s="537"/>
      <c r="E25" s="538"/>
      <c r="F25" s="537"/>
      <c r="G25" s="539"/>
      <c r="H25" s="515">
        <f t="shared" si="1"/>
        <v>15</v>
      </c>
    </row>
    <row r="26" spans="1:14" ht="16.5" thickBot="1">
      <c r="A26" s="515">
        <f t="shared" si="0"/>
        <v>16</v>
      </c>
      <c r="B26" s="525"/>
      <c r="C26" s="540" t="s">
        <v>192</v>
      </c>
      <c r="D26" s="541">
        <f>SUM(D11:D24)</f>
        <v>477838.49032000004</v>
      </c>
      <c r="E26" s="542">
        <f>SUM(E11:E24)</f>
        <v>145143.08617989699</v>
      </c>
      <c r="F26" s="483">
        <f>SUM(F11:F24)</f>
        <v>332695.40414010303</v>
      </c>
      <c r="G26" s="543" t="str">
        <f>"Sum Lines "&amp;A11&amp;" thru "&amp;A24</f>
        <v>Sum Lines 1 thru 14</v>
      </c>
      <c r="H26" s="515">
        <f t="shared" si="1"/>
        <v>16</v>
      </c>
    </row>
    <row r="27" spans="1:14" ht="16.5" thickTop="1">
      <c r="A27" s="515">
        <f t="shared" si="0"/>
        <v>17</v>
      </c>
      <c r="B27" s="525"/>
      <c r="C27" s="540"/>
      <c r="D27" s="436"/>
      <c r="E27" s="265"/>
      <c r="F27" s="496"/>
      <c r="G27" s="543"/>
      <c r="H27" s="515">
        <f t="shared" si="1"/>
        <v>17</v>
      </c>
    </row>
    <row r="28" spans="1:14" ht="18.75">
      <c r="A28" s="515">
        <f t="shared" si="0"/>
        <v>18</v>
      </c>
      <c r="B28" s="525">
        <v>413</v>
      </c>
      <c r="C28" s="538" t="s">
        <v>876</v>
      </c>
      <c r="D28" s="471">
        <v>0</v>
      </c>
      <c r="E28" s="938">
        <v>0</v>
      </c>
      <c r="F28" s="471">
        <f>D28-E28</f>
        <v>0</v>
      </c>
      <c r="G28" s="543"/>
      <c r="H28" s="515">
        <f t="shared" si="1"/>
        <v>18</v>
      </c>
    </row>
    <row r="29" spans="1:14">
      <c r="A29" s="515">
        <f t="shared" si="0"/>
        <v>19</v>
      </c>
      <c r="B29" s="525"/>
      <c r="C29" s="540"/>
      <c r="D29" s="436"/>
      <c r="E29" s="265"/>
      <c r="F29" s="496"/>
      <c r="G29" s="543"/>
      <c r="H29" s="515">
        <f t="shared" si="1"/>
        <v>19</v>
      </c>
    </row>
    <row r="30" spans="1:14" ht="16.5" thickBot="1">
      <c r="A30" s="515">
        <f t="shared" si="0"/>
        <v>20</v>
      </c>
      <c r="B30" s="525"/>
      <c r="C30" s="540" t="s">
        <v>305</v>
      </c>
      <c r="D30" s="541">
        <f>D26+D28</f>
        <v>477838.49032000004</v>
      </c>
      <c r="E30" s="265">
        <f>E26+E28</f>
        <v>145143.08617989699</v>
      </c>
      <c r="F30" s="496">
        <f>F26+F28</f>
        <v>332695.40414010303</v>
      </c>
      <c r="G30" s="543" t="str">
        <f>"Line "&amp;A26&amp;" + Line "&amp;A28</f>
        <v>Line 16 + Line 18</v>
      </c>
      <c r="H30" s="515">
        <f t="shared" si="1"/>
        <v>20</v>
      </c>
    </row>
    <row r="31" spans="1:14" ht="17.25" thickTop="1" thickBot="1">
      <c r="A31" s="515">
        <f t="shared" si="0"/>
        <v>21</v>
      </c>
      <c r="B31" s="544"/>
      <c r="C31" s="508"/>
      <c r="D31" s="545"/>
      <c r="E31" s="546"/>
      <c r="F31" s="546"/>
      <c r="G31" s="547"/>
      <c r="H31" s="515">
        <f t="shared" si="1"/>
        <v>21</v>
      </c>
    </row>
    <row r="32" spans="1:14">
      <c r="A32" s="515">
        <f t="shared" si="0"/>
        <v>22</v>
      </c>
      <c r="B32" s="548"/>
      <c r="C32" s="507"/>
      <c r="D32" s="549"/>
      <c r="E32" s="550"/>
      <c r="F32" s="549"/>
      <c r="G32" s="539"/>
      <c r="H32" s="515">
        <f t="shared" si="1"/>
        <v>22</v>
      </c>
    </row>
    <row r="33" spans="1:20">
      <c r="A33" s="515">
        <f t="shared" si="0"/>
        <v>23</v>
      </c>
      <c r="B33" s="551" t="s">
        <v>193</v>
      </c>
      <c r="C33" s="515"/>
      <c r="D33" s="515"/>
      <c r="E33" s="515"/>
      <c r="F33" s="515"/>
      <c r="G33" s="539"/>
      <c r="H33" s="515">
        <f t="shared" si="1"/>
        <v>23</v>
      </c>
    </row>
    <row r="34" spans="1:20">
      <c r="A34" s="515">
        <f t="shared" si="0"/>
        <v>24</v>
      </c>
      <c r="B34" s="1599">
        <v>921</v>
      </c>
      <c r="C34" s="1600" t="s">
        <v>1026</v>
      </c>
      <c r="D34" s="1585"/>
      <c r="E34" s="15">
        <v>0.75301000000000207</v>
      </c>
      <c r="F34" s="515"/>
      <c r="G34" s="539"/>
      <c r="H34" s="515">
        <f t="shared" si="1"/>
        <v>24</v>
      </c>
      <c r="J34" s="538"/>
    </row>
    <row r="35" spans="1:20">
      <c r="A35" s="515">
        <f t="shared" si="0"/>
        <v>25</v>
      </c>
      <c r="B35" s="1599">
        <v>923</v>
      </c>
      <c r="C35" s="1600" t="s">
        <v>1026</v>
      </c>
      <c r="D35" s="1585"/>
      <c r="E35" s="12">
        <v>333.74215999999996</v>
      </c>
      <c r="F35" s="507"/>
      <c r="G35" s="539"/>
      <c r="H35" s="515">
        <f t="shared" si="1"/>
        <v>25</v>
      </c>
      <c r="J35" s="529"/>
    </row>
    <row r="36" spans="1:20">
      <c r="A36" s="515">
        <f t="shared" si="0"/>
        <v>26</v>
      </c>
      <c r="B36" s="1599">
        <v>925</v>
      </c>
      <c r="C36" s="1601" t="s">
        <v>194</v>
      </c>
      <c r="D36" s="12">
        <v>102.631419228</v>
      </c>
      <c r="E36" s="533"/>
      <c r="F36" s="507"/>
      <c r="G36" s="539"/>
      <c r="H36" s="515">
        <f t="shared" si="1"/>
        <v>26</v>
      </c>
      <c r="J36" s="538"/>
    </row>
    <row r="37" spans="1:20">
      <c r="A37" s="515">
        <f t="shared" si="0"/>
        <v>27</v>
      </c>
      <c r="B37" s="1599"/>
      <c r="C37" s="1601" t="s">
        <v>308</v>
      </c>
      <c r="D37" s="1586">
        <v>0</v>
      </c>
      <c r="E37" s="533">
        <f>SUM(D36:D37)</f>
        <v>102.631419228</v>
      </c>
      <c r="F37" s="507"/>
      <c r="G37" s="539"/>
      <c r="H37" s="515">
        <f t="shared" si="1"/>
        <v>27</v>
      </c>
      <c r="J37" s="538"/>
    </row>
    <row r="38" spans="1:20">
      <c r="A38" s="515">
        <f t="shared" si="0"/>
        <v>28</v>
      </c>
      <c r="B38" s="1599">
        <v>926</v>
      </c>
      <c r="C38" s="1601" t="s">
        <v>194</v>
      </c>
      <c r="D38" s="1587"/>
      <c r="E38" s="12">
        <v>343.98778952699996</v>
      </c>
      <c r="F38" s="507"/>
      <c r="G38" s="539"/>
      <c r="H38" s="515">
        <f t="shared" si="1"/>
        <v>28</v>
      </c>
      <c r="J38" s="538"/>
    </row>
    <row r="39" spans="1:20">
      <c r="A39" s="515">
        <f t="shared" si="0"/>
        <v>29</v>
      </c>
      <c r="B39" s="1599">
        <v>927</v>
      </c>
      <c r="C39" s="1601" t="s">
        <v>188</v>
      </c>
      <c r="D39" s="1587"/>
      <c r="E39" s="12">
        <v>131978.20225999999</v>
      </c>
      <c r="F39" s="1304"/>
      <c r="G39" s="1305"/>
      <c r="H39" s="515">
        <f t="shared" si="1"/>
        <v>29</v>
      </c>
      <c r="J39" s="538"/>
    </row>
    <row r="40" spans="1:20">
      <c r="A40" s="515">
        <f t="shared" si="0"/>
        <v>30</v>
      </c>
      <c r="B40" s="1599">
        <v>928</v>
      </c>
      <c r="C40" s="1601" t="s">
        <v>194</v>
      </c>
      <c r="D40" s="12">
        <v>0</v>
      </c>
      <c r="E40" s="12"/>
      <c r="F40" s="507"/>
      <c r="G40" s="539"/>
      <c r="H40" s="515">
        <f t="shared" si="1"/>
        <v>30</v>
      </c>
      <c r="J40" s="538"/>
    </row>
    <row r="41" spans="1:20">
      <c r="A41" s="515">
        <f t="shared" si="0"/>
        <v>31</v>
      </c>
      <c r="B41" s="1599"/>
      <c r="C41" s="1602" t="s">
        <v>195</v>
      </c>
      <c r="D41" s="12">
        <v>0</v>
      </c>
      <c r="E41" s="12"/>
      <c r="F41" s="507"/>
      <c r="G41" s="539"/>
      <c r="H41" s="515">
        <f t="shared" si="1"/>
        <v>31</v>
      </c>
      <c r="I41" s="533"/>
      <c r="J41" s="538"/>
      <c r="K41" s="533"/>
      <c r="L41" s="533"/>
      <c r="M41" s="533"/>
      <c r="N41" s="533"/>
      <c r="O41" s="533"/>
      <c r="P41" s="533"/>
      <c r="Q41" s="533"/>
      <c r="R41" s="533"/>
      <c r="S41" s="533"/>
      <c r="T41" s="533"/>
    </row>
    <row r="42" spans="1:20">
      <c r="A42" s="515">
        <f t="shared" si="0"/>
        <v>32</v>
      </c>
      <c r="B42" s="1599"/>
      <c r="C42" s="1602" t="s">
        <v>196</v>
      </c>
      <c r="D42" s="12">
        <v>1333.8680300000003</v>
      </c>
      <c r="E42" s="1588"/>
      <c r="F42" s="1304"/>
      <c r="G42" s="1305"/>
      <c r="H42" s="515">
        <f t="shared" si="1"/>
        <v>32</v>
      </c>
      <c r="I42" s="533"/>
      <c r="J42" s="538"/>
      <c r="K42" s="533"/>
      <c r="L42" s="533"/>
      <c r="M42" s="533"/>
      <c r="N42" s="533"/>
      <c r="O42" s="533"/>
      <c r="P42" s="533"/>
      <c r="Q42" s="533"/>
      <c r="R42" s="533"/>
      <c r="S42" s="533"/>
      <c r="T42" s="533"/>
    </row>
    <row r="43" spans="1:20">
      <c r="A43" s="515">
        <f t="shared" si="0"/>
        <v>33</v>
      </c>
      <c r="B43" s="1599"/>
      <c r="C43" s="1602" t="s">
        <v>197</v>
      </c>
      <c r="D43" s="12">
        <v>8601.3346500000007</v>
      </c>
      <c r="E43" s="1589"/>
      <c r="F43" s="507"/>
      <c r="G43" s="539"/>
      <c r="H43" s="515">
        <f t="shared" si="1"/>
        <v>33</v>
      </c>
      <c r="I43" s="533"/>
      <c r="J43" s="538"/>
      <c r="K43" s="533"/>
      <c r="L43" s="533"/>
      <c r="M43" s="533"/>
      <c r="N43" s="533"/>
      <c r="O43" s="533"/>
      <c r="P43" s="533"/>
      <c r="Q43" s="533"/>
      <c r="R43" s="533"/>
      <c r="S43" s="533"/>
      <c r="T43" s="533"/>
    </row>
    <row r="44" spans="1:20">
      <c r="A44" s="515">
        <f t="shared" si="0"/>
        <v>34</v>
      </c>
      <c r="B44" s="1603"/>
      <c r="C44" s="1601" t="s">
        <v>198</v>
      </c>
      <c r="D44" s="1012">
        <v>140.84690000000001</v>
      </c>
      <c r="E44" s="1590">
        <f>SUM(D40:D44)</f>
        <v>10076.049580000001</v>
      </c>
      <c r="F44" s="507"/>
      <c r="G44" s="539"/>
      <c r="H44" s="515">
        <f t="shared" si="1"/>
        <v>34</v>
      </c>
      <c r="I44" s="533"/>
      <c r="J44" s="538"/>
      <c r="K44" s="533"/>
      <c r="L44" s="533"/>
      <c r="M44" s="533"/>
      <c r="N44" s="533"/>
      <c r="O44" s="533"/>
      <c r="P44" s="533"/>
      <c r="Q44" s="533"/>
      <c r="R44" s="533"/>
      <c r="S44" s="533"/>
      <c r="T44" s="533"/>
    </row>
    <row r="45" spans="1:20">
      <c r="A45" s="515">
        <f t="shared" si="0"/>
        <v>35</v>
      </c>
      <c r="B45" s="1604">
        <v>930.1</v>
      </c>
      <c r="C45" s="1600" t="s">
        <v>190</v>
      </c>
      <c r="D45" s="1591"/>
      <c r="E45" s="12">
        <v>242.68352000000002</v>
      </c>
      <c r="F45" s="507"/>
      <c r="G45" s="539"/>
      <c r="H45" s="515">
        <f t="shared" si="1"/>
        <v>35</v>
      </c>
      <c r="I45" s="533"/>
      <c r="J45" s="538"/>
      <c r="K45" s="533"/>
      <c r="L45" s="533"/>
      <c r="M45" s="533"/>
      <c r="N45" s="533"/>
      <c r="O45" s="533"/>
      <c r="P45" s="533"/>
      <c r="Q45" s="533"/>
      <c r="R45" s="533"/>
      <c r="S45" s="533"/>
      <c r="T45" s="533"/>
    </row>
    <row r="46" spans="1:20">
      <c r="A46" s="515">
        <f t="shared" si="0"/>
        <v>36</v>
      </c>
      <c r="B46" s="1604">
        <v>930.2</v>
      </c>
      <c r="C46" s="1601" t="s">
        <v>199</v>
      </c>
      <c r="D46" s="17">
        <v>0</v>
      </c>
      <c r="E46" s="1592"/>
      <c r="F46" s="507"/>
      <c r="G46" s="539"/>
      <c r="H46" s="515">
        <f t="shared" si="1"/>
        <v>36</v>
      </c>
      <c r="I46" s="533"/>
      <c r="J46" s="538"/>
      <c r="K46" s="533"/>
      <c r="L46" s="533"/>
      <c r="M46" s="533"/>
      <c r="N46" s="533"/>
      <c r="O46" s="533"/>
      <c r="P46" s="533"/>
      <c r="Q46" s="533"/>
      <c r="R46" s="533"/>
      <c r="S46" s="533"/>
      <c r="T46" s="533"/>
    </row>
    <row r="47" spans="1:20">
      <c r="A47" s="515">
        <f t="shared" si="0"/>
        <v>37</v>
      </c>
      <c r="B47" s="1604"/>
      <c r="C47" s="1601" t="s">
        <v>200</v>
      </c>
      <c r="D47" s="1593">
        <v>2000.03565</v>
      </c>
      <c r="E47" s="17">
        <f>SUM(D46:D47)</f>
        <v>2000.03565</v>
      </c>
      <c r="F47" s="1307"/>
      <c r="G47" s="539"/>
      <c r="H47" s="515">
        <f t="shared" si="1"/>
        <v>37</v>
      </c>
      <c r="I47" s="533"/>
      <c r="J47" s="538"/>
      <c r="K47" s="533"/>
      <c r="L47" s="533"/>
      <c r="M47" s="533"/>
      <c r="N47" s="533"/>
      <c r="O47" s="533"/>
      <c r="P47" s="533"/>
      <c r="Q47" s="533"/>
      <c r="R47" s="533"/>
      <c r="S47" s="533"/>
      <c r="T47" s="533"/>
    </row>
    <row r="48" spans="1:20">
      <c r="A48" s="515">
        <f t="shared" si="0"/>
        <v>38</v>
      </c>
      <c r="B48" s="1599">
        <v>935</v>
      </c>
      <c r="C48" s="1605" t="s">
        <v>201</v>
      </c>
      <c r="D48" s="1594"/>
      <c r="E48" s="1586">
        <v>65.000791141999997</v>
      </c>
      <c r="F48" s="1307"/>
      <c r="G48" s="539"/>
      <c r="H48" s="515">
        <f t="shared" si="1"/>
        <v>38</v>
      </c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</row>
    <row r="49" spans="1:20">
      <c r="A49" s="515">
        <f t="shared" si="0"/>
        <v>39</v>
      </c>
      <c r="B49" s="562"/>
      <c r="C49" s="555"/>
      <c r="D49" s="1306"/>
      <c r="E49" s="12"/>
      <c r="F49" s="1307"/>
      <c r="G49" s="539"/>
      <c r="H49" s="515">
        <f t="shared" si="1"/>
        <v>39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</row>
    <row r="50" spans="1:20" ht="16.5" thickBot="1">
      <c r="A50" s="515">
        <f t="shared" si="0"/>
        <v>40</v>
      </c>
      <c r="B50" s="548"/>
      <c r="C50" s="552" t="s">
        <v>182</v>
      </c>
      <c r="D50" s="1308"/>
      <c r="E50" s="563">
        <f>SUM(E34:E48)</f>
        <v>145143.08617989699</v>
      </c>
      <c r="F50" s="444"/>
      <c r="G50" s="539"/>
      <c r="H50" s="515">
        <f t="shared" si="1"/>
        <v>40</v>
      </c>
    </row>
    <row r="51" spans="1:20" ht="16.5" thickTop="1">
      <c r="A51" s="515">
        <f t="shared" si="0"/>
        <v>41</v>
      </c>
      <c r="B51" s="548"/>
      <c r="C51" s="552"/>
      <c r="D51" s="507"/>
      <c r="E51" s="554"/>
      <c r="F51" s="444"/>
      <c r="G51" s="539"/>
      <c r="H51" s="515">
        <f t="shared" si="1"/>
        <v>41</v>
      </c>
    </row>
    <row r="52" spans="1:20">
      <c r="A52" s="515">
        <f t="shared" si="0"/>
        <v>42</v>
      </c>
      <c r="B52" s="548"/>
      <c r="C52" s="552"/>
      <c r="D52" s="507"/>
      <c r="E52" s="554"/>
      <c r="F52" s="444"/>
      <c r="G52" s="539"/>
      <c r="H52" s="515">
        <f t="shared" si="1"/>
        <v>42</v>
      </c>
    </row>
    <row r="53" spans="1:20" ht="18.75">
      <c r="A53" s="515">
        <f t="shared" si="0"/>
        <v>43</v>
      </c>
      <c r="B53" s="504">
        <v>1</v>
      </c>
      <c r="C53" s="93" t="str">
        <f>"This amount represents the Non-Direct A&amp;G expenses billed to Citizens in "&amp;Automation!B6&amp;", which is added back to derive Total Adjusted A&amp;G Expenses in SAP"</f>
        <v>This amount represents the Non-Direct A&amp;G expenses billed to Citizens in 2018, which is added back to derive Total Adjusted A&amp;G Expenses in SAP</v>
      </c>
      <c r="D53" s="507"/>
      <c r="E53" s="554"/>
      <c r="F53" s="444"/>
      <c r="G53" s="539"/>
      <c r="H53" s="515">
        <f t="shared" si="1"/>
        <v>43</v>
      </c>
    </row>
    <row r="54" spans="1:20" ht="18.75">
      <c r="A54" s="515">
        <f t="shared" si="0"/>
        <v>44</v>
      </c>
      <c r="B54" s="1387"/>
      <c r="C54" s="4" t="s">
        <v>1020</v>
      </c>
      <c r="D54" s="507"/>
      <c r="E54" s="554"/>
      <c r="F54" s="444"/>
      <c r="G54" s="539"/>
      <c r="H54" s="515">
        <f t="shared" si="1"/>
        <v>44</v>
      </c>
    </row>
    <row r="55" spans="1:20" ht="16.5" thickBot="1">
      <c r="A55" s="515">
        <f t="shared" si="0"/>
        <v>45</v>
      </c>
      <c r="B55" s="556"/>
      <c r="C55" s="557"/>
      <c r="D55" s="508"/>
      <c r="E55" s="508"/>
      <c r="F55" s="508"/>
      <c r="G55" s="547"/>
      <c r="H55" s="515">
        <f t="shared" si="1"/>
        <v>45</v>
      </c>
    </row>
    <row r="56" spans="1:20">
      <c r="A56" s="515"/>
      <c r="B56" s="507"/>
      <c r="C56" s="555"/>
      <c r="D56" s="507"/>
      <c r="E56" s="507"/>
      <c r="F56" s="507"/>
      <c r="G56" s="507"/>
      <c r="H56" s="515"/>
    </row>
    <row r="57" spans="1:20">
      <c r="A57" s="509"/>
      <c r="B57" s="507"/>
      <c r="C57" s="555"/>
      <c r="D57" s="558"/>
      <c r="E57" s="558"/>
      <c r="F57" s="507"/>
      <c r="G57" s="507"/>
      <c r="H57" s="515"/>
    </row>
    <row r="58" spans="1:20" ht="18.75">
      <c r="A58" s="559"/>
      <c r="B58" s="231"/>
      <c r="C58" s="4"/>
      <c r="D58" s="114"/>
      <c r="E58" s="114"/>
      <c r="F58" s="114"/>
      <c r="G58" s="507"/>
      <c r="H58" s="515"/>
    </row>
    <row r="59" spans="1:20" ht="18.75">
      <c r="A59" s="559"/>
      <c r="B59" s="231"/>
      <c r="C59" s="107"/>
      <c r="D59" s="114"/>
      <c r="E59" s="112"/>
      <c r="F59" s="114"/>
      <c r="G59" s="507"/>
      <c r="H59" s="515"/>
    </row>
    <row r="60" spans="1:20" ht="18.75">
      <c r="A60" s="559"/>
      <c r="B60" s="600"/>
      <c r="C60" s="4"/>
      <c r="D60" s="4"/>
      <c r="E60" s="4"/>
      <c r="F60" s="4"/>
      <c r="G60" s="507"/>
      <c r="H60" s="515"/>
    </row>
    <row r="61" spans="1:20" ht="18.75">
      <c r="A61" s="559"/>
      <c r="C61" s="555"/>
      <c r="D61" s="507"/>
      <c r="E61" s="507"/>
      <c r="F61" s="507"/>
      <c r="G61" s="507"/>
      <c r="H61" s="515"/>
    </row>
    <row r="62" spans="1:20" ht="18.75">
      <c r="A62" s="559"/>
      <c r="C62" s="555"/>
      <c r="D62" s="507"/>
      <c r="E62" s="507"/>
      <c r="F62" s="507"/>
      <c r="G62" s="507"/>
      <c r="H62" s="515"/>
    </row>
    <row r="63" spans="1:20" ht="18.75">
      <c r="A63" s="559"/>
      <c r="C63" s="555"/>
      <c r="D63" s="507"/>
      <c r="E63" s="507"/>
      <c r="F63" s="507"/>
      <c r="G63" s="507"/>
      <c r="H63" s="515"/>
    </row>
    <row r="64" spans="1:20">
      <c r="A64" s="509"/>
      <c r="B64" s="507"/>
      <c r="C64" s="555"/>
      <c r="D64" s="507"/>
      <c r="E64" s="507"/>
      <c r="F64" s="507"/>
      <c r="G64" s="507"/>
      <c r="H64" s="515"/>
    </row>
    <row r="65" spans="1:8" ht="18.75">
      <c r="A65" s="559"/>
      <c r="B65" s="507"/>
      <c r="C65" s="555"/>
      <c r="D65" s="507"/>
      <c r="E65" s="507"/>
      <c r="F65" s="507"/>
      <c r="G65" s="507"/>
      <c r="H65" s="515"/>
    </row>
    <row r="66" spans="1:8">
      <c r="A66" s="509"/>
      <c r="B66" s="507"/>
      <c r="C66" s="555"/>
      <c r="D66" s="507"/>
      <c r="E66" s="507"/>
      <c r="F66" s="507"/>
      <c r="G66" s="507"/>
      <c r="H66" s="515"/>
    </row>
    <row r="67" spans="1:8" ht="18.75">
      <c r="A67" s="559"/>
      <c r="B67" s="507"/>
      <c r="C67" s="555"/>
      <c r="D67" s="507"/>
      <c r="E67" s="507"/>
      <c r="F67" s="507"/>
      <c r="G67" s="507"/>
      <c r="H67" s="515"/>
    </row>
    <row r="68" spans="1:8">
      <c r="A68" s="509"/>
      <c r="B68" s="507"/>
      <c r="C68" s="555"/>
      <c r="D68" s="507"/>
      <c r="E68" s="507"/>
      <c r="F68" s="507"/>
      <c r="G68" s="507"/>
      <c r="H68" s="515"/>
    </row>
    <row r="69" spans="1:8" ht="18.75">
      <c r="A69" s="559"/>
      <c r="B69" s="507"/>
      <c r="C69" s="555"/>
      <c r="D69" s="507"/>
      <c r="E69" s="507"/>
      <c r="F69" s="507"/>
      <c r="G69" s="507"/>
      <c r="H69" s="515"/>
    </row>
    <row r="70" spans="1:8" ht="18.75">
      <c r="A70" s="559"/>
      <c r="B70" s="555"/>
      <c r="C70" s="507"/>
      <c r="D70" s="507"/>
      <c r="E70" s="507"/>
      <c r="F70" s="507"/>
      <c r="G70" s="507"/>
      <c r="H70" s="515"/>
    </row>
    <row r="71" spans="1:8" ht="18.75">
      <c r="A71" s="559"/>
      <c r="B71" s="555"/>
      <c r="C71" s="507"/>
      <c r="D71" s="507"/>
      <c r="E71" s="507"/>
      <c r="F71" s="507"/>
      <c r="G71" s="507"/>
      <c r="H71" s="515"/>
    </row>
    <row r="72" spans="1:8">
      <c r="A72" s="515"/>
      <c r="B72" s="555"/>
      <c r="C72" s="507"/>
      <c r="D72" s="507"/>
      <c r="E72" s="507"/>
      <c r="F72" s="507"/>
      <c r="G72" s="507"/>
      <c r="H72" s="515"/>
    </row>
    <row r="73" spans="1:8" ht="18.75">
      <c r="A73" s="559"/>
      <c r="B73" s="555"/>
      <c r="C73" s="507"/>
      <c r="D73" s="507"/>
      <c r="E73" s="507"/>
      <c r="F73" s="507"/>
      <c r="G73" s="507"/>
      <c r="H73" s="515"/>
    </row>
    <row r="74" spans="1:8">
      <c r="A74" s="560"/>
      <c r="B74" s="561"/>
      <c r="C74" s="507"/>
      <c r="D74" s="507"/>
      <c r="E74" s="507"/>
      <c r="F74" s="507"/>
      <c r="G74" s="507"/>
      <c r="H74" s="515"/>
    </row>
    <row r="75" spans="1:8">
      <c r="A75" s="515"/>
      <c r="B75" s="529"/>
      <c r="C75" s="507"/>
      <c r="D75" s="507"/>
      <c r="E75" s="507"/>
      <c r="F75" s="507"/>
      <c r="G75" s="507"/>
      <c r="H75" s="515"/>
    </row>
    <row r="76" spans="1:8">
      <c r="A76" s="515"/>
      <c r="B76" s="507"/>
      <c r="C76" s="507"/>
      <c r="D76" s="507"/>
      <c r="E76" s="507"/>
      <c r="F76" s="507"/>
      <c r="G76" s="507"/>
      <c r="H76" s="515"/>
    </row>
    <row r="77" spans="1:8">
      <c r="A77" s="515"/>
      <c r="B77" s="507"/>
      <c r="C77" s="507"/>
      <c r="D77" s="507"/>
      <c r="E77" s="507"/>
      <c r="F77" s="507"/>
      <c r="G77" s="507"/>
      <c r="H77" s="515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7" orientation="portrait" r:id="rId1"/>
  <headerFooter scaleWithDoc="0">
    <oddFooter>&amp;C&amp;"Times New Roman,Regular"&amp;10&amp;A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37"/>
  <sheetViews>
    <sheetView zoomScale="80" zoomScaleNormal="80" zoomScalePageLayoutView="80" workbookViewId="0"/>
  </sheetViews>
  <sheetFormatPr defaultColWidth="8.85546875" defaultRowHeight="15.75"/>
  <cols>
    <col min="1" max="1" width="5.28515625" style="600" customWidth="1"/>
    <col min="2" max="2" width="64.7109375" style="408" customWidth="1"/>
    <col min="3" max="3" width="21.140625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34.5703125" style="408" customWidth="1"/>
    <col min="8" max="8" width="5.28515625" style="408" customWidth="1"/>
    <col min="9" max="9" width="8.85546875" style="408"/>
    <col min="10" max="10" width="20.42578125" style="408" bestFit="1" customWidth="1"/>
    <col min="11" max="16384" width="8.85546875" style="408"/>
  </cols>
  <sheetData>
    <row r="1" spans="1:11">
      <c r="A1" s="1202"/>
      <c r="E1" s="684"/>
      <c r="F1" s="683"/>
      <c r="G1" s="600"/>
      <c r="H1" s="596"/>
    </row>
    <row r="2" spans="1:11">
      <c r="B2" s="1643" t="s">
        <v>18</v>
      </c>
      <c r="C2" s="1643"/>
      <c r="D2" s="1643"/>
      <c r="E2" s="1643"/>
      <c r="F2" s="1628"/>
      <c r="G2" s="1628"/>
      <c r="H2" s="600"/>
    </row>
    <row r="3" spans="1:11">
      <c r="B3" s="1643" t="s">
        <v>309</v>
      </c>
      <c r="C3" s="1643"/>
      <c r="D3" s="1643"/>
      <c r="E3" s="1643"/>
      <c r="F3" s="1628"/>
      <c r="G3" s="1628"/>
      <c r="H3" s="600"/>
    </row>
    <row r="4" spans="1:11">
      <c r="B4" s="1643" t="s">
        <v>310</v>
      </c>
      <c r="C4" s="1643"/>
      <c r="D4" s="1643"/>
      <c r="E4" s="1643"/>
      <c r="F4" s="1628"/>
      <c r="G4" s="1628"/>
      <c r="H4" s="600"/>
    </row>
    <row r="5" spans="1:11">
      <c r="B5" s="1644" t="str">
        <f>'A. Sec.1 - Direct Maintenance'!B5</f>
        <v>Base Period &amp; True-Up Period 12 - Months Ending December 31, 2018</v>
      </c>
      <c r="C5" s="1644"/>
      <c r="D5" s="1644"/>
      <c r="E5" s="1644"/>
      <c r="F5" s="1630"/>
      <c r="G5" s="1630"/>
      <c r="H5" s="600"/>
    </row>
    <row r="6" spans="1:11">
      <c r="B6" s="1639" t="s">
        <v>3</v>
      </c>
      <c r="C6" s="1636"/>
      <c r="D6" s="1636"/>
      <c r="E6" s="1636"/>
      <c r="F6" s="1636"/>
      <c r="G6" s="1636"/>
      <c r="H6" s="600"/>
    </row>
    <row r="7" spans="1:11">
      <c r="B7" s="596"/>
      <c r="C7" s="596"/>
      <c r="D7" s="596"/>
      <c r="E7" s="596"/>
      <c r="F7" s="1202"/>
      <c r="G7" s="600"/>
      <c r="H7" s="600"/>
    </row>
    <row r="8" spans="1:11">
      <c r="A8" s="600" t="s">
        <v>4</v>
      </c>
      <c r="B8" s="1202"/>
      <c r="C8" s="596" t="s">
        <v>511</v>
      </c>
      <c r="D8" s="1202"/>
      <c r="E8" s="1202"/>
      <c r="F8" s="1202"/>
      <c r="G8" s="600"/>
      <c r="H8" s="600" t="s">
        <v>4</v>
      </c>
    </row>
    <row r="9" spans="1:11">
      <c r="A9" s="456" t="s">
        <v>25</v>
      </c>
      <c r="B9" s="678"/>
      <c r="C9" s="598" t="s">
        <v>512</v>
      </c>
      <c r="E9" s="679" t="s">
        <v>128</v>
      </c>
      <c r="F9" s="600"/>
      <c r="G9" s="497" t="s">
        <v>9</v>
      </c>
      <c r="H9" s="456" t="s">
        <v>25</v>
      </c>
    </row>
    <row r="10" spans="1:11">
      <c r="A10" s="596"/>
      <c r="F10" s="600"/>
      <c r="G10" s="680"/>
      <c r="H10" s="596"/>
    </row>
    <row r="11" spans="1:11">
      <c r="A11" s="596">
        <v>1</v>
      </c>
      <c r="B11" s="4" t="s">
        <v>202</v>
      </c>
      <c r="C11" s="104" t="s">
        <v>611</v>
      </c>
      <c r="E11" s="682">
        <v>11682.565849999999</v>
      </c>
      <c r="F11" s="683"/>
      <c r="G11" s="7"/>
      <c r="H11" s="596">
        <f>A11</f>
        <v>1</v>
      </c>
      <c r="K11" s="681"/>
    </row>
    <row r="12" spans="1:11">
      <c r="A12" s="596">
        <f>+A11+1</f>
        <v>2</v>
      </c>
      <c r="B12" s="4"/>
      <c r="C12" s="923"/>
      <c r="E12" s="684"/>
      <c r="F12" s="683"/>
      <c r="G12" s="7"/>
      <c r="H12" s="596">
        <f>+H11+1</f>
        <v>2</v>
      </c>
      <c r="K12" s="681"/>
    </row>
    <row r="13" spans="1:11" ht="18.75">
      <c r="A13" s="596">
        <f t="shared" ref="A13:A27" si="0">+A12+1</f>
        <v>3</v>
      </c>
      <c r="B13" s="94" t="s">
        <v>536</v>
      </c>
      <c r="C13" s="923"/>
      <c r="D13" s="678"/>
      <c r="E13" s="685">
        <f>'AI-1'!E53</f>
        <v>11643.769389999994</v>
      </c>
      <c r="F13" s="683"/>
      <c r="G13" s="7" t="str">
        <f>"AI-1; Line "&amp;'AI-1'!A53</f>
        <v>AI-1; Line 44</v>
      </c>
      <c r="H13" s="596">
        <f t="shared" ref="H13:H27" si="1">+H12+1</f>
        <v>3</v>
      </c>
      <c r="K13" s="681"/>
    </row>
    <row r="14" spans="1:11">
      <c r="A14" s="596">
        <f t="shared" si="0"/>
        <v>4</v>
      </c>
      <c r="B14" s="94"/>
      <c r="C14" s="923"/>
      <c r="D14" s="678"/>
      <c r="E14" s="686"/>
      <c r="F14" s="683"/>
      <c r="G14" s="7"/>
      <c r="H14" s="596">
        <f t="shared" si="1"/>
        <v>4</v>
      </c>
      <c r="K14" s="681"/>
    </row>
    <row r="15" spans="1:11" ht="18.75">
      <c r="A15" s="596">
        <f t="shared" si="0"/>
        <v>5</v>
      </c>
      <c r="B15" s="94" t="s">
        <v>535</v>
      </c>
      <c r="C15" s="923"/>
      <c r="D15" s="678"/>
      <c r="E15" s="685">
        <f>'AI-1'!E51</f>
        <v>10842.151840000002</v>
      </c>
      <c r="F15" s="683"/>
      <c r="G15" s="7" t="str">
        <f>"AI-1; Line "&amp;'AI-1'!A51</f>
        <v>AI-1; Line 42</v>
      </c>
      <c r="H15" s="596">
        <f t="shared" si="1"/>
        <v>5</v>
      </c>
      <c r="K15" s="681"/>
    </row>
    <row r="16" spans="1:11">
      <c r="A16" s="596">
        <f t="shared" si="0"/>
        <v>6</v>
      </c>
      <c r="B16" s="94"/>
      <c r="C16" s="923"/>
      <c r="D16" s="678"/>
      <c r="E16" s="686"/>
      <c r="F16" s="683"/>
      <c r="G16" s="7"/>
      <c r="H16" s="596">
        <f t="shared" si="1"/>
        <v>6</v>
      </c>
      <c r="K16" s="681"/>
    </row>
    <row r="17" spans="1:11">
      <c r="A17" s="596">
        <f t="shared" si="0"/>
        <v>7</v>
      </c>
      <c r="B17" s="94" t="s">
        <v>204</v>
      </c>
      <c r="C17" s="104" t="s">
        <v>612</v>
      </c>
      <c r="D17" s="678"/>
      <c r="E17" s="685">
        <v>44879.886730000006</v>
      </c>
      <c r="F17" s="683"/>
      <c r="G17" s="7"/>
      <c r="H17" s="596">
        <f t="shared" si="1"/>
        <v>7</v>
      </c>
      <c r="K17" s="681"/>
    </row>
    <row r="18" spans="1:11">
      <c r="A18" s="596">
        <f t="shared" si="0"/>
        <v>8</v>
      </c>
      <c r="B18" s="94"/>
      <c r="C18" s="104"/>
      <c r="D18" s="678"/>
      <c r="E18" s="686"/>
      <c r="F18" s="683"/>
      <c r="G18" s="7"/>
      <c r="H18" s="596">
        <f t="shared" si="1"/>
        <v>8</v>
      </c>
      <c r="K18" s="681"/>
    </row>
    <row r="19" spans="1:11">
      <c r="A19" s="596">
        <f t="shared" si="0"/>
        <v>9</v>
      </c>
      <c r="B19" s="94" t="s">
        <v>205</v>
      </c>
      <c r="C19" s="104" t="s">
        <v>613</v>
      </c>
      <c r="D19" s="678"/>
      <c r="E19" s="685">
        <v>17573.383550000002</v>
      </c>
      <c r="F19" s="683"/>
      <c r="G19" s="7"/>
      <c r="H19" s="596">
        <f t="shared" si="1"/>
        <v>9</v>
      </c>
      <c r="K19" s="681"/>
    </row>
    <row r="20" spans="1:11">
      <c r="A20" s="596">
        <f t="shared" si="0"/>
        <v>10</v>
      </c>
      <c r="B20" s="94"/>
      <c r="C20" s="104"/>
      <c r="D20" s="678"/>
      <c r="E20" s="687"/>
      <c r="F20" s="683"/>
      <c r="G20" s="7"/>
      <c r="H20" s="596">
        <f t="shared" si="1"/>
        <v>10</v>
      </c>
      <c r="K20" s="681"/>
    </row>
    <row r="21" spans="1:11">
      <c r="A21" s="596">
        <f t="shared" si="0"/>
        <v>11</v>
      </c>
      <c r="B21" s="94" t="s">
        <v>206</v>
      </c>
      <c r="C21" s="104" t="s">
        <v>614</v>
      </c>
      <c r="D21" s="678"/>
      <c r="E21" s="602">
        <v>18899.617449999998</v>
      </c>
      <c r="F21" s="683"/>
      <c r="G21" s="7"/>
      <c r="H21" s="596">
        <f t="shared" si="1"/>
        <v>11</v>
      </c>
      <c r="K21" s="681"/>
    </row>
    <row r="22" spans="1:11">
      <c r="A22" s="596">
        <f t="shared" si="0"/>
        <v>12</v>
      </c>
      <c r="B22" s="94"/>
      <c r="C22" s="104"/>
      <c r="D22" s="678"/>
      <c r="E22" s="684"/>
      <c r="F22" s="683"/>
      <c r="G22" s="7"/>
      <c r="H22" s="596">
        <f t="shared" si="1"/>
        <v>12</v>
      </c>
    </row>
    <row r="23" spans="1:11">
      <c r="A23" s="596">
        <f t="shared" si="0"/>
        <v>13</v>
      </c>
      <c r="B23" s="94" t="s">
        <v>207</v>
      </c>
      <c r="C23" s="104" t="s">
        <v>615</v>
      </c>
      <c r="D23" s="678"/>
      <c r="E23" s="667">
        <v>0</v>
      </c>
      <c r="F23" s="683"/>
      <c r="G23" s="7"/>
      <c r="H23" s="596">
        <f t="shared" si="1"/>
        <v>13</v>
      </c>
    </row>
    <row r="24" spans="1:11">
      <c r="A24" s="596">
        <f t="shared" si="0"/>
        <v>14</v>
      </c>
      <c r="B24" s="94"/>
      <c r="C24" s="924"/>
      <c r="D24" s="678"/>
      <c r="E24" s="688"/>
      <c r="F24" s="683"/>
      <c r="G24" s="7"/>
      <c r="H24" s="596">
        <f t="shared" si="1"/>
        <v>14</v>
      </c>
    </row>
    <row r="25" spans="1:11" ht="16.5" thickBot="1">
      <c r="A25" s="596">
        <f t="shared" si="0"/>
        <v>15</v>
      </c>
      <c r="B25" s="4" t="s">
        <v>880</v>
      </c>
      <c r="C25" s="924"/>
      <c r="D25" s="678"/>
      <c r="E25" s="1002">
        <f>SUM(E11:E23)</f>
        <v>115521.37480999998</v>
      </c>
      <c r="F25" s="683"/>
      <c r="G25" s="103" t="str">
        <f>"Sum Lines "&amp;A11&amp;" thru "&amp;A23</f>
        <v>Sum Lines 1 thru 13</v>
      </c>
      <c r="H25" s="596">
        <f t="shared" si="1"/>
        <v>15</v>
      </c>
    </row>
    <row r="26" spans="1:11" ht="16.5" thickTop="1">
      <c r="A26" s="596">
        <f t="shared" si="0"/>
        <v>16</v>
      </c>
      <c r="B26" s="94"/>
      <c r="C26" s="924"/>
      <c r="D26" s="678"/>
      <c r="E26" s="688"/>
      <c r="F26" s="683"/>
      <c r="G26" s="103"/>
      <c r="H26" s="596">
        <f t="shared" si="1"/>
        <v>16</v>
      </c>
    </row>
    <row r="27" spans="1:11" ht="16.5" thickBot="1">
      <c r="A27" s="596">
        <f t="shared" si="0"/>
        <v>17</v>
      </c>
      <c r="B27" s="678" t="s">
        <v>12</v>
      </c>
      <c r="C27" s="678"/>
      <c r="D27" s="678"/>
      <c r="E27" s="18">
        <f>E13/E25</f>
        <v>0.10079320306870226</v>
      </c>
      <c r="F27" s="690"/>
      <c r="G27" s="5" t="str">
        <f>"Line "&amp;A13&amp;" / Line "&amp;A25</f>
        <v>Line 3 / Line 15</v>
      </c>
      <c r="H27" s="596">
        <f t="shared" si="1"/>
        <v>17</v>
      </c>
    </row>
    <row r="28" spans="1:11" ht="16.5" thickTop="1">
      <c r="A28" s="596"/>
      <c r="B28" s="678"/>
      <c r="C28" s="678"/>
      <c r="D28" s="678"/>
      <c r="E28" s="691"/>
      <c r="F28" s="690"/>
      <c r="G28" s="600"/>
      <c r="H28" s="596"/>
    </row>
    <row r="29" spans="1:11">
      <c r="A29" s="596"/>
      <c r="C29" s="678"/>
      <c r="D29" s="678"/>
      <c r="E29" s="691"/>
      <c r="F29" s="690"/>
      <c r="G29" s="689"/>
      <c r="H29" s="596"/>
    </row>
    <row r="30" spans="1:11" ht="18.75">
      <c r="A30" s="693">
        <v>1</v>
      </c>
      <c r="B30" s="6" t="s">
        <v>827</v>
      </c>
      <c r="C30" s="678"/>
      <c r="D30" s="678"/>
      <c r="E30" s="691"/>
      <c r="F30" s="690"/>
      <c r="G30" s="600"/>
      <c r="H30" s="596"/>
    </row>
    <row r="31" spans="1:11" ht="18.75">
      <c r="A31" s="693">
        <v>2</v>
      </c>
      <c r="B31" s="6" t="s">
        <v>828</v>
      </c>
    </row>
    <row r="32" spans="1:11" ht="18.75">
      <c r="A32" s="106"/>
      <c r="B32" s="4"/>
    </row>
    <row r="33" spans="1:2">
      <c r="A33" s="5"/>
      <c r="B33" s="4"/>
    </row>
    <row r="34" spans="1:2">
      <c r="B34" s="4"/>
    </row>
    <row r="35" spans="1:2">
      <c r="B35" s="4"/>
    </row>
    <row r="36" spans="1:2">
      <c r="B36" s="4"/>
    </row>
    <row r="37" spans="1:2">
      <c r="B37" s="4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I63"/>
  <sheetViews>
    <sheetView zoomScale="80" zoomScaleNormal="80" workbookViewId="0"/>
  </sheetViews>
  <sheetFormatPr defaultColWidth="8.7109375" defaultRowHeight="15.75"/>
  <cols>
    <col min="1" max="1" width="5.28515625" style="168" bestFit="1" customWidth="1"/>
    <col min="2" max="2" width="11.140625" style="19" customWidth="1"/>
    <col min="3" max="3" width="69.42578125" style="19" customWidth="1"/>
    <col min="4" max="5" width="18.5703125" style="19" customWidth="1"/>
    <col min="6" max="6" width="5.28515625" style="168" bestFit="1" customWidth="1"/>
    <col min="7" max="16384" width="8.7109375" style="19"/>
  </cols>
  <sheetData>
    <row r="2" spans="1:9">
      <c r="B2" s="1634" t="s">
        <v>18</v>
      </c>
      <c r="C2" s="1634"/>
      <c r="D2" s="1634"/>
      <c r="E2" s="1634"/>
      <c r="F2" s="694"/>
    </row>
    <row r="3" spans="1:9">
      <c r="B3" s="1643" t="s">
        <v>309</v>
      </c>
      <c r="C3" s="1643"/>
      <c r="D3" s="1643"/>
      <c r="E3" s="1643"/>
      <c r="F3" s="933"/>
      <c r="G3" s="441"/>
    </row>
    <row r="4" spans="1:9">
      <c r="B4" s="1658" t="s">
        <v>203</v>
      </c>
      <c r="C4" s="1658"/>
      <c r="D4" s="1658"/>
      <c r="E4" s="1658"/>
    </row>
    <row r="5" spans="1:9">
      <c r="B5" s="1659" t="str">
        <f>" 12 Months Ending December 31, "&amp;Automation!$B$6</f>
        <v xml:space="preserve"> 12 Months Ending December 31, 2018</v>
      </c>
      <c r="C5" s="1659"/>
      <c r="D5" s="1659"/>
      <c r="E5" s="1659"/>
    </row>
    <row r="6" spans="1:9">
      <c r="B6" s="1639" t="s">
        <v>3</v>
      </c>
      <c r="C6" s="1639"/>
      <c r="D6" s="1639"/>
      <c r="E6" s="1639"/>
      <c r="F6" s="929"/>
      <c r="G6" s="595"/>
    </row>
    <row r="7" spans="1:9" ht="16.5" thickBot="1">
      <c r="B7" s="138"/>
      <c r="C7" s="138"/>
      <c r="D7" s="138"/>
    </row>
    <row r="8" spans="1:9">
      <c r="A8" s="997" t="s">
        <v>4</v>
      </c>
      <c r="B8" s="1003" t="s">
        <v>397</v>
      </c>
      <c r="C8" s="1004"/>
      <c r="D8" s="1005"/>
      <c r="E8" s="695"/>
      <c r="F8" s="998" t="s">
        <v>4</v>
      </c>
    </row>
    <row r="9" spans="1:9" ht="18.75">
      <c r="A9" s="997" t="s">
        <v>25</v>
      </c>
      <c r="B9" s="956" t="s">
        <v>71</v>
      </c>
      <c r="C9" s="957" t="s">
        <v>72</v>
      </c>
      <c r="D9" s="1007" t="s">
        <v>676</v>
      </c>
      <c r="E9" s="1006" t="s">
        <v>685</v>
      </c>
      <c r="F9" s="998" t="s">
        <v>25</v>
      </c>
    </row>
    <row r="10" spans="1:9">
      <c r="A10" s="997">
        <v>1</v>
      </c>
      <c r="B10" s="696" t="s">
        <v>357</v>
      </c>
      <c r="C10" s="135" t="s">
        <v>398</v>
      </c>
      <c r="D10" s="1081">
        <v>1981.9044099999999</v>
      </c>
      <c r="E10" s="1082"/>
      <c r="F10" s="998">
        <f>A10</f>
        <v>1</v>
      </c>
      <c r="H10" s="1583"/>
      <c r="I10" s="1583"/>
    </row>
    <row r="11" spans="1:9">
      <c r="A11" s="997">
        <f>A10+1</f>
        <v>2</v>
      </c>
      <c r="B11" s="696" t="s">
        <v>358</v>
      </c>
      <c r="C11" s="135" t="s">
        <v>399</v>
      </c>
      <c r="D11" s="1083">
        <v>1153.82945</v>
      </c>
      <c r="E11" s="1082"/>
      <c r="F11" s="998">
        <f>F10+1</f>
        <v>2</v>
      </c>
      <c r="H11" s="1583"/>
      <c r="I11" s="1583"/>
    </row>
    <row r="12" spans="1:9">
      <c r="A12" s="997">
        <f t="shared" ref="A12:A54" si="0">A11+1</f>
        <v>3</v>
      </c>
      <c r="B12" s="696" t="s">
        <v>359</v>
      </c>
      <c r="C12" s="135" t="s">
        <v>400</v>
      </c>
      <c r="D12" s="1083">
        <v>384.62403</v>
      </c>
      <c r="E12" s="1082"/>
      <c r="F12" s="998">
        <f t="shared" ref="F12:F54" si="1">F11+1</f>
        <v>3</v>
      </c>
      <c r="H12" s="1583"/>
      <c r="I12" s="1583"/>
    </row>
    <row r="13" spans="1:9">
      <c r="A13" s="997">
        <f t="shared" si="0"/>
        <v>4</v>
      </c>
      <c r="B13" s="696" t="s">
        <v>360</v>
      </c>
      <c r="C13" s="135" t="s">
        <v>401</v>
      </c>
      <c r="D13" s="1083">
        <v>810.78733</v>
      </c>
      <c r="E13" s="1082"/>
      <c r="F13" s="998">
        <f t="shared" si="1"/>
        <v>4</v>
      </c>
      <c r="H13" s="1583"/>
      <c r="I13" s="1583"/>
    </row>
    <row r="14" spans="1:9">
      <c r="A14" s="997">
        <f t="shared" si="0"/>
        <v>5</v>
      </c>
      <c r="B14" s="697" t="s">
        <v>361</v>
      </c>
      <c r="C14" s="135" t="s">
        <v>402</v>
      </c>
      <c r="D14" s="1083">
        <v>159.40789000000001</v>
      </c>
      <c r="E14" s="1082"/>
      <c r="F14" s="998">
        <f t="shared" si="1"/>
        <v>5</v>
      </c>
      <c r="H14" s="1584"/>
      <c r="I14" s="1584"/>
    </row>
    <row r="15" spans="1:9">
      <c r="A15" s="997">
        <f t="shared" si="0"/>
        <v>6</v>
      </c>
      <c r="B15" s="697" t="s">
        <v>362</v>
      </c>
      <c r="C15" s="135" t="s">
        <v>403</v>
      </c>
      <c r="D15" s="1083">
        <v>0</v>
      </c>
      <c r="E15" s="1082"/>
      <c r="F15" s="998">
        <f t="shared" si="1"/>
        <v>6</v>
      </c>
      <c r="H15" s="1584"/>
      <c r="I15" s="1584"/>
    </row>
    <row r="16" spans="1:9">
      <c r="A16" s="997">
        <f t="shared" si="0"/>
        <v>7</v>
      </c>
      <c r="B16" s="697" t="s">
        <v>363</v>
      </c>
      <c r="C16" s="135" t="s">
        <v>404</v>
      </c>
      <c r="D16" s="1083">
        <v>111.76303999999999</v>
      </c>
      <c r="E16" s="1082"/>
      <c r="F16" s="998">
        <f t="shared" si="1"/>
        <v>7</v>
      </c>
      <c r="H16" s="1584"/>
      <c r="I16" s="1584"/>
    </row>
    <row r="17" spans="1:9">
      <c r="A17" s="997">
        <f t="shared" si="0"/>
        <v>8</v>
      </c>
      <c r="B17" s="696" t="s">
        <v>364</v>
      </c>
      <c r="C17" s="135" t="s">
        <v>405</v>
      </c>
      <c r="D17" s="1083">
        <v>0</v>
      </c>
      <c r="E17" s="1084"/>
      <c r="F17" s="998">
        <f t="shared" si="1"/>
        <v>8</v>
      </c>
      <c r="H17" s="1583"/>
      <c r="I17" s="1583"/>
    </row>
    <row r="18" spans="1:9">
      <c r="A18" s="997">
        <f t="shared" si="0"/>
        <v>9</v>
      </c>
      <c r="B18" s="697" t="s">
        <v>365</v>
      </c>
      <c r="C18" s="135" t="s">
        <v>406</v>
      </c>
      <c r="D18" s="1083">
        <v>1.39174</v>
      </c>
      <c r="E18" s="1084"/>
      <c r="F18" s="998">
        <f t="shared" si="1"/>
        <v>9</v>
      </c>
      <c r="H18" s="1584"/>
      <c r="I18" s="1584"/>
    </row>
    <row r="19" spans="1:9">
      <c r="A19" s="997">
        <f t="shared" si="0"/>
        <v>10</v>
      </c>
      <c r="B19" s="697" t="s">
        <v>366</v>
      </c>
      <c r="C19" s="135" t="s">
        <v>407</v>
      </c>
      <c r="D19" s="1083">
        <v>355.44457</v>
      </c>
      <c r="E19" s="1084"/>
      <c r="F19" s="998">
        <f t="shared" si="1"/>
        <v>10</v>
      </c>
      <c r="H19" s="1584"/>
      <c r="I19" s="1584"/>
    </row>
    <row r="20" spans="1:9">
      <c r="A20" s="997">
        <f t="shared" si="0"/>
        <v>11</v>
      </c>
      <c r="B20" s="696" t="s">
        <v>367</v>
      </c>
      <c r="C20" s="135" t="s">
        <v>408</v>
      </c>
      <c r="D20" s="1083">
        <v>51.309040000000003</v>
      </c>
      <c r="E20" s="1085">
        <f>D20</f>
        <v>51.309040000000003</v>
      </c>
      <c r="F20" s="998">
        <f t="shared" si="1"/>
        <v>11</v>
      </c>
      <c r="H20" s="1583"/>
      <c r="I20" s="1583"/>
    </row>
    <row r="21" spans="1:9">
      <c r="A21" s="997">
        <f t="shared" si="0"/>
        <v>12</v>
      </c>
      <c r="B21" s="696" t="s">
        <v>368</v>
      </c>
      <c r="C21" s="135" t="s">
        <v>409</v>
      </c>
      <c r="D21" s="1083">
        <v>1889.0960700000001</v>
      </c>
      <c r="E21" s="1086">
        <f>D21</f>
        <v>1889.0960700000001</v>
      </c>
      <c r="F21" s="998">
        <f t="shared" si="1"/>
        <v>12</v>
      </c>
      <c r="H21" s="1583"/>
      <c r="I21" s="1583"/>
    </row>
    <row r="22" spans="1:9">
      <c r="A22" s="997">
        <f t="shared" si="0"/>
        <v>13</v>
      </c>
      <c r="B22" s="696" t="s">
        <v>369</v>
      </c>
      <c r="C22" s="135" t="s">
        <v>410</v>
      </c>
      <c r="D22" s="1083">
        <v>325.78156999999999</v>
      </c>
      <c r="E22" s="1086">
        <f>D22</f>
        <v>325.78156999999999</v>
      </c>
      <c r="F22" s="998">
        <f t="shared" si="1"/>
        <v>13</v>
      </c>
      <c r="H22" s="1583"/>
      <c r="I22" s="1583"/>
    </row>
    <row r="23" spans="1:9">
      <c r="A23" s="997">
        <f t="shared" si="0"/>
        <v>14</v>
      </c>
      <c r="B23" s="696" t="s">
        <v>370</v>
      </c>
      <c r="C23" s="135" t="s">
        <v>411</v>
      </c>
      <c r="D23" s="1083">
        <v>0</v>
      </c>
      <c r="E23" s="1086">
        <f>D23</f>
        <v>0</v>
      </c>
      <c r="F23" s="998">
        <f t="shared" si="1"/>
        <v>14</v>
      </c>
      <c r="H23" s="1583"/>
      <c r="I23" s="1583"/>
    </row>
    <row r="24" spans="1:9">
      <c r="A24" s="997">
        <f t="shared" si="0"/>
        <v>15</v>
      </c>
      <c r="B24" s="697" t="s">
        <v>371</v>
      </c>
      <c r="C24" s="135" t="s">
        <v>412</v>
      </c>
      <c r="D24" s="1083">
        <v>0</v>
      </c>
      <c r="E24" s="1086"/>
      <c r="F24" s="998">
        <f t="shared" si="1"/>
        <v>15</v>
      </c>
      <c r="H24" s="1584"/>
      <c r="I24" s="1584"/>
    </row>
    <row r="25" spans="1:9">
      <c r="A25" s="997">
        <f t="shared" si="0"/>
        <v>16</v>
      </c>
      <c r="B25" s="696" t="s">
        <v>372</v>
      </c>
      <c r="C25" s="135" t="s">
        <v>413</v>
      </c>
      <c r="D25" s="1083">
        <v>3994.7343599999999</v>
      </c>
      <c r="E25" s="1082"/>
      <c r="F25" s="998">
        <f t="shared" si="1"/>
        <v>16</v>
      </c>
      <c r="H25" s="1583"/>
      <c r="I25" s="1583"/>
    </row>
    <row r="26" spans="1:9">
      <c r="A26" s="997">
        <f t="shared" si="0"/>
        <v>17</v>
      </c>
      <c r="B26" s="696" t="s">
        <v>373</v>
      </c>
      <c r="C26" s="135" t="s">
        <v>414</v>
      </c>
      <c r="D26" s="1083">
        <v>0</v>
      </c>
      <c r="E26" s="1082"/>
      <c r="F26" s="998">
        <f t="shared" si="1"/>
        <v>17</v>
      </c>
      <c r="H26" s="1583"/>
      <c r="I26" s="1583"/>
    </row>
    <row r="27" spans="1:9">
      <c r="A27" s="997">
        <f t="shared" si="0"/>
        <v>18</v>
      </c>
      <c r="B27" s="696" t="s">
        <v>374</v>
      </c>
      <c r="C27" s="135" t="s">
        <v>415</v>
      </c>
      <c r="D27" s="1083">
        <v>771.77062999999998</v>
      </c>
      <c r="E27" s="1082"/>
      <c r="F27" s="998">
        <f t="shared" si="1"/>
        <v>18</v>
      </c>
      <c r="H27" s="1583"/>
      <c r="I27" s="1583"/>
    </row>
    <row r="28" spans="1:9">
      <c r="A28" s="997">
        <f t="shared" si="0"/>
        <v>19</v>
      </c>
      <c r="B28" s="696" t="s">
        <v>375</v>
      </c>
      <c r="C28" s="135" t="s">
        <v>416</v>
      </c>
      <c r="D28" s="1083">
        <v>7.37636</v>
      </c>
      <c r="E28" s="1082"/>
      <c r="F28" s="998">
        <f t="shared" si="1"/>
        <v>19</v>
      </c>
      <c r="H28" s="1583"/>
      <c r="I28" s="1583"/>
    </row>
    <row r="29" spans="1:9">
      <c r="A29" s="997">
        <f t="shared" si="0"/>
        <v>20</v>
      </c>
      <c r="B29" s="697" t="s">
        <v>376</v>
      </c>
      <c r="C29" s="135" t="s">
        <v>417</v>
      </c>
      <c r="D29" s="1083">
        <v>0</v>
      </c>
      <c r="E29" s="1082"/>
      <c r="F29" s="998">
        <f t="shared" si="1"/>
        <v>20</v>
      </c>
      <c r="H29" s="1584"/>
      <c r="I29" s="1584"/>
    </row>
    <row r="30" spans="1:9">
      <c r="A30" s="997">
        <f t="shared" si="0"/>
        <v>21</v>
      </c>
      <c r="B30" s="696" t="s">
        <v>377</v>
      </c>
      <c r="C30" s="135" t="s">
        <v>418</v>
      </c>
      <c r="D30" s="1083">
        <v>732.02806999999996</v>
      </c>
      <c r="E30" s="1082"/>
      <c r="F30" s="998">
        <f t="shared" si="1"/>
        <v>21</v>
      </c>
      <c r="H30" s="1583"/>
      <c r="I30" s="1583"/>
    </row>
    <row r="31" spans="1:9">
      <c r="A31" s="997">
        <f t="shared" si="0"/>
        <v>22</v>
      </c>
      <c r="B31" s="696" t="s">
        <v>378</v>
      </c>
      <c r="C31" s="135" t="s">
        <v>419</v>
      </c>
      <c r="D31" s="1083">
        <v>715.50278000000003</v>
      </c>
      <c r="E31" s="1084"/>
      <c r="F31" s="998">
        <f t="shared" si="1"/>
        <v>22</v>
      </c>
      <c r="H31" s="1583"/>
      <c r="I31" s="1583"/>
    </row>
    <row r="32" spans="1:9">
      <c r="A32" s="997">
        <f t="shared" si="0"/>
        <v>23</v>
      </c>
      <c r="B32" s="696" t="s">
        <v>379</v>
      </c>
      <c r="C32" s="135" t="s">
        <v>420</v>
      </c>
      <c r="D32" s="1083">
        <v>0</v>
      </c>
      <c r="E32" s="1084"/>
      <c r="F32" s="998">
        <f t="shared" si="1"/>
        <v>23</v>
      </c>
      <c r="H32" s="1583"/>
      <c r="I32" s="1583"/>
    </row>
    <row r="33" spans="1:9">
      <c r="A33" s="997">
        <f t="shared" si="0"/>
        <v>24</v>
      </c>
      <c r="B33" s="696" t="s">
        <v>380</v>
      </c>
      <c r="C33" s="135" t="s">
        <v>421</v>
      </c>
      <c r="D33" s="1083">
        <v>347.01759999999996</v>
      </c>
      <c r="E33" s="1086">
        <f>D33</f>
        <v>347.01759999999996</v>
      </c>
      <c r="F33" s="998">
        <f t="shared" si="1"/>
        <v>24</v>
      </c>
      <c r="H33" s="1583"/>
      <c r="I33" s="1583"/>
    </row>
    <row r="34" spans="1:9">
      <c r="A34" s="997">
        <f t="shared" si="0"/>
        <v>25</v>
      </c>
      <c r="B34" s="696" t="s">
        <v>381</v>
      </c>
      <c r="C34" s="135" t="s">
        <v>422</v>
      </c>
      <c r="D34" s="1083">
        <v>5343.0075500000003</v>
      </c>
      <c r="E34" s="1086">
        <f>D34</f>
        <v>5343.0075500000003</v>
      </c>
      <c r="F34" s="998">
        <f t="shared" si="1"/>
        <v>25</v>
      </c>
      <c r="H34" s="1583"/>
      <c r="I34" s="1583"/>
    </row>
    <row r="35" spans="1:9">
      <c r="A35" s="997">
        <f t="shared" si="0"/>
        <v>26</v>
      </c>
      <c r="B35" s="696" t="s">
        <v>382</v>
      </c>
      <c r="C35" s="135" t="s">
        <v>423</v>
      </c>
      <c r="D35" s="1083">
        <v>427.37966</v>
      </c>
      <c r="E35" s="1086"/>
      <c r="F35" s="998">
        <f t="shared" si="1"/>
        <v>26</v>
      </c>
      <c r="H35" s="1583"/>
      <c r="I35" s="1583"/>
    </row>
    <row r="36" spans="1:9">
      <c r="A36" s="997">
        <f t="shared" si="0"/>
        <v>27</v>
      </c>
      <c r="B36" s="696" t="s">
        <v>383</v>
      </c>
      <c r="C36" s="135" t="s">
        <v>424</v>
      </c>
      <c r="D36" s="1083">
        <v>35.825069999999997</v>
      </c>
      <c r="E36" s="1086"/>
      <c r="F36" s="998">
        <f t="shared" si="1"/>
        <v>27</v>
      </c>
      <c r="H36" s="1583"/>
      <c r="I36" s="1583"/>
    </row>
    <row r="37" spans="1:9">
      <c r="A37" s="997">
        <f t="shared" si="0"/>
        <v>28</v>
      </c>
      <c r="B37" s="696" t="s">
        <v>384</v>
      </c>
      <c r="C37" s="135" t="s">
        <v>425</v>
      </c>
      <c r="D37" s="1083">
        <v>374.95600999999999</v>
      </c>
      <c r="E37" s="1086">
        <f t="shared" ref="E37:E48" si="2">D37</f>
        <v>374.95600999999999</v>
      </c>
      <c r="F37" s="998">
        <f t="shared" si="1"/>
        <v>28</v>
      </c>
      <c r="H37" s="1583"/>
      <c r="I37" s="1583"/>
    </row>
    <row r="38" spans="1:9">
      <c r="A38" s="997">
        <f t="shared" si="0"/>
        <v>29</v>
      </c>
      <c r="B38" s="696" t="s">
        <v>385</v>
      </c>
      <c r="C38" s="135" t="s">
        <v>426</v>
      </c>
      <c r="D38" s="1083">
        <v>185.76051000000001</v>
      </c>
      <c r="E38" s="1086">
        <f t="shared" si="2"/>
        <v>185.76051000000001</v>
      </c>
      <c r="F38" s="998">
        <f t="shared" si="1"/>
        <v>29</v>
      </c>
      <c r="H38" s="1583"/>
      <c r="I38" s="1583"/>
    </row>
    <row r="39" spans="1:9">
      <c r="A39" s="997">
        <f t="shared" si="0"/>
        <v>30</v>
      </c>
      <c r="B39" s="696" t="s">
        <v>386</v>
      </c>
      <c r="C39" s="135" t="s">
        <v>427</v>
      </c>
      <c r="D39" s="1083">
        <v>47.865019999999994</v>
      </c>
      <c r="E39" s="1086">
        <f t="shared" si="2"/>
        <v>47.865019999999994</v>
      </c>
      <c r="F39" s="998">
        <f t="shared" si="1"/>
        <v>30</v>
      </c>
      <c r="H39" s="1583"/>
      <c r="I39" s="1583"/>
    </row>
    <row r="40" spans="1:9">
      <c r="A40" s="997">
        <f t="shared" si="0"/>
        <v>31</v>
      </c>
      <c r="B40" s="696" t="s">
        <v>387</v>
      </c>
      <c r="C40" s="135" t="s">
        <v>428</v>
      </c>
      <c r="D40" s="1083">
        <v>673.56982999999991</v>
      </c>
      <c r="E40" s="1086">
        <f t="shared" si="2"/>
        <v>673.56982999999991</v>
      </c>
      <c r="F40" s="998">
        <f t="shared" si="1"/>
        <v>31</v>
      </c>
      <c r="H40" s="1583"/>
      <c r="I40" s="1583"/>
    </row>
    <row r="41" spans="1:9">
      <c r="A41" s="997">
        <f t="shared" si="0"/>
        <v>32</v>
      </c>
      <c r="B41" s="696" t="s">
        <v>388</v>
      </c>
      <c r="C41" s="135" t="s">
        <v>429</v>
      </c>
      <c r="D41" s="1083">
        <v>666.01641000000006</v>
      </c>
      <c r="E41" s="1086">
        <f t="shared" si="2"/>
        <v>666.01641000000006</v>
      </c>
      <c r="F41" s="998">
        <f t="shared" si="1"/>
        <v>32</v>
      </c>
      <c r="H41" s="1583"/>
      <c r="I41" s="1583"/>
    </row>
    <row r="42" spans="1:9">
      <c r="A42" s="997">
        <f t="shared" si="0"/>
        <v>33</v>
      </c>
      <c r="B42" s="696" t="s">
        <v>389</v>
      </c>
      <c r="C42" s="135" t="s">
        <v>430</v>
      </c>
      <c r="D42" s="1083">
        <v>8.0701199999999993</v>
      </c>
      <c r="E42" s="1086">
        <f t="shared" si="2"/>
        <v>8.0701199999999993</v>
      </c>
      <c r="F42" s="998">
        <f t="shared" si="1"/>
        <v>33</v>
      </c>
      <c r="H42" s="1583"/>
      <c r="I42" s="1583"/>
    </row>
    <row r="43" spans="1:9">
      <c r="A43" s="997">
        <f t="shared" si="0"/>
        <v>34</v>
      </c>
      <c r="B43" s="696" t="s">
        <v>390</v>
      </c>
      <c r="C43" s="135" t="s">
        <v>431</v>
      </c>
      <c r="D43" s="1083">
        <v>70.209879999999998</v>
      </c>
      <c r="E43" s="1086">
        <f t="shared" si="2"/>
        <v>70.209879999999998</v>
      </c>
      <c r="F43" s="998">
        <f t="shared" si="1"/>
        <v>34</v>
      </c>
      <c r="H43" s="1583"/>
      <c r="I43" s="1583"/>
    </row>
    <row r="44" spans="1:9">
      <c r="A44" s="997">
        <f t="shared" si="0"/>
        <v>35</v>
      </c>
      <c r="B44" s="696" t="s">
        <v>391</v>
      </c>
      <c r="C44" s="135" t="s">
        <v>432</v>
      </c>
      <c r="D44" s="1083">
        <v>424.25364000000002</v>
      </c>
      <c r="E44" s="1086">
        <f t="shared" si="2"/>
        <v>424.25364000000002</v>
      </c>
      <c r="F44" s="998">
        <f t="shared" si="1"/>
        <v>35</v>
      </c>
      <c r="H44" s="1583"/>
      <c r="I44" s="1583"/>
    </row>
    <row r="45" spans="1:9">
      <c r="A45" s="997">
        <f t="shared" si="0"/>
        <v>36</v>
      </c>
      <c r="B45" s="696" t="s">
        <v>392</v>
      </c>
      <c r="C45" s="135" t="s">
        <v>433</v>
      </c>
      <c r="D45" s="1083">
        <v>112.97084</v>
      </c>
      <c r="E45" s="1086">
        <f t="shared" si="2"/>
        <v>112.97084</v>
      </c>
      <c r="F45" s="998">
        <f t="shared" si="1"/>
        <v>36</v>
      </c>
      <c r="H45" s="1583"/>
      <c r="I45" s="1583"/>
    </row>
    <row r="46" spans="1:9">
      <c r="A46" s="997">
        <f t="shared" si="0"/>
        <v>37</v>
      </c>
      <c r="B46" s="697" t="s">
        <v>393</v>
      </c>
      <c r="C46" s="135" t="s">
        <v>434</v>
      </c>
      <c r="D46" s="1083">
        <v>1.4832100000000001</v>
      </c>
      <c r="E46" s="1086">
        <f t="shared" si="2"/>
        <v>1.4832100000000001</v>
      </c>
      <c r="F46" s="998">
        <f t="shared" si="1"/>
        <v>37</v>
      </c>
      <c r="H46" s="1584"/>
      <c r="I46" s="1584"/>
    </row>
    <row r="47" spans="1:9">
      <c r="A47" s="997">
        <f t="shared" si="0"/>
        <v>38</v>
      </c>
      <c r="B47" s="696" t="s">
        <v>394</v>
      </c>
      <c r="C47" s="135" t="s">
        <v>435</v>
      </c>
      <c r="D47" s="1083">
        <v>29.501580000000001</v>
      </c>
      <c r="E47" s="1086">
        <f t="shared" si="2"/>
        <v>29.501580000000001</v>
      </c>
      <c r="F47" s="998">
        <f t="shared" si="1"/>
        <v>38</v>
      </c>
      <c r="H47" s="1583"/>
      <c r="I47" s="1583"/>
    </row>
    <row r="48" spans="1:9">
      <c r="A48" s="997">
        <f t="shared" si="0"/>
        <v>39</v>
      </c>
      <c r="B48" s="696" t="s">
        <v>395</v>
      </c>
      <c r="C48" s="135" t="s">
        <v>436</v>
      </c>
      <c r="D48" s="1083">
        <v>291.28296</v>
      </c>
      <c r="E48" s="1086">
        <f t="shared" si="2"/>
        <v>291.28296</v>
      </c>
      <c r="F48" s="998">
        <f t="shared" si="1"/>
        <v>39</v>
      </c>
      <c r="H48" s="1583"/>
      <c r="I48" s="1583"/>
    </row>
    <row r="49" spans="1:9">
      <c r="A49" s="997">
        <f t="shared" si="0"/>
        <v>40</v>
      </c>
      <c r="B49" s="954" t="s">
        <v>396</v>
      </c>
      <c r="C49" s="955" t="s">
        <v>437</v>
      </c>
      <c r="D49" s="1087">
        <v>0</v>
      </c>
      <c r="E49" s="1088"/>
      <c r="F49" s="998">
        <f t="shared" si="1"/>
        <v>40</v>
      </c>
      <c r="H49" s="1583"/>
      <c r="I49" s="1583"/>
    </row>
    <row r="50" spans="1:9">
      <c r="A50" s="997">
        <f t="shared" si="0"/>
        <v>41</v>
      </c>
      <c r="B50" s="698"/>
      <c r="C50" s="700"/>
      <c r="D50" s="1089"/>
      <c r="E50" s="1090"/>
      <c r="F50" s="998">
        <f t="shared" si="1"/>
        <v>41</v>
      </c>
    </row>
    <row r="51" spans="1:9" ht="16.5" thickBot="1">
      <c r="A51" s="997">
        <f t="shared" si="0"/>
        <v>42</v>
      </c>
      <c r="B51" s="698" t="s">
        <v>702</v>
      </c>
      <c r="C51" s="136"/>
      <c r="D51" s="1091">
        <f>SUM(D10:D49)</f>
        <v>22485.921229999996</v>
      </c>
      <c r="E51" s="1092">
        <f>SUM(E10:E49)</f>
        <v>10842.151840000002</v>
      </c>
      <c r="F51" s="998">
        <f t="shared" si="1"/>
        <v>42</v>
      </c>
    </row>
    <row r="52" spans="1:9" ht="16.5" thickTop="1">
      <c r="A52" s="997">
        <f t="shared" si="0"/>
        <v>43</v>
      </c>
      <c r="B52" s="698"/>
      <c r="C52" s="700"/>
      <c r="D52" s="1089"/>
      <c r="E52" s="1090"/>
      <c r="F52" s="998">
        <f t="shared" si="1"/>
        <v>43</v>
      </c>
    </row>
    <row r="53" spans="1:9" ht="16.5" thickBot="1">
      <c r="A53" s="997">
        <f t="shared" si="0"/>
        <v>44</v>
      </c>
      <c r="B53" s="698" t="s">
        <v>703</v>
      </c>
      <c r="C53" s="136"/>
      <c r="D53" s="1093"/>
      <c r="E53" s="1094">
        <f>D51-E51</f>
        <v>11643.769389999994</v>
      </c>
      <c r="F53" s="998">
        <f t="shared" si="1"/>
        <v>44</v>
      </c>
    </row>
    <row r="54" spans="1:9" ht="17.25" thickTop="1" thickBot="1">
      <c r="A54" s="997">
        <f t="shared" si="0"/>
        <v>45</v>
      </c>
      <c r="B54" s="699"/>
      <c r="C54" s="701"/>
      <c r="D54" s="1095"/>
      <c r="E54" s="1096"/>
      <c r="F54" s="998">
        <f t="shared" si="1"/>
        <v>45</v>
      </c>
    </row>
    <row r="55" spans="1:9">
      <c r="A55" s="997"/>
      <c r="B55" s="132"/>
      <c r="C55" s="131"/>
      <c r="D55" s="133"/>
      <c r="E55" s="134"/>
      <c r="F55" s="997"/>
    </row>
    <row r="56" spans="1:9">
      <c r="A56" s="1310"/>
      <c r="B56" s="1311"/>
      <c r="C56" s="1312"/>
      <c r="D56" s="133"/>
      <c r="E56" s="134"/>
      <c r="F56" s="997"/>
    </row>
    <row r="57" spans="1:9" ht="18.75">
      <c r="A57" s="1313">
        <v>1</v>
      </c>
      <c r="B57" s="1314" t="s">
        <v>686</v>
      </c>
      <c r="C57" s="1312"/>
      <c r="D57" s="131"/>
      <c r="E57" s="132"/>
      <c r="F57" s="997"/>
    </row>
    <row r="58" spans="1:9" ht="18.75">
      <c r="A58" s="1313">
        <v>2</v>
      </c>
      <c r="B58" s="1314" t="s">
        <v>737</v>
      </c>
      <c r="C58" s="1312"/>
      <c r="D58" s="131"/>
      <c r="E58" s="132"/>
      <c r="F58" s="997"/>
    </row>
    <row r="59" spans="1:9" ht="18.75">
      <c r="A59" s="1315"/>
      <c r="B59" s="4"/>
      <c r="C59" s="4"/>
    </row>
    <row r="60" spans="1:9">
      <c r="A60" s="456"/>
      <c r="B60" s="4"/>
      <c r="C60" s="4"/>
    </row>
    <row r="61" spans="1:9">
      <c r="A61" s="865"/>
    </row>
    <row r="62" spans="1:9">
      <c r="A62" s="865"/>
    </row>
    <row r="63" spans="1:9">
      <c r="A63" s="865"/>
    </row>
  </sheetData>
  <mergeCells count="5">
    <mergeCell ref="B4:E4"/>
    <mergeCell ref="B5:E5"/>
    <mergeCell ref="B2:E2"/>
    <mergeCell ref="B3:E3"/>
    <mergeCell ref="B6:E6"/>
  </mergeCells>
  <conditionalFormatting sqref="H10:I49">
    <cfRule type="duplicateValues" dxfId="0" priority="1"/>
  </conditionalFormatting>
  <printOptions horizontalCentered="1"/>
  <pageMargins left="0.5" right="0.5" top="0.5" bottom="0.5" header="0.25" footer="0.25"/>
  <pageSetup scale="74" orientation="portrait" r:id="rId1"/>
  <headerFooter scaleWithDoc="0">
    <oddFooter>&amp;C&amp;"Times New Roman,Regular"&amp;10&amp;A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H36"/>
  <sheetViews>
    <sheetView zoomScale="80" zoomScaleNormal="80" zoomScalePageLayoutView="80" workbookViewId="0"/>
  </sheetViews>
  <sheetFormatPr defaultColWidth="8.85546875" defaultRowHeight="15.75"/>
  <cols>
    <col min="1" max="1" width="5.140625" style="600" customWidth="1"/>
    <col min="2" max="2" width="69.140625" style="232" bestFit="1" customWidth="1"/>
    <col min="3" max="3" width="21.140625" style="611" customWidth="1"/>
    <col min="4" max="4" width="1.5703125" style="232" customWidth="1"/>
    <col min="5" max="5" width="16.85546875" style="232" customWidth="1"/>
    <col min="6" max="6" width="1.5703125" style="232" customWidth="1"/>
    <col min="7" max="7" width="34.5703125" style="232" customWidth="1"/>
    <col min="8" max="8" width="5.140625" style="932" customWidth="1"/>
    <col min="9" max="9" width="20.42578125" style="232" bestFit="1" customWidth="1"/>
    <col min="10" max="16384" width="8.85546875" style="232"/>
  </cols>
  <sheetData>
    <row r="1" spans="1:8">
      <c r="B1" s="25"/>
      <c r="C1" s="612"/>
      <c r="D1" s="668"/>
      <c r="E1" s="619"/>
      <c r="F1" s="669"/>
      <c r="G1" s="192"/>
    </row>
    <row r="2" spans="1:8">
      <c r="B2" s="1634" t="s">
        <v>18</v>
      </c>
      <c r="C2" s="1634"/>
      <c r="D2" s="1634"/>
      <c r="E2" s="1634"/>
      <c r="F2" s="1634"/>
      <c r="G2" s="1634"/>
    </row>
    <row r="3" spans="1:8">
      <c r="B3" s="1634" t="s">
        <v>208</v>
      </c>
      <c r="C3" s="1634"/>
      <c r="D3" s="1634"/>
      <c r="E3" s="1634"/>
      <c r="F3" s="1634"/>
      <c r="G3" s="1634"/>
    </row>
    <row r="4" spans="1:8">
      <c r="B4" s="1634" t="s">
        <v>534</v>
      </c>
      <c r="C4" s="1634"/>
      <c r="D4" s="1634"/>
      <c r="E4" s="1634"/>
      <c r="F4" s="1634"/>
      <c r="G4" s="1634"/>
    </row>
    <row r="5" spans="1:8"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</row>
    <row r="6" spans="1:8" ht="15.75" customHeight="1">
      <c r="B6" s="1660">
        <v>-1000</v>
      </c>
      <c r="C6" s="1660"/>
      <c r="D6" s="1660"/>
      <c r="E6" s="1660"/>
      <c r="F6" s="1660"/>
      <c r="G6" s="1660"/>
    </row>
    <row r="7" spans="1:8">
      <c r="B7" s="593"/>
      <c r="C7" s="612"/>
      <c r="D7" s="593"/>
      <c r="E7" s="593"/>
      <c r="F7" s="613"/>
      <c r="G7" s="192"/>
    </row>
    <row r="8" spans="1:8">
      <c r="A8" s="932" t="s">
        <v>4</v>
      </c>
      <c r="B8" s="613"/>
      <c r="C8" s="596" t="s">
        <v>511</v>
      </c>
      <c r="D8" s="613"/>
      <c r="E8" s="670"/>
      <c r="F8" s="613"/>
      <c r="G8" s="277"/>
      <c r="H8" s="932" t="s">
        <v>4</v>
      </c>
    </row>
    <row r="9" spans="1:8">
      <c r="A9" s="277" t="s">
        <v>25</v>
      </c>
      <c r="B9" s="613"/>
      <c r="C9" s="598" t="s">
        <v>512</v>
      </c>
      <c r="D9" s="613"/>
      <c r="E9" s="614" t="s">
        <v>128</v>
      </c>
      <c r="F9" s="613"/>
      <c r="G9" s="389" t="s">
        <v>9</v>
      </c>
      <c r="H9" s="277" t="s">
        <v>25</v>
      </c>
    </row>
    <row r="10" spans="1:8">
      <c r="A10" s="277"/>
      <c r="B10" s="613"/>
      <c r="C10" s="654"/>
      <c r="D10" s="613"/>
      <c r="E10" s="277"/>
      <c r="F10" s="613"/>
      <c r="G10" s="277"/>
      <c r="H10" s="277"/>
    </row>
    <row r="11" spans="1:8">
      <c r="A11" s="596">
        <v>1</v>
      </c>
      <c r="B11" s="107" t="s">
        <v>982</v>
      </c>
      <c r="C11" s="303"/>
      <c r="D11" s="593"/>
      <c r="E11" s="1553">
        <v>0</v>
      </c>
      <c r="F11" s="593"/>
      <c r="G11" s="624" t="s">
        <v>130</v>
      </c>
      <c r="H11" s="596">
        <f>A11</f>
        <v>1</v>
      </c>
    </row>
    <row r="12" spans="1:8">
      <c r="A12" s="596">
        <v>2</v>
      </c>
      <c r="B12" s="107"/>
      <c r="E12" s="671"/>
      <c r="F12" s="616"/>
      <c r="G12" s="618"/>
      <c r="H12" s="596">
        <f>H11+1</f>
        <v>2</v>
      </c>
    </row>
    <row r="13" spans="1:8">
      <c r="A13" s="596">
        <v>3</v>
      </c>
      <c r="B13" s="107" t="s">
        <v>983</v>
      </c>
      <c r="C13" s="303" t="s">
        <v>993</v>
      </c>
      <c r="E13" s="1554">
        <v>0</v>
      </c>
      <c r="F13" s="616"/>
      <c r="G13" s="624" t="s">
        <v>130</v>
      </c>
      <c r="H13" s="596">
        <f t="shared" ref="H13:H33" si="0">H12+1</f>
        <v>3</v>
      </c>
    </row>
    <row r="14" spans="1:8">
      <c r="A14" s="596">
        <v>4</v>
      </c>
      <c r="C14" s="1540"/>
      <c r="E14" s="671"/>
      <c r="F14" s="616"/>
      <c r="G14" s="618"/>
      <c r="H14" s="596">
        <f t="shared" si="0"/>
        <v>4</v>
      </c>
    </row>
    <row r="15" spans="1:8">
      <c r="A15" s="932">
        <v>5</v>
      </c>
      <c r="B15" s="107" t="s">
        <v>984</v>
      </c>
      <c r="C15" s="1540" t="s">
        <v>617</v>
      </c>
      <c r="D15" s="1356"/>
      <c r="E15" s="1545">
        <f>'AJ-1'!C15</f>
        <v>17870.554810000001</v>
      </c>
      <c r="F15" s="620"/>
      <c r="G15" s="624" t="str">
        <f>"AJ-1; Line "&amp;'AJ-1'!A15</f>
        <v>AJ-1; Line 1</v>
      </c>
      <c r="H15" s="596">
        <f t="shared" si="0"/>
        <v>5</v>
      </c>
    </row>
    <row r="16" spans="1:8">
      <c r="A16" s="932">
        <v>6</v>
      </c>
      <c r="B16" s="357"/>
      <c r="E16" s="629"/>
      <c r="F16" s="620"/>
      <c r="G16" s="618"/>
      <c r="H16" s="596">
        <f t="shared" si="0"/>
        <v>6</v>
      </c>
    </row>
    <row r="17" spans="1:8">
      <c r="A17" s="932">
        <v>7</v>
      </c>
      <c r="B17" s="1356" t="s">
        <v>276</v>
      </c>
      <c r="C17" s="1540" t="s">
        <v>616</v>
      </c>
      <c r="D17" s="1356"/>
      <c r="E17" s="674">
        <f>'AJ-2'!D15</f>
        <v>77430.343432499998</v>
      </c>
      <c r="F17" s="1451"/>
      <c r="G17" s="624" t="str">
        <f>"AJ-2; Line "&amp;'AJ-2'!A15</f>
        <v>AJ-2; Line 3</v>
      </c>
      <c r="H17" s="596">
        <f t="shared" si="0"/>
        <v>7</v>
      </c>
    </row>
    <row r="18" spans="1:8">
      <c r="A18" s="600">
        <v>8</v>
      </c>
      <c r="B18" s="1389"/>
      <c r="E18" s="1546"/>
      <c r="H18" s="596">
        <f t="shared" si="0"/>
        <v>8</v>
      </c>
    </row>
    <row r="19" spans="1:8">
      <c r="A19" s="600">
        <v>9</v>
      </c>
      <c r="B19" s="1356" t="s">
        <v>12</v>
      </c>
      <c r="C19" s="1540"/>
      <c r="D19" s="1356"/>
      <c r="E19" s="1547">
        <f>'Stmt AI'!E27</f>
        <v>0.10079320306870226</v>
      </c>
      <c r="F19" s="1356"/>
      <c r="G19" s="787" t="str">
        <f>"Statement AI; Line "&amp;'Stmt AI'!A27</f>
        <v>Statement AI; Line 17</v>
      </c>
      <c r="H19" s="596">
        <f t="shared" si="0"/>
        <v>9</v>
      </c>
    </row>
    <row r="20" spans="1:8">
      <c r="A20" s="600">
        <v>10</v>
      </c>
      <c r="E20" s="1548"/>
      <c r="H20" s="596">
        <f t="shared" si="0"/>
        <v>10</v>
      </c>
    </row>
    <row r="21" spans="1:8">
      <c r="A21" s="600">
        <v>11</v>
      </c>
      <c r="B21" s="232" t="s">
        <v>985</v>
      </c>
      <c r="E21" s="1549">
        <f>E13*$E$19</f>
        <v>0</v>
      </c>
      <c r="G21" s="749" t="str">
        <f>"Line "&amp;A13&amp;" x Line "&amp;A19</f>
        <v>Line 3 x Line 9</v>
      </c>
      <c r="H21" s="596">
        <f t="shared" si="0"/>
        <v>11</v>
      </c>
    </row>
    <row r="22" spans="1:8">
      <c r="A22" s="600">
        <v>12</v>
      </c>
      <c r="E22" s="1550"/>
      <c r="G22" s="738"/>
      <c r="H22" s="596">
        <f t="shared" si="0"/>
        <v>12</v>
      </c>
    </row>
    <row r="23" spans="1:8">
      <c r="A23" s="600">
        <v>13</v>
      </c>
      <c r="B23" s="232" t="s">
        <v>986</v>
      </c>
      <c r="E23" s="637">
        <f>E15*$E$19</f>
        <v>1801.2304599147042</v>
      </c>
      <c r="G23" s="749" t="str">
        <f>"Line "&amp;A15&amp;" x Line "&amp;A19</f>
        <v>Line 5 x Line 9</v>
      </c>
      <c r="H23" s="596">
        <f t="shared" si="0"/>
        <v>13</v>
      </c>
    </row>
    <row r="24" spans="1:8">
      <c r="A24" s="600">
        <v>14</v>
      </c>
      <c r="B24" s="232" t="s">
        <v>10</v>
      </c>
      <c r="E24" s="675"/>
      <c r="G24" s="738"/>
      <c r="H24" s="596">
        <f t="shared" si="0"/>
        <v>14</v>
      </c>
    </row>
    <row r="25" spans="1:8">
      <c r="A25" s="600">
        <v>15</v>
      </c>
      <c r="B25" s="232" t="s">
        <v>987</v>
      </c>
      <c r="E25" s="1551">
        <f>E17*$E$19</f>
        <v>7804.4523292713293</v>
      </c>
      <c r="G25" s="749" t="str">
        <f>"Line "&amp;A17&amp;" x Line "&amp;A19</f>
        <v>Line 7 x Line 9</v>
      </c>
      <c r="H25" s="596">
        <f t="shared" si="0"/>
        <v>15</v>
      </c>
    </row>
    <row r="26" spans="1:8">
      <c r="A26" s="600">
        <v>16</v>
      </c>
      <c r="E26" s="675"/>
      <c r="H26" s="596">
        <f t="shared" si="0"/>
        <v>16</v>
      </c>
    </row>
    <row r="27" spans="1:8" ht="16.5" thickBot="1">
      <c r="A27" s="600">
        <v>17</v>
      </c>
      <c r="B27" s="232" t="s">
        <v>988</v>
      </c>
      <c r="E27" s="1552">
        <f>E11+E21+E23+E25</f>
        <v>9605.6827891860339</v>
      </c>
      <c r="G27" s="618" t="str">
        <f>"Line "&amp;A11&amp;" + (Sum Lines "&amp;A21&amp;" thru "&amp;A25&amp;")"</f>
        <v>Line 1 + (Sum Lines 11 thru 15)</v>
      </c>
      <c r="H27" s="596">
        <f t="shared" si="0"/>
        <v>17</v>
      </c>
    </row>
    <row r="28" spans="1:8" ht="16.5" thickTop="1">
      <c r="A28" s="600">
        <v>18</v>
      </c>
      <c r="E28" s="615"/>
      <c r="H28" s="596">
        <f t="shared" si="0"/>
        <v>18</v>
      </c>
    </row>
    <row r="29" spans="1:8" ht="16.5" thickBot="1">
      <c r="A29" s="600">
        <v>19</v>
      </c>
      <c r="B29" s="232" t="s">
        <v>989</v>
      </c>
      <c r="E29" s="1543">
        <v>0</v>
      </c>
      <c r="G29" s="1540" t="s">
        <v>130</v>
      </c>
      <c r="H29" s="596">
        <f t="shared" si="0"/>
        <v>19</v>
      </c>
    </row>
    <row r="30" spans="1:8" ht="16.5" thickTop="1">
      <c r="A30" s="600">
        <v>20</v>
      </c>
      <c r="E30" s="1539"/>
      <c r="H30" s="596">
        <f t="shared" si="0"/>
        <v>20</v>
      </c>
    </row>
    <row r="31" spans="1:8" ht="19.5" thickBot="1">
      <c r="A31" s="600">
        <v>21</v>
      </c>
      <c r="B31" s="232" t="s">
        <v>992</v>
      </c>
      <c r="E31" s="1505">
        <v>0</v>
      </c>
      <c r="G31" s="1566" t="str">
        <f>"Not Applicable to "&amp;Automation!B6&amp;" Base Period"</f>
        <v>Not Applicable to 2018 Base Period</v>
      </c>
      <c r="H31" s="596">
        <f t="shared" si="0"/>
        <v>21</v>
      </c>
    </row>
    <row r="32" spans="1:8" ht="16.5" thickTop="1">
      <c r="A32" s="600">
        <v>22</v>
      </c>
      <c r="E32" s="629"/>
      <c r="H32" s="596">
        <f t="shared" si="0"/>
        <v>22</v>
      </c>
    </row>
    <row r="33" spans="1:8" ht="16.5" thickBot="1">
      <c r="A33" s="600">
        <v>23</v>
      </c>
      <c r="B33" s="232" t="s">
        <v>990</v>
      </c>
      <c r="E33" s="1543">
        <v>0</v>
      </c>
      <c r="G33" s="1540" t="s">
        <v>130</v>
      </c>
      <c r="H33" s="596">
        <f t="shared" si="0"/>
        <v>23</v>
      </c>
    </row>
    <row r="34" spans="1:8" ht="16.5" thickTop="1"/>
    <row r="36" spans="1:8">
      <c r="A36" s="600">
        <v>1</v>
      </c>
      <c r="B36" s="232" t="s">
        <v>991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1" orientation="portrait" r:id="rId1"/>
  <headerFooter scaleWithDoc="0">
    <oddFooter>&amp;C&amp;"Times New Roman,Regular"&amp;10AJ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L37"/>
  <sheetViews>
    <sheetView zoomScale="80" zoomScaleNormal="80" workbookViewId="0"/>
  </sheetViews>
  <sheetFormatPr defaultColWidth="9.140625" defaultRowHeight="15.75"/>
  <cols>
    <col min="1" max="1" width="5.140625" style="174" customWidth="1"/>
    <col min="2" max="2" width="35.28515625" style="175" customWidth="1"/>
    <col min="3" max="3" width="18.5703125" style="175" customWidth="1"/>
    <col min="4" max="4" width="62.5703125" style="175" customWidth="1"/>
    <col min="5" max="5" width="5.140625" style="928" customWidth="1"/>
    <col min="6" max="6" width="11" style="175" customWidth="1"/>
    <col min="7" max="7" width="7.28515625" style="175" customWidth="1"/>
    <col min="8" max="8" width="9.28515625" style="175" customWidth="1"/>
    <col min="9" max="9" width="14" style="175" customWidth="1"/>
    <col min="10" max="10" width="13.42578125" style="175" customWidth="1"/>
    <col min="11" max="16384" width="9.140625" style="175"/>
  </cols>
  <sheetData>
    <row r="2" spans="1:5">
      <c r="B2" s="1635" t="s">
        <v>18</v>
      </c>
      <c r="C2" s="1635"/>
      <c r="D2" s="1635"/>
    </row>
    <row r="3" spans="1:5">
      <c r="B3" s="1635" t="s">
        <v>209</v>
      </c>
      <c r="C3" s="1635"/>
      <c r="D3" s="1635"/>
    </row>
    <row r="4" spans="1:5">
      <c r="B4" s="1635" t="s">
        <v>211</v>
      </c>
      <c r="C4" s="1635"/>
      <c r="D4" s="1635"/>
    </row>
    <row r="5" spans="1:5">
      <c r="B5" s="1635" t="str">
        <f>"BASE PERIOD / TRUE UP PERIOD - 12/31/"&amp;Automation!$B$6&amp;" PER BOOK"</f>
        <v>BASE PERIOD / TRUE UP PERIOD - 12/31/2018 PER BOOK</v>
      </c>
      <c r="C5" s="1635"/>
      <c r="D5" s="1635"/>
    </row>
    <row r="6" spans="1:5">
      <c r="B6" s="1640" t="s">
        <v>3</v>
      </c>
      <c r="C6" s="1640"/>
      <c r="D6" s="1640"/>
    </row>
    <row r="7" spans="1:5">
      <c r="B7" s="177"/>
      <c r="C7" s="177"/>
      <c r="D7" s="177"/>
    </row>
    <row r="8" spans="1:5">
      <c r="B8" s="1635" t="s">
        <v>94</v>
      </c>
      <c r="C8" s="1635"/>
      <c r="D8" s="1635"/>
    </row>
    <row r="10" spans="1:5">
      <c r="B10" s="184"/>
      <c r="C10" s="414" t="s">
        <v>142</v>
      </c>
      <c r="D10" s="382"/>
      <c r="E10" s="932"/>
    </row>
    <row r="11" spans="1:5">
      <c r="A11" s="192"/>
      <c r="B11" s="187"/>
      <c r="C11" s="187" t="s">
        <v>213</v>
      </c>
      <c r="D11" s="309"/>
      <c r="E11" s="932"/>
    </row>
    <row r="12" spans="1:5">
      <c r="A12" s="192" t="s">
        <v>4</v>
      </c>
      <c r="B12" s="187"/>
      <c r="C12" s="187" t="s">
        <v>57</v>
      </c>
      <c r="D12" s="309"/>
      <c r="E12" s="932" t="s">
        <v>4</v>
      </c>
    </row>
    <row r="13" spans="1:5">
      <c r="A13" s="192" t="s">
        <v>25</v>
      </c>
      <c r="B13" s="196" t="s">
        <v>23</v>
      </c>
      <c r="C13" s="196" t="s">
        <v>210</v>
      </c>
      <c r="D13" s="196" t="s">
        <v>9</v>
      </c>
      <c r="E13" s="932" t="s">
        <v>25</v>
      </c>
    </row>
    <row r="14" spans="1:5">
      <c r="A14" s="192"/>
      <c r="B14" s="194"/>
      <c r="C14" s="366"/>
      <c r="D14" s="384"/>
      <c r="E14" s="932"/>
    </row>
    <row r="15" spans="1:5">
      <c r="A15" s="192">
        <v>1</v>
      </c>
      <c r="B15" s="566" t="str">
        <f>"Dec-"&amp;RIGHT(Automation!$B$6,2)</f>
        <v>Dec-18</v>
      </c>
      <c r="C15" s="369">
        <v>17870.554810000001</v>
      </c>
      <c r="D15" s="281" t="s">
        <v>506</v>
      </c>
      <c r="E15" s="932">
        <f>A15</f>
        <v>1</v>
      </c>
    </row>
    <row r="16" spans="1:5">
      <c r="A16" s="192">
        <f>A15+1</f>
        <v>2</v>
      </c>
      <c r="B16" s="221"/>
      <c r="C16" s="266"/>
      <c r="D16" s="266"/>
      <c r="E16" s="932">
        <f>E15+1</f>
        <v>2</v>
      </c>
    </row>
    <row r="17" spans="1:12">
      <c r="A17" s="192"/>
      <c r="B17" s="232"/>
      <c r="C17" s="381"/>
      <c r="D17" s="232"/>
      <c r="E17" s="932"/>
    </row>
    <row r="18" spans="1:12">
      <c r="B18" s="232"/>
      <c r="C18" s="232"/>
      <c r="D18" s="232"/>
    </row>
    <row r="19" spans="1:12">
      <c r="B19" s="232"/>
      <c r="C19" s="232"/>
      <c r="D19" s="232"/>
      <c r="L19" s="210"/>
    </row>
    <row r="20" spans="1:12">
      <c r="B20" s="232"/>
      <c r="C20" s="232"/>
      <c r="D20" s="232"/>
    </row>
    <row r="21" spans="1:12">
      <c r="B21" s="232"/>
      <c r="C21" s="232"/>
      <c r="D21" s="232"/>
    </row>
    <row r="22" spans="1:12">
      <c r="B22" s="232"/>
      <c r="C22" s="232"/>
      <c r="D22" s="232"/>
    </row>
    <row r="23" spans="1:12">
      <c r="B23" s="232"/>
      <c r="C23" s="232"/>
      <c r="D23" s="232"/>
    </row>
    <row r="24" spans="1:12">
      <c r="B24" s="232"/>
      <c r="C24" s="232"/>
      <c r="D24" s="232"/>
    </row>
    <row r="25" spans="1:12">
      <c r="B25" s="232"/>
      <c r="C25" s="232"/>
      <c r="D25" s="232"/>
    </row>
    <row r="26" spans="1:12">
      <c r="B26" s="232"/>
      <c r="C26" s="232"/>
      <c r="D26" s="232"/>
    </row>
    <row r="27" spans="1:12">
      <c r="B27" s="232"/>
      <c r="C27" s="232"/>
      <c r="D27" s="232"/>
    </row>
    <row r="28" spans="1:12">
      <c r="B28" s="232"/>
      <c r="C28" s="232"/>
      <c r="D28" s="232"/>
    </row>
    <row r="29" spans="1:12">
      <c r="B29" s="232"/>
      <c r="C29" s="232"/>
      <c r="D29" s="232"/>
    </row>
    <row r="30" spans="1:12">
      <c r="B30" s="232"/>
      <c r="C30" s="232"/>
      <c r="D30" s="232"/>
    </row>
    <row r="31" spans="1:12" s="232" customFormat="1">
      <c r="A31" s="192"/>
      <c r="E31" s="932"/>
    </row>
    <row r="32" spans="1:12" s="232" customFormat="1">
      <c r="A32" s="192"/>
      <c r="E32" s="932"/>
    </row>
    <row r="33" spans="1:5" s="232" customFormat="1">
      <c r="A33" s="192"/>
      <c r="E33" s="932"/>
    </row>
    <row r="34" spans="1:5" s="232" customFormat="1">
      <c r="A34" s="192"/>
      <c r="E34" s="932"/>
    </row>
    <row r="35" spans="1:5" s="232" customFormat="1">
      <c r="A35" s="192"/>
      <c r="E35" s="932"/>
    </row>
    <row r="36" spans="1:5" s="232" customFormat="1">
      <c r="A36" s="192"/>
      <c r="E36" s="932"/>
    </row>
    <row r="37" spans="1:5" s="232" customFormat="1">
      <c r="A37" s="192"/>
      <c r="E37" s="93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F20"/>
  <sheetViews>
    <sheetView zoomScale="80" zoomScaleNormal="80" workbookViewId="0"/>
  </sheetViews>
  <sheetFormatPr defaultColWidth="9.140625" defaultRowHeight="15.75"/>
  <cols>
    <col min="1" max="1" width="5.140625" style="176" customWidth="1"/>
    <col min="2" max="2" width="8.5703125" style="595" customWidth="1"/>
    <col min="3" max="3" width="41.28515625" style="595" customWidth="1"/>
    <col min="4" max="4" width="18.5703125" style="595" customWidth="1"/>
    <col min="5" max="5" width="62.5703125" style="595" customWidth="1"/>
    <col min="6" max="6" width="5.140625" style="928" customWidth="1"/>
    <col min="7" max="7" width="24" style="595" customWidth="1"/>
    <col min="8" max="8" width="11" style="595" customWidth="1"/>
    <col min="9" max="9" width="7.28515625" style="595" customWidth="1"/>
    <col min="10" max="10" width="9.28515625" style="595" customWidth="1"/>
    <col min="11" max="11" width="14" style="595" customWidth="1"/>
    <col min="12" max="12" width="13.42578125" style="595" customWidth="1"/>
    <col min="13" max="16384" width="9.140625" style="595"/>
  </cols>
  <sheetData>
    <row r="2" spans="1:6">
      <c r="B2" s="1635" t="s">
        <v>18</v>
      </c>
      <c r="C2" s="1635"/>
      <c r="D2" s="1635"/>
      <c r="E2" s="1635"/>
    </row>
    <row r="3" spans="1:6">
      <c r="B3" s="1635" t="s">
        <v>209</v>
      </c>
      <c r="C3" s="1635"/>
      <c r="D3" s="1635"/>
      <c r="E3" s="1635"/>
    </row>
    <row r="4" spans="1:6">
      <c r="B4" s="1635" t="s">
        <v>211</v>
      </c>
      <c r="C4" s="1635"/>
      <c r="D4" s="1635"/>
      <c r="E4" s="1635"/>
    </row>
    <row r="5" spans="1:6">
      <c r="B5" s="1661" t="str">
        <f>"BASE PERIOD / TRUE UP PERIOD - 12/31/"&amp;Automation!$B$6&amp;" PER BOOK"</f>
        <v>BASE PERIOD / TRUE UP PERIOD - 12/31/2018 PER BOOK</v>
      </c>
      <c r="C5" s="1661"/>
      <c r="D5" s="1661"/>
      <c r="E5" s="1661"/>
      <c r="F5" s="934"/>
    </row>
    <row r="6" spans="1:6">
      <c r="B6" s="1662" t="s">
        <v>3</v>
      </c>
      <c r="C6" s="1662"/>
      <c r="D6" s="1662"/>
      <c r="E6" s="1662"/>
      <c r="F6" s="934"/>
    </row>
    <row r="7" spans="1:6">
      <c r="B7" s="907"/>
      <c r="C7" s="907"/>
      <c r="D7" s="907"/>
      <c r="E7" s="907"/>
      <c r="F7" s="934"/>
    </row>
    <row r="8" spans="1:6">
      <c r="B8" s="1661" t="s">
        <v>96</v>
      </c>
      <c r="C8" s="1661"/>
      <c r="D8" s="1661"/>
      <c r="E8" s="1661"/>
      <c r="F8" s="934"/>
    </row>
    <row r="9" spans="1:6">
      <c r="B9" s="906"/>
      <c r="C9" s="906"/>
      <c r="D9" s="906"/>
      <c r="E9" s="906"/>
      <c r="F9" s="934"/>
    </row>
    <row r="10" spans="1:6">
      <c r="A10" s="416" t="s">
        <v>4</v>
      </c>
      <c r="B10" s="877"/>
      <c r="C10" s="877"/>
      <c r="D10" s="878"/>
      <c r="E10" s="879"/>
      <c r="F10" s="932" t="s">
        <v>4</v>
      </c>
    </row>
    <row r="11" spans="1:6">
      <c r="A11" s="416" t="s">
        <v>25</v>
      </c>
      <c r="B11" s="880" t="s">
        <v>23</v>
      </c>
      <c r="C11" s="880" t="s">
        <v>72</v>
      </c>
      <c r="D11" s="880" t="s">
        <v>128</v>
      </c>
      <c r="E11" s="914" t="s">
        <v>9</v>
      </c>
      <c r="F11" s="932" t="s">
        <v>25</v>
      </c>
    </row>
    <row r="12" spans="1:6">
      <c r="A12" s="416"/>
      <c r="B12" s="881"/>
      <c r="C12" s="881"/>
      <c r="D12" s="881"/>
      <c r="E12" s="886"/>
      <c r="F12" s="999"/>
    </row>
    <row r="13" spans="1:6">
      <c r="A13" s="416">
        <v>1</v>
      </c>
      <c r="B13" s="884" t="str">
        <f>"Dec-"&amp;RIGHT(Automation!$B$6,2)</f>
        <v>Dec-18</v>
      </c>
      <c r="C13" s="884" t="s">
        <v>594</v>
      </c>
      <c r="D13" s="908">
        <v>105333.075</v>
      </c>
      <c r="E13" s="886" t="str">
        <f>Automation!B6&amp;" Form 1; Page 356.2; Accts 303 to 398"</f>
        <v>2018 Form 1; Page 356.2; Accts 303 to 398</v>
      </c>
      <c r="F13" s="932">
        <f>A13</f>
        <v>1</v>
      </c>
    </row>
    <row r="14" spans="1:6">
      <c r="A14" s="416">
        <f>A13+1</f>
        <v>2</v>
      </c>
      <c r="B14" s="884"/>
      <c r="C14" s="884" t="s">
        <v>595</v>
      </c>
      <c r="D14" s="888">
        <v>0.73509999999999998</v>
      </c>
      <c r="E14" s="922" t="str">
        <f>Automation!B6&amp;" Form 1; Page 356.1; Electric"</f>
        <v>2018 Form 1; Page 356.1; Electric</v>
      </c>
      <c r="F14" s="932">
        <f>F13+1</f>
        <v>2</v>
      </c>
    </row>
    <row r="15" spans="1:6">
      <c r="A15" s="416">
        <f t="shared" ref="A15:A16" si="0">A14+1</f>
        <v>3</v>
      </c>
      <c r="B15" s="884"/>
      <c r="C15" s="884" t="s">
        <v>279</v>
      </c>
      <c r="D15" s="909">
        <f>D13*D14</f>
        <v>77430.343432499998</v>
      </c>
      <c r="E15" s="281" t="str">
        <f>"(Line "&amp;A13&amp;" x Line "&amp;A14&amp;"); Form 1; Page 336; Line 11; Col. f"</f>
        <v>(Line 1 x Line 2); Form 1; Page 336; Line 11; Col. f</v>
      </c>
      <c r="F15" s="932">
        <f t="shared" ref="F15:F16" si="1">F14+1</f>
        <v>3</v>
      </c>
    </row>
    <row r="16" spans="1:6">
      <c r="A16" s="416">
        <f t="shared" si="0"/>
        <v>4</v>
      </c>
      <c r="B16" s="889"/>
      <c r="C16" s="880"/>
      <c r="D16" s="889"/>
      <c r="E16" s="891"/>
      <c r="F16" s="932">
        <f t="shared" si="1"/>
        <v>4</v>
      </c>
    </row>
    <row r="17" spans="1:6">
      <c r="A17" s="416"/>
      <c r="B17" s="358"/>
      <c r="C17" s="358"/>
      <c r="D17" s="289"/>
      <c r="E17" s="358"/>
      <c r="F17" s="932"/>
    </row>
    <row r="18" spans="1:6">
      <c r="B18" s="358"/>
      <c r="C18" s="358"/>
      <c r="D18" s="358"/>
      <c r="E18" s="358"/>
      <c r="F18" s="932"/>
    </row>
    <row r="19" spans="1:6">
      <c r="B19" s="358"/>
      <c r="C19" s="358"/>
      <c r="D19" s="358"/>
      <c r="E19" s="358"/>
    </row>
    <row r="20" spans="1:6">
      <c r="B20" s="358"/>
      <c r="C20" s="358"/>
      <c r="D20" s="358"/>
      <c r="E20" s="358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2"/>
  <sheetViews>
    <sheetView zoomScale="80" zoomScaleNormal="80" zoomScalePageLayoutView="80" workbookViewId="0"/>
  </sheetViews>
  <sheetFormatPr defaultColWidth="8.85546875" defaultRowHeight="15.75"/>
  <cols>
    <col min="1" max="1" width="5.28515625" style="1201" bestFit="1" customWidth="1"/>
    <col min="2" max="2" width="62.28515625" style="1200" customWidth="1"/>
    <col min="3" max="3" width="24" style="1200" customWidth="1"/>
    <col min="4" max="4" width="1.5703125" style="1200" customWidth="1"/>
    <col min="5" max="5" width="16.85546875" style="1200" customWidth="1"/>
    <col min="6" max="6" width="1.5703125" style="1200" customWidth="1"/>
    <col min="7" max="7" width="34.5703125" style="1200" customWidth="1"/>
    <col min="8" max="8" width="5.28515625" style="1200" bestFit="1" customWidth="1"/>
    <col min="9" max="9" width="8.85546875" style="1200"/>
    <col min="10" max="10" width="19.28515625" style="1200" customWidth="1"/>
    <col min="11" max="11" width="17.85546875" style="1200" customWidth="1"/>
    <col min="12" max="12" width="17.5703125" style="1200" customWidth="1"/>
    <col min="13" max="16384" width="8.85546875" style="1200"/>
  </cols>
  <sheetData>
    <row r="1" spans="1:11">
      <c r="A1" s="593" t="s">
        <v>10</v>
      </c>
      <c r="G1" s="1201"/>
      <c r="H1" s="593"/>
    </row>
    <row r="2" spans="1:11">
      <c r="B2" s="1634" t="s">
        <v>18</v>
      </c>
      <c r="C2" s="1634"/>
      <c r="D2" s="1634"/>
      <c r="E2" s="1634"/>
      <c r="F2" s="1634"/>
      <c r="G2" s="1635"/>
      <c r="H2" s="1201"/>
    </row>
    <row r="3" spans="1:11">
      <c r="B3" s="1634" t="s">
        <v>214</v>
      </c>
      <c r="C3" s="1634"/>
      <c r="D3" s="1634"/>
      <c r="E3" s="1634"/>
      <c r="F3" s="1634"/>
      <c r="G3" s="1635"/>
      <c r="H3" s="1201"/>
    </row>
    <row r="4" spans="1:11">
      <c r="B4" s="1634" t="s">
        <v>215</v>
      </c>
      <c r="C4" s="1634"/>
      <c r="D4" s="1634"/>
      <c r="E4" s="1634"/>
      <c r="F4" s="1634"/>
      <c r="G4" s="1635"/>
      <c r="H4" s="1201"/>
    </row>
    <row r="5" spans="1:11"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  <c r="H5" s="1201"/>
    </row>
    <row r="6" spans="1:11">
      <c r="B6" s="1639" t="s">
        <v>3</v>
      </c>
      <c r="C6" s="1636"/>
      <c r="D6" s="1636"/>
      <c r="E6" s="1636"/>
      <c r="F6" s="1636"/>
      <c r="G6" s="1636"/>
      <c r="H6" s="1201"/>
    </row>
    <row r="7" spans="1:11">
      <c r="B7" s="593"/>
      <c r="C7" s="593"/>
      <c r="D7" s="593"/>
      <c r="E7" s="593"/>
      <c r="F7" s="593"/>
      <c r="G7" s="1201"/>
      <c r="H7" s="1201"/>
    </row>
    <row r="8" spans="1:11">
      <c r="A8" s="1201" t="s">
        <v>4</v>
      </c>
      <c r="B8" s="1197"/>
      <c r="C8" s="596" t="s">
        <v>511</v>
      </c>
      <c r="D8" s="1197"/>
      <c r="E8" s="1197"/>
      <c r="F8" s="1197"/>
      <c r="G8" s="1201"/>
      <c r="H8" s="1201" t="s">
        <v>4</v>
      </c>
    </row>
    <row r="9" spans="1:11">
      <c r="A9" s="277" t="s">
        <v>25</v>
      </c>
      <c r="B9" s="1197"/>
      <c r="C9" s="598" t="s">
        <v>512</v>
      </c>
      <c r="D9" s="1197"/>
      <c r="E9" s="614" t="s">
        <v>128</v>
      </c>
      <c r="F9" s="1197"/>
      <c r="G9" s="389" t="s">
        <v>9</v>
      </c>
      <c r="H9" s="277" t="s">
        <v>25</v>
      </c>
    </row>
    <row r="10" spans="1:11">
      <c r="B10" s="593"/>
      <c r="C10" s="593"/>
      <c r="D10" s="593"/>
      <c r="E10" s="593"/>
      <c r="F10" s="1197"/>
      <c r="G10" s="1201"/>
      <c r="H10" s="1201"/>
    </row>
    <row r="11" spans="1:11" ht="18.75">
      <c r="A11" s="593">
        <v>1</v>
      </c>
      <c r="B11" s="1200" t="s">
        <v>529</v>
      </c>
      <c r="C11" s="833" t="s">
        <v>530</v>
      </c>
      <c r="E11" s="617">
        <v>111920.85069999998</v>
      </c>
      <c r="F11" s="1197"/>
      <c r="G11" s="618"/>
      <c r="H11" s="593">
        <f>A11</f>
        <v>1</v>
      </c>
      <c r="K11" s="299"/>
    </row>
    <row r="12" spans="1:11" ht="15.95" customHeight="1">
      <c r="A12" s="593">
        <f>+A11+1</f>
        <v>2</v>
      </c>
      <c r="E12" s="647"/>
      <c r="F12" s="1197"/>
      <c r="G12" s="648"/>
      <c r="H12" s="593">
        <f>+H11+1</f>
        <v>2</v>
      </c>
    </row>
    <row r="13" spans="1:11" ht="18.75">
      <c r="A13" s="593">
        <f t="shared" ref="A13:A38" si="0">+A12+1</f>
        <v>3</v>
      </c>
      <c r="B13" s="1200" t="s">
        <v>687</v>
      </c>
      <c r="C13" s="833"/>
      <c r="E13" s="603">
        <v>0</v>
      </c>
      <c r="F13" s="1197"/>
      <c r="G13" s="624" t="str">
        <f>"Not Applicable to "&amp;Automation!B6&amp;" Base Period"</f>
        <v>Not Applicable to 2018 Base Period</v>
      </c>
      <c r="H13" s="593">
        <f t="shared" ref="H13:H38" si="1">+H12+1</f>
        <v>3</v>
      </c>
    </row>
    <row r="14" spans="1:11">
      <c r="A14" s="593">
        <f t="shared" si="0"/>
        <v>4</v>
      </c>
      <c r="E14" s="649"/>
      <c r="F14" s="1197"/>
      <c r="H14" s="593">
        <f t="shared" si="1"/>
        <v>4</v>
      </c>
    </row>
    <row r="15" spans="1:11">
      <c r="A15" s="593">
        <f t="shared" si="0"/>
        <v>5</v>
      </c>
      <c r="B15" s="1356" t="s">
        <v>933</v>
      </c>
      <c r="E15" s="647">
        <f>E11+E13</f>
        <v>111920.85069999998</v>
      </c>
      <c r="F15" s="1197"/>
      <c r="G15" s="624" t="str">
        <f>"Line "&amp;A11&amp;" + Line "&amp;A13</f>
        <v>Line 1 + Line 3</v>
      </c>
      <c r="H15" s="593">
        <f t="shared" si="1"/>
        <v>5</v>
      </c>
    </row>
    <row r="16" spans="1:11">
      <c r="A16" s="593">
        <f t="shared" si="0"/>
        <v>6</v>
      </c>
      <c r="E16" s="647"/>
      <c r="F16" s="1197"/>
      <c r="G16" s="618"/>
      <c r="H16" s="593">
        <f t="shared" si="1"/>
        <v>6</v>
      </c>
    </row>
    <row r="17" spans="1:10">
      <c r="A17" s="593">
        <f t="shared" si="0"/>
        <v>7</v>
      </c>
      <c r="B17" s="661" t="s">
        <v>995</v>
      </c>
      <c r="C17" s="833" t="s">
        <v>531</v>
      </c>
      <c r="E17" s="667">
        <v>0</v>
      </c>
      <c r="F17" s="1197"/>
      <c r="G17" s="1374"/>
      <c r="H17" s="593">
        <f t="shared" si="1"/>
        <v>7</v>
      </c>
    </row>
    <row r="18" spans="1:10">
      <c r="A18" s="593">
        <f t="shared" si="0"/>
        <v>8</v>
      </c>
      <c r="B18" s="661"/>
      <c r="E18" s="662"/>
      <c r="F18" s="1197"/>
      <c r="G18" s="618"/>
      <c r="H18" s="593">
        <f t="shared" si="1"/>
        <v>8</v>
      </c>
    </row>
    <row r="19" spans="1:10">
      <c r="A19" s="593">
        <f t="shared" si="0"/>
        <v>9</v>
      </c>
      <c r="B19" s="107" t="s">
        <v>932</v>
      </c>
      <c r="E19" s="662">
        <f>E15+E17</f>
        <v>111920.85069999998</v>
      </c>
      <c r="F19" s="1197"/>
      <c r="G19" s="618" t="str">
        <f>"Line "&amp;A15&amp;" + Line "&amp;A17</f>
        <v>Line 5 + Line 7</v>
      </c>
      <c r="H19" s="593">
        <f t="shared" si="1"/>
        <v>9</v>
      </c>
    </row>
    <row r="20" spans="1:10">
      <c r="A20" s="593">
        <f t="shared" si="0"/>
        <v>10</v>
      </c>
      <c r="E20" s="647"/>
      <c r="F20" s="1197"/>
      <c r="H20" s="593">
        <f t="shared" si="1"/>
        <v>10</v>
      </c>
    </row>
    <row r="21" spans="1:10">
      <c r="A21" s="593">
        <f t="shared" si="0"/>
        <v>11</v>
      </c>
      <c r="B21" s="1200" t="s">
        <v>278</v>
      </c>
      <c r="C21" s="833" t="s">
        <v>531</v>
      </c>
      <c r="E21" s="603">
        <v>-795.65154987974995</v>
      </c>
      <c r="F21" s="1197"/>
      <c r="G21" s="618"/>
      <c r="H21" s="593">
        <f t="shared" si="1"/>
        <v>11</v>
      </c>
      <c r="J21" s="650"/>
    </row>
    <row r="22" spans="1:10">
      <c r="A22" s="593">
        <f t="shared" si="0"/>
        <v>12</v>
      </c>
      <c r="E22" s="651"/>
      <c r="F22" s="1197"/>
      <c r="G22" s="618"/>
      <c r="H22" s="593">
        <f t="shared" si="1"/>
        <v>12</v>
      </c>
    </row>
    <row r="23" spans="1:10" ht="16.5" thickBot="1">
      <c r="A23" s="593">
        <f t="shared" si="0"/>
        <v>13</v>
      </c>
      <c r="B23" s="1200" t="s">
        <v>632</v>
      </c>
      <c r="C23" s="600"/>
      <c r="D23" s="381"/>
      <c r="E23" s="663">
        <f>E19+E21</f>
        <v>111125.19915012023</v>
      </c>
      <c r="F23" s="1197"/>
      <c r="G23" s="618" t="str">
        <f>"Line "&amp;A19&amp;" + Line "&amp;A21</f>
        <v>Line 9 + Line 11</v>
      </c>
      <c r="H23" s="593">
        <f t="shared" si="1"/>
        <v>13</v>
      </c>
      <c r="J23" s="652"/>
    </row>
    <row r="24" spans="1:10" ht="16.5" thickTop="1">
      <c r="A24" s="593">
        <f t="shared" si="0"/>
        <v>14</v>
      </c>
      <c r="C24" s="381"/>
      <c r="D24" s="381"/>
      <c r="F24" s="1197"/>
      <c r="G24" s="1201"/>
      <c r="H24" s="593">
        <f t="shared" si="1"/>
        <v>14</v>
      </c>
    </row>
    <row r="25" spans="1:10">
      <c r="A25" s="593">
        <f t="shared" si="0"/>
        <v>15</v>
      </c>
      <c r="B25" s="24" t="s">
        <v>850</v>
      </c>
      <c r="C25" s="381"/>
      <c r="D25" s="381"/>
      <c r="E25" s="1466">
        <f>'Stmt AH'!E66</f>
        <v>0.3931613950962356</v>
      </c>
      <c r="F25" s="1197"/>
      <c r="G25" s="173" t="str">
        <f>"Statement AH; Line "&amp;'Stmt AH'!A66</f>
        <v>Statement AH; Line 56</v>
      </c>
      <c r="H25" s="593">
        <f t="shared" si="1"/>
        <v>15</v>
      </c>
    </row>
    <row r="26" spans="1:10" s="1356" customFormat="1">
      <c r="A26" s="593">
        <f t="shared" si="0"/>
        <v>16</v>
      </c>
      <c r="B26" s="1375"/>
      <c r="C26" s="381"/>
      <c r="D26" s="381"/>
      <c r="E26" s="747"/>
      <c r="F26" s="1353"/>
      <c r="G26" s="173"/>
      <c r="H26" s="593">
        <f t="shared" si="1"/>
        <v>16</v>
      </c>
    </row>
    <row r="27" spans="1:10" ht="16.5" thickBot="1">
      <c r="A27" s="593">
        <f t="shared" si="0"/>
        <v>17</v>
      </c>
      <c r="B27" s="107" t="s">
        <v>881</v>
      </c>
      <c r="C27" s="381"/>
      <c r="D27" s="381"/>
      <c r="E27" s="1467">
        <f>E23*E25</f>
        <v>43690.138328208282</v>
      </c>
      <c r="G27" s="105" t="str">
        <f>"Line "&amp;A23&amp;" x Line "&amp;A25</f>
        <v>Line 13 x Line 15</v>
      </c>
      <c r="H27" s="593">
        <f t="shared" si="1"/>
        <v>17</v>
      </c>
    </row>
    <row r="28" spans="1:10" ht="17.25" thickTop="1" thickBot="1">
      <c r="A28" s="593">
        <f t="shared" si="0"/>
        <v>18</v>
      </c>
      <c r="B28" s="664"/>
      <c r="C28" s="657"/>
      <c r="D28" s="657"/>
      <c r="E28" s="656"/>
      <c r="F28" s="665"/>
      <c r="G28" s="666"/>
      <c r="H28" s="593">
        <f t="shared" si="1"/>
        <v>18</v>
      </c>
    </row>
    <row r="29" spans="1:10">
      <c r="A29" s="593">
        <f t="shared" si="0"/>
        <v>19</v>
      </c>
      <c r="B29" s="278"/>
      <c r="C29" s="658"/>
      <c r="D29" s="658"/>
      <c r="E29" s="278"/>
      <c r="F29" s="278"/>
      <c r="G29" s="278"/>
      <c r="H29" s="593">
        <f t="shared" si="1"/>
        <v>19</v>
      </c>
    </row>
    <row r="30" spans="1:10" ht="18.75">
      <c r="A30" s="593">
        <f t="shared" si="0"/>
        <v>20</v>
      </c>
      <c r="B30" s="1200" t="s">
        <v>996</v>
      </c>
      <c r="C30" s="833" t="s">
        <v>532</v>
      </c>
      <c r="E30" s="617">
        <v>13439.821890000001</v>
      </c>
      <c r="F30" s="1197"/>
      <c r="G30" s="5"/>
      <c r="H30" s="593">
        <f t="shared" si="1"/>
        <v>20</v>
      </c>
    </row>
    <row r="31" spans="1:10">
      <c r="A31" s="593">
        <f t="shared" si="0"/>
        <v>21</v>
      </c>
      <c r="E31" s="594"/>
      <c r="F31" s="1197"/>
      <c r="G31" s="5"/>
      <c r="H31" s="593">
        <f t="shared" si="1"/>
        <v>21</v>
      </c>
    </row>
    <row r="32" spans="1:10">
      <c r="A32" s="593">
        <f t="shared" si="0"/>
        <v>22</v>
      </c>
      <c r="B32" s="661" t="s">
        <v>994</v>
      </c>
      <c r="C32" s="833" t="s">
        <v>723</v>
      </c>
      <c r="E32" s="667">
        <v>0</v>
      </c>
      <c r="F32" s="1197"/>
      <c r="G32" s="1374"/>
      <c r="H32" s="593">
        <f t="shared" si="1"/>
        <v>22</v>
      </c>
    </row>
    <row r="33" spans="1:10">
      <c r="A33" s="593">
        <f t="shared" si="0"/>
        <v>23</v>
      </c>
      <c r="B33" s="661"/>
      <c r="E33" s="92"/>
      <c r="F33" s="1197"/>
      <c r="G33" s="5"/>
      <c r="H33" s="593">
        <f t="shared" si="1"/>
        <v>23</v>
      </c>
    </row>
    <row r="34" spans="1:10">
      <c r="A34" s="593">
        <f t="shared" si="0"/>
        <v>24</v>
      </c>
      <c r="B34" s="661" t="s">
        <v>934</v>
      </c>
      <c r="E34" s="92">
        <f>E30+E32</f>
        <v>13439.821890000001</v>
      </c>
      <c r="F34" s="1197"/>
      <c r="G34" s="5" t="str">
        <f>"Line "&amp;A30&amp;" + Line "&amp;A32</f>
        <v>Line 20 + Line 22</v>
      </c>
      <c r="H34" s="593">
        <f t="shared" si="1"/>
        <v>24</v>
      </c>
    </row>
    <row r="35" spans="1:10">
      <c r="A35" s="593">
        <f t="shared" si="0"/>
        <v>25</v>
      </c>
      <c r="E35" s="594"/>
      <c r="F35" s="1197"/>
      <c r="G35" s="5"/>
      <c r="H35" s="593">
        <f t="shared" si="1"/>
        <v>25</v>
      </c>
    </row>
    <row r="36" spans="1:10">
      <c r="A36" s="593">
        <f t="shared" si="0"/>
        <v>26</v>
      </c>
      <c r="B36" s="1200" t="s">
        <v>12</v>
      </c>
      <c r="E36" s="653">
        <f>'Stmt AI'!E27</f>
        <v>0.10079320306870226</v>
      </c>
      <c r="F36" s="1197"/>
      <c r="G36" s="5" t="str">
        <f>"Statement AI; Line "&amp;'Stmt AI'!A27</f>
        <v>Statement AI; Line 17</v>
      </c>
      <c r="H36" s="593">
        <f t="shared" si="1"/>
        <v>26</v>
      </c>
    </row>
    <row r="37" spans="1:10">
      <c r="A37" s="593">
        <f t="shared" si="0"/>
        <v>27</v>
      </c>
      <c r="E37" s="659"/>
      <c r="F37" s="1197"/>
      <c r="G37" s="5"/>
      <c r="H37" s="593">
        <f t="shared" si="1"/>
        <v>27</v>
      </c>
    </row>
    <row r="38" spans="1:10" ht="16.5" thickBot="1">
      <c r="A38" s="593">
        <f t="shared" si="0"/>
        <v>28</v>
      </c>
      <c r="B38" s="1200" t="s">
        <v>533</v>
      </c>
      <c r="E38" s="655">
        <f>E34*E36</f>
        <v>1354.6426969659599</v>
      </c>
      <c r="F38" s="1197"/>
      <c r="G38" s="105" t="str">
        <f>"Line "&amp;A34&amp;" x Line "&amp;A36</f>
        <v>Line 24 x Line 26</v>
      </c>
      <c r="H38" s="593">
        <f t="shared" si="1"/>
        <v>28</v>
      </c>
    </row>
    <row r="39" spans="1:10" ht="16.5" thickTop="1">
      <c r="A39" s="593"/>
      <c r="E39" s="660"/>
      <c r="F39" s="1197"/>
      <c r="G39" s="1316"/>
      <c r="H39" s="593"/>
      <c r="J39" s="600"/>
    </row>
    <row r="40" spans="1:10">
      <c r="B40" s="1200" t="s">
        <v>10</v>
      </c>
      <c r="E40" s="594"/>
      <c r="F40" s="594"/>
      <c r="J40" s="658"/>
    </row>
    <row r="41" spans="1:10" ht="18.75">
      <c r="A41" s="231">
        <v>1</v>
      </c>
      <c r="B41" s="348" t="s">
        <v>622</v>
      </c>
    </row>
    <row r="42" spans="1:10" ht="18.75">
      <c r="A42" s="231">
        <v>2</v>
      </c>
      <c r="B42" s="348" t="s">
        <v>724</v>
      </c>
    </row>
    <row r="43" spans="1:10" ht="18.75">
      <c r="A43" s="231">
        <v>3</v>
      </c>
      <c r="B43" s="348" t="s">
        <v>623</v>
      </c>
    </row>
    <row r="45" spans="1:10" ht="18.75">
      <c r="B45" s="231"/>
      <c r="C45" s="109"/>
    </row>
    <row r="46" spans="1:10" ht="18.75">
      <c r="B46" s="231"/>
      <c r="C46" s="109"/>
    </row>
    <row r="47" spans="1:10" ht="18.75">
      <c r="B47" s="231"/>
      <c r="C47" s="109"/>
    </row>
    <row r="48" spans="1:10" ht="18.75">
      <c r="B48" s="231"/>
      <c r="C48" s="109"/>
    </row>
    <row r="49" spans="2:2">
      <c r="B49" s="4"/>
    </row>
    <row r="52" spans="2:2">
      <c r="B52" s="348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Roman,Regular"&amp;10AK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34"/>
  <sheetViews>
    <sheetView zoomScale="80" zoomScaleNormal="80" zoomScalePageLayoutView="80" workbookViewId="0"/>
  </sheetViews>
  <sheetFormatPr defaultColWidth="8.85546875" defaultRowHeight="15.75"/>
  <cols>
    <col min="1" max="1" width="5.28515625" style="192" bestFit="1" customWidth="1"/>
    <col min="2" max="2" width="68.85546875" style="232" customWidth="1"/>
    <col min="3" max="3" width="24" style="611" customWidth="1"/>
    <col min="4" max="4" width="1.5703125" style="232" customWidth="1"/>
    <col min="5" max="5" width="16.8554687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36.140625" style="232" customWidth="1"/>
    <col min="10" max="10" width="5.28515625" style="232" customWidth="1"/>
    <col min="11" max="16384" width="8.85546875" style="232"/>
  </cols>
  <sheetData>
    <row r="1" spans="1:10">
      <c r="A1" s="593"/>
      <c r="H1" s="192"/>
      <c r="I1" s="192"/>
      <c r="J1" s="192"/>
    </row>
    <row r="2" spans="1:10">
      <c r="B2" s="1634" t="s">
        <v>18</v>
      </c>
      <c r="C2" s="1663"/>
      <c r="D2" s="1663"/>
      <c r="E2" s="1663"/>
      <c r="F2" s="1663"/>
      <c r="G2" s="1663"/>
      <c r="H2" s="1663"/>
      <c r="I2" s="1663"/>
      <c r="J2" s="174"/>
    </row>
    <row r="3" spans="1:10">
      <c r="B3" s="1634" t="s">
        <v>216</v>
      </c>
      <c r="C3" s="1663"/>
      <c r="D3" s="1663"/>
      <c r="E3" s="1663"/>
      <c r="F3" s="1663"/>
      <c r="G3" s="1663"/>
      <c r="H3" s="1663"/>
      <c r="I3" s="1663"/>
      <c r="J3" s="174"/>
    </row>
    <row r="4" spans="1:10">
      <c r="B4" s="1634" t="s">
        <v>217</v>
      </c>
      <c r="C4" s="1663"/>
      <c r="D4" s="1663"/>
      <c r="E4" s="1663"/>
      <c r="F4" s="1663"/>
      <c r="G4" s="1663"/>
      <c r="H4" s="1663"/>
      <c r="I4" s="1663"/>
      <c r="J4" s="174"/>
    </row>
    <row r="5" spans="1:10"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  <c r="H5" s="1637"/>
      <c r="I5" s="1637"/>
      <c r="J5" s="174"/>
    </row>
    <row r="6" spans="1:10">
      <c r="B6" s="1639" t="s">
        <v>3</v>
      </c>
      <c r="C6" s="1639"/>
      <c r="D6" s="1639"/>
      <c r="E6" s="1639"/>
      <c r="F6" s="1639"/>
      <c r="G6" s="1639"/>
      <c r="H6" s="1639"/>
      <c r="I6" s="1639"/>
      <c r="J6" s="175"/>
    </row>
    <row r="7" spans="1:10">
      <c r="B7" s="593"/>
      <c r="C7" s="612"/>
      <c r="D7" s="593"/>
      <c r="E7" s="593"/>
      <c r="F7" s="593"/>
      <c r="G7" s="593"/>
      <c r="H7" s="613"/>
      <c r="I7" s="613"/>
      <c r="J7" s="613"/>
    </row>
    <row r="8" spans="1:10">
      <c r="A8" s="192" t="s">
        <v>4</v>
      </c>
      <c r="B8" s="613"/>
      <c r="C8" s="596" t="s">
        <v>511</v>
      </c>
      <c r="D8" s="593"/>
      <c r="E8" s="593" t="s">
        <v>514</v>
      </c>
      <c r="F8" s="593"/>
      <c r="G8" s="593" t="s">
        <v>515</v>
      </c>
      <c r="H8" s="613"/>
      <c r="I8" s="188"/>
      <c r="J8" s="192" t="s">
        <v>4</v>
      </c>
    </row>
    <row r="9" spans="1:10">
      <c r="A9" s="277" t="s">
        <v>25</v>
      </c>
      <c r="B9" s="613"/>
      <c r="C9" s="598" t="s">
        <v>512</v>
      </c>
      <c r="D9" s="613"/>
      <c r="E9" s="614" t="s">
        <v>516</v>
      </c>
      <c r="F9" s="613"/>
      <c r="G9" s="614" t="s">
        <v>8</v>
      </c>
      <c r="H9" s="613"/>
      <c r="I9" s="389" t="s">
        <v>9</v>
      </c>
      <c r="J9" s="277" t="s">
        <v>25</v>
      </c>
    </row>
    <row r="10" spans="1:10">
      <c r="B10" s="593"/>
      <c r="C10" s="612"/>
      <c r="D10" s="593"/>
      <c r="E10" s="593"/>
      <c r="F10" s="593"/>
      <c r="G10" s="593"/>
      <c r="H10" s="593"/>
      <c r="I10" s="192"/>
      <c r="J10" s="192"/>
    </row>
    <row r="11" spans="1:10" ht="18.75">
      <c r="A11" s="593">
        <v>1</v>
      </c>
      <c r="B11" s="232" t="s">
        <v>517</v>
      </c>
      <c r="C11" s="303" t="s">
        <v>518</v>
      </c>
      <c r="D11" s="278"/>
      <c r="E11" s="615"/>
      <c r="F11" s="616"/>
      <c r="G11" s="617">
        <v>133751.8893076923</v>
      </c>
      <c r="H11" s="616"/>
      <c r="I11" s="618" t="str">
        <f>"AL-1; Line "&amp;'AL-1'!A32</f>
        <v>AL-1; Line 18</v>
      </c>
      <c r="J11" s="593">
        <f>A11</f>
        <v>1</v>
      </c>
    </row>
    <row r="12" spans="1:10">
      <c r="A12" s="593">
        <f>+A11+1</f>
        <v>2</v>
      </c>
      <c r="C12" s="192"/>
      <c r="D12" s="278"/>
      <c r="E12" s="619"/>
      <c r="F12" s="620"/>
      <c r="G12" s="620"/>
      <c r="H12" s="620"/>
      <c r="I12" s="618"/>
      <c r="J12" s="593">
        <f>+J11+1</f>
        <v>2</v>
      </c>
    </row>
    <row r="13" spans="1:10">
      <c r="A13" s="593">
        <f t="shared" ref="A13:A29" si="0">+A12+1</f>
        <v>3</v>
      </c>
      <c r="B13" s="232" t="s">
        <v>218</v>
      </c>
      <c r="C13" s="192"/>
      <c r="D13" s="278"/>
      <c r="E13" s="621"/>
      <c r="F13" s="622"/>
      <c r="G13" s="623">
        <f>'Stmt AD'!I45</f>
        <v>0.38969696669192239</v>
      </c>
      <c r="H13" s="616"/>
      <c r="I13" s="624" t="str">
        <f>"Statement AD; Line "&amp;'Stmt AD'!A45</f>
        <v>Statement AD; Line 35</v>
      </c>
      <c r="J13" s="593">
        <f t="shared" ref="J13:J29" si="1">+J12+1</f>
        <v>3</v>
      </c>
    </row>
    <row r="14" spans="1:10">
      <c r="A14" s="593">
        <f t="shared" si="0"/>
        <v>4</v>
      </c>
      <c r="C14" s="192"/>
      <c r="D14" s="278"/>
      <c r="E14" s="619"/>
      <c r="F14" s="620"/>
      <c r="G14" s="594"/>
      <c r="H14" s="620"/>
      <c r="I14" s="618"/>
      <c r="J14" s="593">
        <f t="shared" si="1"/>
        <v>4</v>
      </c>
    </row>
    <row r="15" spans="1:10" ht="16.5" thickBot="1">
      <c r="A15" s="593">
        <f t="shared" si="0"/>
        <v>5</v>
      </c>
      <c r="B15" s="232" t="s">
        <v>519</v>
      </c>
      <c r="C15" s="192"/>
      <c r="D15" s="278"/>
      <c r="E15" s="625"/>
      <c r="F15" s="620"/>
      <c r="G15" s="626">
        <f>G11*G13</f>
        <v>52122.705552521453</v>
      </c>
      <c r="H15" s="616"/>
      <c r="I15" s="618" t="str">
        <f>"Line "&amp;A11&amp;" x Line "&amp;A13</f>
        <v>Line 1 x Line 3</v>
      </c>
      <c r="J15" s="593">
        <f t="shared" si="1"/>
        <v>5</v>
      </c>
    </row>
    <row r="16" spans="1:10" ht="16.5" thickTop="1">
      <c r="A16" s="593">
        <f t="shared" si="0"/>
        <v>6</v>
      </c>
      <c r="C16" s="192"/>
      <c r="D16" s="278"/>
      <c r="E16" s="337"/>
      <c r="F16" s="192"/>
      <c r="G16" s="192"/>
      <c r="H16" s="192"/>
      <c r="I16" s="618"/>
      <c r="J16" s="593">
        <f t="shared" si="1"/>
        <v>6</v>
      </c>
    </row>
    <row r="17" spans="1:11" ht="18.75">
      <c r="A17" s="593">
        <f t="shared" si="0"/>
        <v>7</v>
      </c>
      <c r="B17" s="232" t="s">
        <v>520</v>
      </c>
      <c r="C17" s="303" t="s">
        <v>521</v>
      </c>
      <c r="D17" s="608"/>
      <c r="E17" s="615"/>
      <c r="F17" s="620"/>
      <c r="G17" s="627">
        <v>50549.307692307695</v>
      </c>
      <c r="H17" s="616"/>
      <c r="I17" s="618" t="str">
        <f>"AL-2; Line "&amp;'AL-2'!A30</f>
        <v>AL-2; Line 18</v>
      </c>
      <c r="J17" s="593">
        <f t="shared" si="1"/>
        <v>7</v>
      </c>
    </row>
    <row r="18" spans="1:11">
      <c r="A18" s="593">
        <f t="shared" si="0"/>
        <v>8</v>
      </c>
      <c r="C18" s="192"/>
      <c r="D18" s="278"/>
      <c r="E18" s="628"/>
      <c r="F18" s="620"/>
      <c r="G18" s="620"/>
      <c r="H18" s="620"/>
      <c r="I18" s="618"/>
      <c r="J18" s="593">
        <f t="shared" si="1"/>
        <v>8</v>
      </c>
    </row>
    <row r="19" spans="1:11" ht="16.5" thickBot="1">
      <c r="A19" s="593">
        <f t="shared" si="0"/>
        <v>9</v>
      </c>
      <c r="B19" s="232" t="s">
        <v>522</v>
      </c>
      <c r="D19" s="278"/>
      <c r="E19" s="615"/>
      <c r="F19" s="620"/>
      <c r="G19" s="626">
        <f>G13*G17</f>
        <v>19698.911876068967</v>
      </c>
      <c r="H19" s="616"/>
      <c r="I19" s="618" t="str">
        <f>"Line "&amp;A13&amp;" x Line "&amp;A17</f>
        <v>Line 3 x Line 7</v>
      </c>
      <c r="J19" s="593">
        <f t="shared" si="1"/>
        <v>9</v>
      </c>
    </row>
    <row r="20" spans="1:11" ht="16.5" thickTop="1">
      <c r="A20" s="593">
        <f t="shared" si="0"/>
        <v>10</v>
      </c>
      <c r="E20" s="629"/>
      <c r="F20" s="620"/>
      <c r="G20" s="620"/>
      <c r="H20" s="620"/>
      <c r="I20" s="618"/>
      <c r="J20" s="593">
        <f t="shared" si="1"/>
        <v>10</v>
      </c>
    </row>
    <row r="21" spans="1:11">
      <c r="A21" s="593">
        <f t="shared" si="0"/>
        <v>11</v>
      </c>
      <c r="B21" s="630" t="s">
        <v>523</v>
      </c>
      <c r="E21" s="629"/>
      <c r="F21" s="620"/>
      <c r="G21" s="620"/>
      <c r="H21" s="620"/>
      <c r="I21" s="618"/>
      <c r="J21" s="593">
        <f t="shared" si="1"/>
        <v>11</v>
      </c>
    </row>
    <row r="22" spans="1:11" s="348" customFormat="1">
      <c r="A22" s="631">
        <f t="shared" si="0"/>
        <v>12</v>
      </c>
      <c r="B22" s="348" t="s">
        <v>524</v>
      </c>
      <c r="C22" s="632"/>
      <c r="E22" s="633">
        <f>'Stmt AH'!E27</f>
        <v>33786.574329999996</v>
      </c>
      <c r="F22" s="634"/>
      <c r="G22" s="635"/>
      <c r="H22" s="634"/>
      <c r="I22" s="624" t="str">
        <f>"Statement AH; Line "&amp;'Stmt AH'!A27</f>
        <v>Statement AH; Line 17</v>
      </c>
      <c r="J22" s="631">
        <f t="shared" si="1"/>
        <v>12</v>
      </c>
    </row>
    <row r="23" spans="1:11" s="348" customFormat="1">
      <c r="A23" s="631">
        <f t="shared" si="0"/>
        <v>13</v>
      </c>
      <c r="B23" s="348" t="s">
        <v>525</v>
      </c>
      <c r="C23" s="632"/>
      <c r="E23" s="636">
        <f>'Stmt AH'!E47</f>
        <v>35148.186670286726</v>
      </c>
      <c r="F23" s="175"/>
      <c r="G23" s="637"/>
      <c r="H23" s="634"/>
      <c r="I23" s="624" t="str">
        <f>"Statement AH; Line "&amp;'Stmt AH'!A47</f>
        <v>Statement AH; Line 37</v>
      </c>
      <c r="J23" s="631">
        <f t="shared" si="1"/>
        <v>13</v>
      </c>
    </row>
    <row r="24" spans="1:11" s="348" customFormat="1">
      <c r="A24" s="631">
        <f t="shared" si="0"/>
        <v>14</v>
      </c>
      <c r="B24" s="232" t="s">
        <v>526</v>
      </c>
      <c r="C24" s="632"/>
      <c r="E24" s="638">
        <f>-'Stmt AH'!E33</f>
        <v>0</v>
      </c>
      <c r="F24" s="639"/>
      <c r="G24" s="637"/>
      <c r="H24" s="639"/>
      <c r="I24" s="624" t="str">
        <f>"Negative of Statement AH; Line "&amp;'Stmt AH'!A33</f>
        <v>Negative of Statement AH; Line 23</v>
      </c>
      <c r="J24" s="631">
        <f t="shared" si="1"/>
        <v>14</v>
      </c>
    </row>
    <row r="25" spans="1:11">
      <c r="A25" s="593">
        <f t="shared" si="0"/>
        <v>15</v>
      </c>
      <c r="B25" s="232" t="s">
        <v>299</v>
      </c>
      <c r="E25" s="640">
        <f>SUM(E22:E24)</f>
        <v>68934.76100028673</v>
      </c>
      <c r="F25" s="175"/>
      <c r="G25" s="608"/>
      <c r="H25" s="618"/>
      <c r="I25" s="618" t="str">
        <f>"Sum Lines "&amp;A22&amp;" thru "&amp;A24</f>
        <v>Sum Lines 12 thru 14</v>
      </c>
      <c r="J25" s="593">
        <f t="shared" si="1"/>
        <v>15</v>
      </c>
    </row>
    <row r="26" spans="1:11">
      <c r="A26" s="593">
        <f t="shared" si="0"/>
        <v>16</v>
      </c>
      <c r="F26" s="192"/>
      <c r="G26" s="278"/>
      <c r="H26" s="192"/>
      <c r="I26" s="618"/>
      <c r="J26" s="593">
        <f t="shared" si="1"/>
        <v>16</v>
      </c>
    </row>
    <row r="27" spans="1:11">
      <c r="A27" s="593">
        <f t="shared" si="0"/>
        <v>17</v>
      </c>
      <c r="B27" s="232" t="s">
        <v>527</v>
      </c>
      <c r="E27" s="641">
        <f>1/8</f>
        <v>0.125</v>
      </c>
      <c r="F27" s="192"/>
      <c r="G27" s="642"/>
      <c r="H27" s="192"/>
      <c r="I27" s="618" t="s">
        <v>219</v>
      </c>
      <c r="J27" s="593">
        <f t="shared" si="1"/>
        <v>17</v>
      </c>
      <c r="K27" s="348"/>
    </row>
    <row r="28" spans="1:11">
      <c r="A28" s="593">
        <f t="shared" si="0"/>
        <v>18</v>
      </c>
      <c r="E28" s="594" t="s">
        <v>10</v>
      </c>
      <c r="F28" s="620"/>
      <c r="G28" s="619"/>
      <c r="H28" s="620"/>
      <c r="I28" s="618"/>
      <c r="J28" s="593">
        <f t="shared" si="1"/>
        <v>18</v>
      </c>
    </row>
    <row r="29" spans="1:11" ht="16.5" thickBot="1">
      <c r="A29" s="593">
        <f t="shared" si="0"/>
        <v>19</v>
      </c>
      <c r="B29" s="232" t="s">
        <v>528</v>
      </c>
      <c r="E29" s="626">
        <f>E25*E27</f>
        <v>8616.8451250358412</v>
      </c>
      <c r="F29" s="175"/>
      <c r="G29" s="625"/>
      <c r="H29" s="620"/>
      <c r="I29" s="192" t="str">
        <f>"Line "&amp;A25&amp;" x Line "&amp;A27</f>
        <v>Line 15 x Line 17</v>
      </c>
      <c r="J29" s="593">
        <f t="shared" si="1"/>
        <v>19</v>
      </c>
    </row>
    <row r="30" spans="1:11" ht="16.5" thickTop="1">
      <c r="B30" s="645"/>
      <c r="G30" s="278"/>
    </row>
    <row r="31" spans="1:11">
      <c r="G31" s="278"/>
    </row>
    <row r="32" spans="1:11" ht="18.75">
      <c r="A32" s="646">
        <v>1</v>
      </c>
      <c r="B32" s="232" t="s">
        <v>220</v>
      </c>
    </row>
    <row r="33" spans="1:2" ht="18.75">
      <c r="A33" s="646"/>
    </row>
    <row r="34" spans="1:2">
      <c r="A34" s="174"/>
      <c r="B34" s="175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3" orientation="portrait" r:id="rId1"/>
  <headerFooter scaleWithDoc="0">
    <oddFooter>&amp;C&amp;"Times New Roman,Regular"&amp;10AL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46"/>
  <sheetViews>
    <sheetView zoomScale="80" zoomScaleNormal="80" zoomScaleSheetLayoutView="80" zoomScalePageLayoutView="50" workbookViewId="0"/>
  </sheetViews>
  <sheetFormatPr defaultColWidth="8.7109375" defaultRowHeight="15.75"/>
  <cols>
    <col min="1" max="1" width="5.140625" style="600" customWidth="1"/>
    <col min="2" max="2" width="78.140625" style="4" bestFit="1" customWidth="1"/>
    <col min="3" max="3" width="16.85546875" style="4" customWidth="1"/>
    <col min="4" max="4" width="1.7109375" style="4" customWidth="1"/>
    <col min="5" max="5" width="16.85546875" style="4" customWidth="1"/>
    <col min="6" max="6" width="1.7109375" style="4" customWidth="1"/>
    <col min="7" max="7" width="16.85546875" style="4" customWidth="1"/>
    <col min="8" max="8" width="1.5703125" style="4" customWidth="1"/>
    <col min="9" max="9" width="46.140625" style="4" customWidth="1"/>
    <col min="10" max="10" width="5.140625" style="600" customWidth="1"/>
    <col min="11" max="16384" width="8.7109375" style="4"/>
  </cols>
  <sheetData>
    <row r="1" spans="1:10">
      <c r="A1" s="972"/>
      <c r="B1" s="91"/>
      <c r="C1" s="91"/>
      <c r="D1" s="91"/>
      <c r="E1" s="91"/>
      <c r="F1" s="91"/>
      <c r="G1" s="91"/>
      <c r="H1" s="91"/>
      <c r="I1" s="1194"/>
      <c r="J1" s="972"/>
    </row>
    <row r="2" spans="1:10">
      <c r="A2" s="972"/>
      <c r="B2" s="1618" t="str">
        <f>'Summary of Cost Components'!B2:D2</f>
        <v>SAN DIEGO GAS &amp; ELECTRIC COMPANY</v>
      </c>
      <c r="C2" s="1618"/>
      <c r="D2" s="1618"/>
      <c r="E2" s="1618"/>
      <c r="F2" s="1618"/>
      <c r="G2" s="1618"/>
      <c r="H2" s="1618"/>
      <c r="I2" s="1618"/>
      <c r="J2" s="972"/>
    </row>
    <row r="3" spans="1:10">
      <c r="B3" s="1618" t="str">
        <f>'Summary of Cost Components'!B3:D3</f>
        <v>CITIZENS' SHARE OF THE SX-PQ UNDERGROUND LINE SEGMENT</v>
      </c>
      <c r="C3" s="1618"/>
      <c r="D3" s="1618"/>
      <c r="E3" s="1618"/>
      <c r="F3" s="1618"/>
      <c r="G3" s="1618"/>
      <c r="H3" s="1618"/>
      <c r="I3" s="1618"/>
      <c r="J3" s="976"/>
    </row>
    <row r="4" spans="1:10">
      <c r="B4" s="1618" t="s">
        <v>288</v>
      </c>
      <c r="C4" s="1618"/>
      <c r="D4" s="1618"/>
      <c r="E4" s="1618"/>
      <c r="F4" s="1618"/>
      <c r="G4" s="1618"/>
      <c r="H4" s="1618"/>
      <c r="I4" s="1618"/>
      <c r="J4" s="976"/>
    </row>
    <row r="5" spans="1:10">
      <c r="B5" s="1625" t="str">
        <f>'A. Sec.1 - Direct Maintenance'!B5</f>
        <v>Base Period &amp; True-Up Period 12 - Months Ending December 31, 2018</v>
      </c>
      <c r="C5" s="1625"/>
      <c r="D5" s="1625"/>
      <c r="E5" s="1625"/>
      <c r="F5" s="1625"/>
      <c r="G5" s="1625"/>
      <c r="H5" s="1625"/>
      <c r="I5" s="1625"/>
      <c r="J5" s="976"/>
    </row>
    <row r="6" spans="1:10">
      <c r="B6" s="1620" t="s">
        <v>3</v>
      </c>
      <c r="C6" s="1620"/>
      <c r="D6" s="1620"/>
      <c r="E6" s="1620"/>
      <c r="F6" s="1620"/>
      <c r="G6" s="1620"/>
      <c r="H6" s="1620"/>
      <c r="I6" s="1620"/>
      <c r="J6" s="978"/>
    </row>
    <row r="7" spans="1:10">
      <c r="B7" s="1358"/>
      <c r="C7" s="1358"/>
      <c r="D7" s="1358"/>
      <c r="E7" s="1358"/>
      <c r="F7" s="1358"/>
      <c r="G7" s="1358"/>
      <c r="H7" s="1358"/>
      <c r="I7" s="1358"/>
      <c r="J7" s="978"/>
    </row>
    <row r="8" spans="1:10">
      <c r="A8" s="972"/>
      <c r="B8" s="91"/>
      <c r="C8" s="670" t="s">
        <v>5</v>
      </c>
      <c r="D8" s="91"/>
      <c r="E8" s="670" t="s">
        <v>6</v>
      </c>
      <c r="F8" s="75"/>
      <c r="G8" s="670" t="s">
        <v>590</v>
      </c>
      <c r="H8" s="91"/>
      <c r="I8" s="91"/>
      <c r="J8" s="972"/>
    </row>
    <row r="9" spans="1:10">
      <c r="A9" s="972" t="s">
        <v>4</v>
      </c>
      <c r="B9" s="91"/>
      <c r="C9" s="69" t="s">
        <v>31</v>
      </c>
      <c r="D9" s="91"/>
      <c r="E9" s="69" t="s">
        <v>212</v>
      </c>
      <c r="F9" s="91"/>
      <c r="G9" s="91"/>
      <c r="H9" s="91"/>
      <c r="I9" s="91"/>
      <c r="J9" s="972" t="s">
        <v>4</v>
      </c>
    </row>
    <row r="10" spans="1:10">
      <c r="A10" s="975" t="s">
        <v>25</v>
      </c>
      <c r="B10" s="91"/>
      <c r="C10" s="951" t="s">
        <v>301</v>
      </c>
      <c r="D10" s="91"/>
      <c r="E10" s="951" t="s">
        <v>736</v>
      </c>
      <c r="F10" s="91"/>
      <c r="G10" s="951" t="s">
        <v>128</v>
      </c>
      <c r="H10" s="91"/>
      <c r="I10" s="951" t="s">
        <v>9</v>
      </c>
      <c r="J10" s="975" t="s">
        <v>25</v>
      </c>
    </row>
    <row r="11" spans="1:10">
      <c r="A11" s="975"/>
      <c r="B11" s="91"/>
      <c r="C11" s="91"/>
      <c r="D11" s="91"/>
      <c r="E11" s="91"/>
      <c r="F11" s="91"/>
      <c r="G11" s="78"/>
      <c r="H11" s="91"/>
      <c r="I11" s="78"/>
      <c r="J11" s="975"/>
    </row>
    <row r="12" spans="1:10">
      <c r="A12" s="975">
        <v>1</v>
      </c>
      <c r="B12" s="71" t="s">
        <v>298</v>
      </c>
      <c r="C12" s="91"/>
      <c r="D12" s="91"/>
      <c r="E12" s="91"/>
      <c r="F12" s="91"/>
      <c r="G12" s="91"/>
      <c r="H12" s="91"/>
      <c r="I12" s="1194"/>
      <c r="J12" s="972">
        <f>A12</f>
        <v>1</v>
      </c>
    </row>
    <row r="13" spans="1:10">
      <c r="A13" s="972">
        <f>A12+1</f>
        <v>2</v>
      </c>
      <c r="B13" s="91"/>
      <c r="C13" s="91"/>
      <c r="D13" s="91"/>
      <c r="E13" s="91"/>
      <c r="F13" s="91"/>
      <c r="G13" s="91"/>
      <c r="H13" s="91"/>
      <c r="I13" s="91"/>
      <c r="J13" s="972">
        <f>J12+1</f>
        <v>2</v>
      </c>
    </row>
    <row r="14" spans="1:10" ht="18.75">
      <c r="A14" s="972">
        <f t="shared" ref="A14:A42" si="0">A13+1</f>
        <v>3</v>
      </c>
      <c r="B14" s="661" t="s">
        <v>999</v>
      </c>
      <c r="C14" s="91"/>
      <c r="D14" s="91"/>
      <c r="E14" s="91"/>
      <c r="F14" s="91"/>
      <c r="G14" s="1445">
        <f>'AF-3'!E15</f>
        <v>0</v>
      </c>
      <c r="H14" s="945"/>
      <c r="I14" s="53" t="str">
        <f>"Not Applicable to "&amp;Automation!B6&amp;" Base Period"</f>
        <v>Not Applicable to 2018 Base Period</v>
      </c>
      <c r="J14" s="972">
        <f t="shared" ref="J14:J42" si="1">J13+1</f>
        <v>3</v>
      </c>
    </row>
    <row r="15" spans="1:10">
      <c r="A15" s="972">
        <f t="shared" si="0"/>
        <v>4</v>
      </c>
      <c r="B15" s="661"/>
      <c r="C15" s="91"/>
      <c r="D15" s="91"/>
      <c r="E15" s="91"/>
      <c r="F15" s="91"/>
      <c r="G15" s="1390"/>
      <c r="H15" s="91"/>
      <c r="I15" s="91"/>
      <c r="J15" s="972">
        <f t="shared" si="1"/>
        <v>4</v>
      </c>
    </row>
    <row r="16" spans="1:10">
      <c r="A16" s="972">
        <f t="shared" si="0"/>
        <v>5</v>
      </c>
      <c r="B16" s="661" t="s">
        <v>865</v>
      </c>
      <c r="C16" s="91"/>
      <c r="D16" s="91"/>
      <c r="E16" s="91"/>
      <c r="F16" s="91"/>
      <c r="G16" s="1420">
        <f>'Stmt AV'!G110</f>
        <v>0.10650576129497175</v>
      </c>
      <c r="H16" s="91"/>
      <c r="I16" s="34" t="str">
        <f>"Statement AV2; Line "&amp;'Stmt AV'!A110</f>
        <v>Statement AV2; Line 31</v>
      </c>
      <c r="J16" s="972">
        <f t="shared" si="1"/>
        <v>5</v>
      </c>
    </row>
    <row r="17" spans="1:10">
      <c r="A17" s="972">
        <f t="shared" si="0"/>
        <v>6</v>
      </c>
      <c r="B17" s="661"/>
      <c r="C17" s="91"/>
      <c r="D17" s="91"/>
      <c r="E17" s="91"/>
      <c r="F17" s="91"/>
      <c r="G17" s="1063"/>
      <c r="H17" s="91"/>
      <c r="I17" s="69"/>
      <c r="J17" s="972">
        <f t="shared" si="1"/>
        <v>6</v>
      </c>
    </row>
    <row r="18" spans="1:10">
      <c r="A18" s="972">
        <f t="shared" si="0"/>
        <v>7</v>
      </c>
      <c r="B18" s="661" t="s">
        <v>929</v>
      </c>
      <c r="C18" s="91"/>
      <c r="D18" s="91"/>
      <c r="E18" s="91"/>
      <c r="F18" s="91"/>
      <c r="G18" s="1406">
        <f>G14*G16</f>
        <v>0</v>
      </c>
      <c r="H18" s="72"/>
      <c r="I18" s="69" t="str">
        <f>"Line "&amp;A14&amp;" x Line "&amp;A16</f>
        <v>Line 3 x Line 5</v>
      </c>
      <c r="J18" s="972">
        <f t="shared" si="1"/>
        <v>7</v>
      </c>
    </row>
    <row r="19" spans="1:10">
      <c r="A19" s="972">
        <f t="shared" si="0"/>
        <v>8</v>
      </c>
      <c r="B19" s="661"/>
      <c r="C19" s="91"/>
      <c r="D19" s="91"/>
      <c r="E19" s="91"/>
      <c r="F19" s="91"/>
      <c r="G19" s="1407"/>
      <c r="H19" s="74"/>
      <c r="I19" s="91"/>
      <c r="J19" s="972">
        <f t="shared" si="1"/>
        <v>8</v>
      </c>
    </row>
    <row r="20" spans="1:10">
      <c r="A20" s="972">
        <f t="shared" si="0"/>
        <v>9</v>
      </c>
      <c r="B20" s="1424" t="s">
        <v>1023</v>
      </c>
      <c r="C20" s="91"/>
      <c r="D20" s="91"/>
      <c r="E20" s="91"/>
      <c r="F20" s="91"/>
      <c r="G20" s="1408"/>
      <c r="H20" s="74"/>
      <c r="I20" s="69"/>
      <c r="J20" s="972">
        <f t="shared" si="1"/>
        <v>9</v>
      </c>
    </row>
    <row r="21" spans="1:10">
      <c r="A21" s="972">
        <f t="shared" si="0"/>
        <v>10</v>
      </c>
      <c r="B21" s="1404" t="s">
        <v>300</v>
      </c>
      <c r="C21" s="91"/>
      <c r="D21" s="77"/>
      <c r="E21" s="1405"/>
      <c r="F21" s="91"/>
      <c r="G21" s="1581">
        <f>'AV-2B'!C27</f>
        <v>0</v>
      </c>
      <c r="H21" s="936"/>
      <c r="I21" s="1409" t="str">
        <f>"AV-2B; Line "&amp;'AV-2B'!A27</f>
        <v>AV-2B; Line 17</v>
      </c>
      <c r="J21" s="972">
        <f t="shared" si="1"/>
        <v>10</v>
      </c>
    </row>
    <row r="22" spans="1:10">
      <c r="A22" s="972">
        <f t="shared" si="0"/>
        <v>11</v>
      </c>
      <c r="B22" s="91"/>
      <c r="C22" s="78"/>
      <c r="D22" s="91"/>
      <c r="E22" s="78"/>
      <c r="F22" s="91"/>
      <c r="G22" s="78"/>
      <c r="H22" s="78"/>
      <c r="I22" s="91"/>
      <c r="J22" s="972">
        <f t="shared" si="1"/>
        <v>11</v>
      </c>
    </row>
    <row r="23" spans="1:10">
      <c r="A23" s="972">
        <f t="shared" si="0"/>
        <v>12</v>
      </c>
      <c r="B23" s="71" t="s">
        <v>1010</v>
      </c>
      <c r="C23" s="78"/>
      <c r="D23" s="91"/>
      <c r="E23" s="78"/>
      <c r="F23" s="91"/>
      <c r="G23" s="78"/>
      <c r="H23" s="78"/>
      <c r="I23" s="91"/>
      <c r="J23" s="972">
        <f t="shared" si="1"/>
        <v>12</v>
      </c>
    </row>
    <row r="24" spans="1:10">
      <c r="A24" s="972">
        <f t="shared" si="0"/>
        <v>13</v>
      </c>
      <c r="B24" s="79" t="s">
        <v>302</v>
      </c>
      <c r="C24" s="91"/>
      <c r="D24" s="91"/>
      <c r="E24" s="91"/>
      <c r="F24" s="91"/>
      <c r="G24" s="91"/>
      <c r="H24" s="91"/>
      <c r="I24" s="91"/>
      <c r="J24" s="972">
        <f t="shared" si="1"/>
        <v>13</v>
      </c>
    </row>
    <row r="25" spans="1:10">
      <c r="A25" s="972">
        <f t="shared" si="0"/>
        <v>14</v>
      </c>
      <c r="B25" s="91" t="s">
        <v>814</v>
      </c>
      <c r="C25" s="1445">
        <v>11661.3</v>
      </c>
      <c r="D25" s="980"/>
      <c r="E25" s="1192">
        <v>4.8999999999999998E-3</v>
      </c>
      <c r="F25" s="91"/>
      <c r="G25" s="1064">
        <f>C25*E25</f>
        <v>57.140369999999997</v>
      </c>
      <c r="H25" s="73"/>
      <c r="I25" s="69" t="s">
        <v>815</v>
      </c>
      <c r="J25" s="972">
        <f t="shared" si="1"/>
        <v>14</v>
      </c>
    </row>
    <row r="26" spans="1:10">
      <c r="A26" s="972">
        <f t="shared" si="0"/>
        <v>15</v>
      </c>
      <c r="B26" s="91"/>
      <c r="C26" s="1064"/>
      <c r="D26" s="980"/>
      <c r="E26" s="1065"/>
      <c r="F26" s="91"/>
      <c r="G26" s="1064"/>
      <c r="H26" s="73"/>
      <c r="I26" s="69"/>
      <c r="J26" s="972">
        <f t="shared" si="1"/>
        <v>15</v>
      </c>
    </row>
    <row r="27" spans="1:10">
      <c r="A27" s="972">
        <f t="shared" si="0"/>
        <v>16</v>
      </c>
      <c r="B27" s="91" t="s">
        <v>817</v>
      </c>
      <c r="C27" s="1463">
        <v>15149.7</v>
      </c>
      <c r="D27" s="980"/>
      <c r="E27" s="1192">
        <v>1.9E-3</v>
      </c>
      <c r="F27" s="91"/>
      <c r="G27" s="825">
        <f>C27*E27</f>
        <v>28.78443</v>
      </c>
      <c r="H27" s="876"/>
      <c r="I27" s="69" t="s">
        <v>815</v>
      </c>
      <c r="J27" s="972">
        <f t="shared" si="1"/>
        <v>16</v>
      </c>
    </row>
    <row r="28" spans="1:10">
      <c r="A28" s="972">
        <f t="shared" si="0"/>
        <v>17</v>
      </c>
      <c r="B28" s="91"/>
      <c r="C28" s="825"/>
      <c r="D28" s="980"/>
      <c r="E28" s="1065"/>
      <c r="F28" s="91"/>
      <c r="G28" s="825"/>
      <c r="H28" s="876"/>
      <c r="I28" s="91"/>
      <c r="J28" s="972">
        <f t="shared" si="1"/>
        <v>17</v>
      </c>
    </row>
    <row r="29" spans="1:10">
      <c r="A29" s="972">
        <f t="shared" si="0"/>
        <v>18</v>
      </c>
      <c r="B29" s="91" t="s">
        <v>813</v>
      </c>
      <c r="C29" s="1463">
        <v>186.3</v>
      </c>
      <c r="D29" s="980"/>
      <c r="E29" s="1122">
        <v>0</v>
      </c>
      <c r="F29" s="91"/>
      <c r="G29" s="825">
        <f>C29*E29</f>
        <v>0</v>
      </c>
      <c r="H29" s="876"/>
      <c r="I29" s="69" t="s">
        <v>815</v>
      </c>
      <c r="J29" s="972">
        <f t="shared" si="1"/>
        <v>18</v>
      </c>
    </row>
    <row r="30" spans="1:10">
      <c r="A30" s="972">
        <f t="shared" si="0"/>
        <v>19</v>
      </c>
      <c r="B30" s="91"/>
      <c r="C30" s="825"/>
      <c r="D30" s="980"/>
      <c r="E30" s="1066"/>
      <c r="F30" s="91"/>
      <c r="G30" s="825"/>
      <c r="H30" s="876"/>
      <c r="I30" s="69"/>
      <c r="J30" s="972">
        <f t="shared" si="1"/>
        <v>19</v>
      </c>
    </row>
    <row r="31" spans="1:10">
      <c r="A31" s="972">
        <f t="shared" si="0"/>
        <v>20</v>
      </c>
      <c r="B31" s="91" t="s">
        <v>588</v>
      </c>
      <c r="C31" s="1463">
        <v>0</v>
      </c>
      <c r="D31" s="980"/>
      <c r="E31" s="1122">
        <v>0</v>
      </c>
      <c r="F31" s="91"/>
      <c r="G31" s="825">
        <f>C31*E31</f>
        <v>0</v>
      </c>
      <c r="H31" s="876"/>
      <c r="I31" s="69" t="s">
        <v>815</v>
      </c>
      <c r="J31" s="972">
        <f t="shared" si="1"/>
        <v>20</v>
      </c>
    </row>
    <row r="32" spans="1:10">
      <c r="A32" s="972">
        <f t="shared" si="0"/>
        <v>21</v>
      </c>
      <c r="B32" s="91"/>
      <c r="C32" s="1067"/>
      <c r="D32" s="980"/>
      <c r="E32" s="1066"/>
      <c r="F32" s="91"/>
      <c r="G32" s="825"/>
      <c r="H32" s="876"/>
      <c r="I32" s="69"/>
      <c r="J32" s="972">
        <f t="shared" si="1"/>
        <v>21</v>
      </c>
    </row>
    <row r="33" spans="1:10">
      <c r="A33" s="972">
        <f t="shared" si="0"/>
        <v>22</v>
      </c>
      <c r="B33" s="91" t="s">
        <v>589</v>
      </c>
      <c r="C33" s="1464">
        <v>2.7</v>
      </c>
      <c r="D33" s="980"/>
      <c r="E33" s="1123">
        <v>0</v>
      </c>
      <c r="F33" s="91"/>
      <c r="G33" s="1071">
        <f>C33*E33</f>
        <v>0</v>
      </c>
      <c r="H33" s="12"/>
      <c r="I33" s="69" t="s">
        <v>815</v>
      </c>
      <c r="J33" s="972">
        <f t="shared" si="1"/>
        <v>22</v>
      </c>
    </row>
    <row r="34" spans="1:10">
      <c r="A34" s="972">
        <f t="shared" si="0"/>
        <v>23</v>
      </c>
      <c r="B34" s="91"/>
      <c r="C34" s="1068">
        <f>SUM(C25:C33)</f>
        <v>27000</v>
      </c>
      <c r="D34" s="980"/>
      <c r="E34" s="980"/>
      <c r="F34" s="91"/>
      <c r="G34" s="1072"/>
      <c r="H34" s="80"/>
      <c r="I34" s="69" t="str">
        <f>"Col. a = Sum Lines "&amp;A25&amp;" thru "&amp;A33</f>
        <v>Col. a = Sum Lines 14 thru 22</v>
      </c>
      <c r="J34" s="972">
        <f t="shared" si="1"/>
        <v>23</v>
      </c>
    </row>
    <row r="35" spans="1:10">
      <c r="A35" s="972">
        <f t="shared" si="0"/>
        <v>24</v>
      </c>
      <c r="B35" s="91"/>
      <c r="C35" s="1069"/>
      <c r="D35" s="980"/>
      <c r="E35" s="980"/>
      <c r="F35" s="91"/>
      <c r="G35" s="980"/>
      <c r="H35" s="91"/>
      <c r="I35" s="91"/>
      <c r="J35" s="972">
        <f t="shared" si="1"/>
        <v>24</v>
      </c>
    </row>
    <row r="36" spans="1:10">
      <c r="A36" s="972">
        <f t="shared" si="0"/>
        <v>25</v>
      </c>
      <c r="B36" s="91" t="s">
        <v>1011</v>
      </c>
      <c r="C36" s="980"/>
      <c r="D36" s="980"/>
      <c r="E36" s="980"/>
      <c r="F36" s="91"/>
      <c r="G36" s="1069">
        <f>SUM(G25:G33)</f>
        <v>85.924800000000005</v>
      </c>
      <c r="H36" s="81"/>
      <c r="I36" s="69" t="str">
        <f>"Sum Lines "&amp;A25&amp;" thru "&amp;A33</f>
        <v>Sum Lines 14 thru 22</v>
      </c>
      <c r="J36" s="972">
        <f t="shared" si="1"/>
        <v>25</v>
      </c>
    </row>
    <row r="37" spans="1:10">
      <c r="A37" s="972">
        <f t="shared" si="0"/>
        <v>26</v>
      </c>
      <c r="B37" s="91"/>
      <c r="C37" s="980"/>
      <c r="D37" s="980"/>
      <c r="E37" s="980"/>
      <c r="F37" s="91"/>
      <c r="G37" s="1073"/>
      <c r="H37" s="81"/>
      <c r="I37" s="91"/>
      <c r="J37" s="972">
        <f t="shared" si="1"/>
        <v>26</v>
      </c>
    </row>
    <row r="38" spans="1:10">
      <c r="A38" s="972">
        <f t="shared" si="0"/>
        <v>27</v>
      </c>
      <c r="B38" s="91" t="s">
        <v>867</v>
      </c>
      <c r="C38" s="980"/>
      <c r="D38" s="980"/>
      <c r="E38" s="1070">
        <v>1.0277E-2</v>
      </c>
      <c r="F38" s="91"/>
      <c r="G38" s="1074">
        <f>G36*E38</f>
        <v>0.88304916960000002</v>
      </c>
      <c r="H38" s="16"/>
      <c r="I38" s="28" t="str">
        <f>"Line "&amp;A36&amp;" x Franchise Fee Rate"</f>
        <v>Line 25 x Franchise Fee Rate</v>
      </c>
      <c r="J38" s="972">
        <f t="shared" si="1"/>
        <v>27</v>
      </c>
    </row>
    <row r="39" spans="1:10">
      <c r="A39" s="972">
        <f t="shared" si="0"/>
        <v>28</v>
      </c>
      <c r="B39" s="91"/>
      <c r="C39" s="91"/>
      <c r="D39" s="91"/>
      <c r="E39" s="91"/>
      <c r="F39" s="91"/>
      <c r="G39" s="1073"/>
      <c r="H39" s="81"/>
      <c r="I39" s="91"/>
      <c r="J39" s="972">
        <f t="shared" si="1"/>
        <v>28</v>
      </c>
    </row>
    <row r="40" spans="1:10">
      <c r="A40" s="972">
        <f t="shared" si="0"/>
        <v>29</v>
      </c>
      <c r="B40" s="91" t="s">
        <v>1012</v>
      </c>
      <c r="C40" s="91"/>
      <c r="D40" s="91"/>
      <c r="E40" s="91"/>
      <c r="F40" s="91"/>
      <c r="G40" s="644">
        <f>G36+G38</f>
        <v>86.807849169600004</v>
      </c>
      <c r="H40" s="937"/>
      <c r="I40" s="69" t="str">
        <f>"Line "&amp;A36&amp;" + Line "&amp;A38</f>
        <v>Line 25 + Line 27</v>
      </c>
      <c r="J40" s="972">
        <f t="shared" si="1"/>
        <v>29</v>
      </c>
    </row>
    <row r="41" spans="1:10">
      <c r="A41" s="972">
        <f t="shared" si="0"/>
        <v>30</v>
      </c>
      <c r="B41" s="91"/>
      <c r="C41" s="91"/>
      <c r="D41" s="91"/>
      <c r="E41" s="91"/>
      <c r="F41" s="91"/>
      <c r="G41" s="980"/>
      <c r="H41" s="91"/>
      <c r="I41" s="91"/>
      <c r="J41" s="972">
        <f t="shared" si="1"/>
        <v>30</v>
      </c>
    </row>
    <row r="42" spans="1:10" ht="16.5" thickBot="1">
      <c r="A42" s="972">
        <f t="shared" si="0"/>
        <v>31</v>
      </c>
      <c r="B42" s="70" t="s">
        <v>303</v>
      </c>
      <c r="C42" s="91"/>
      <c r="D42" s="91"/>
      <c r="E42" s="91"/>
      <c r="F42" s="91"/>
      <c r="G42" s="1421">
        <f>G18+G21+G40</f>
        <v>86.807849169600004</v>
      </c>
      <c r="H42" s="950"/>
      <c r="I42" s="69" t="str">
        <f>"Line "&amp;A18&amp;" + Line "&amp;A21&amp;" + Line "&amp;A40&amp;""</f>
        <v>Line 7 + Line 10 + Line 29</v>
      </c>
      <c r="J42" s="972">
        <f t="shared" si="1"/>
        <v>31</v>
      </c>
    </row>
    <row r="43" spans="1:10" ht="16.5" thickTop="1">
      <c r="A43" s="972"/>
      <c r="B43" s="91"/>
      <c r="C43" s="91"/>
      <c r="D43" s="91"/>
      <c r="E43" s="91"/>
      <c r="F43" s="91"/>
      <c r="G43" s="82"/>
      <c r="H43" s="82"/>
      <c r="I43" s="69"/>
      <c r="J43" s="972"/>
    </row>
    <row r="44" spans="1:10">
      <c r="A44" s="975"/>
      <c r="B44" s="76"/>
      <c r="C44" s="76"/>
      <c r="D44" s="76"/>
      <c r="E44" s="76"/>
      <c r="F44" s="76"/>
      <c r="G44" s="76"/>
      <c r="H44" s="76"/>
      <c r="I44" s="76"/>
      <c r="J44" s="975"/>
    </row>
    <row r="45" spans="1:10" ht="18.75">
      <c r="A45" s="1567">
        <v>1</v>
      </c>
      <c r="B45" s="1568" t="s">
        <v>981</v>
      </c>
      <c r="C45" s="76"/>
      <c r="D45" s="76"/>
      <c r="E45" s="76"/>
      <c r="F45" s="76"/>
      <c r="G45" s="76"/>
      <c r="H45" s="76"/>
      <c r="I45" s="76"/>
      <c r="J45" s="975"/>
    </row>
    <row r="46" spans="1:10">
      <c r="B46" s="1568" t="s">
        <v>980</v>
      </c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Page &amp;P of 1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4"/>
  <sheetViews>
    <sheetView zoomScale="80" zoomScaleNormal="80" zoomScalePageLayoutView="80" workbookViewId="0"/>
  </sheetViews>
  <sheetFormatPr defaultColWidth="9.140625" defaultRowHeight="15.75"/>
  <cols>
    <col min="1" max="1" width="5.140625" style="928" customWidth="1"/>
    <col min="2" max="2" width="35.140625" style="175" customWidth="1"/>
    <col min="3" max="3" width="18.5703125" style="181" customWidth="1"/>
    <col min="4" max="4" width="62.5703125" style="317" customWidth="1"/>
    <col min="5" max="5" width="5.140625" style="931" customWidth="1"/>
    <col min="6" max="6" width="21.28515625" style="181" customWidth="1"/>
    <col min="7" max="7" width="20.28515625" style="181" customWidth="1"/>
    <col min="8" max="8" width="17.42578125" style="181" customWidth="1"/>
    <col min="9" max="9" width="16.7109375" style="181" customWidth="1"/>
    <col min="10" max="10" width="21.140625" style="175" customWidth="1"/>
    <col min="11" max="11" width="15" style="175" customWidth="1"/>
    <col min="12" max="12" width="11" style="175" customWidth="1"/>
    <col min="13" max="13" width="7.28515625" style="175" customWidth="1"/>
    <col min="14" max="14" width="9.28515625" style="175" customWidth="1"/>
    <col min="15" max="15" width="14" style="175" customWidth="1"/>
    <col min="16" max="16" width="13.42578125" style="175" customWidth="1"/>
    <col min="17" max="16384" width="9.140625" style="175"/>
  </cols>
  <sheetData>
    <row r="2" spans="1:6">
      <c r="B2" s="1635" t="s">
        <v>18</v>
      </c>
      <c r="C2" s="1635"/>
      <c r="D2" s="1635"/>
      <c r="E2" s="931" t="s">
        <v>10</v>
      </c>
      <c r="F2" s="175"/>
    </row>
    <row r="3" spans="1:6">
      <c r="B3" s="1635" t="s">
        <v>221</v>
      </c>
      <c r="C3" s="1635"/>
      <c r="D3" s="1635"/>
      <c r="E3" s="931" t="s">
        <v>10</v>
      </c>
      <c r="F3" s="175"/>
    </row>
    <row r="4" spans="1:6">
      <c r="B4" s="1635" t="s">
        <v>222</v>
      </c>
      <c r="C4" s="1635"/>
      <c r="D4" s="1635"/>
      <c r="E4" s="931" t="s">
        <v>10</v>
      </c>
      <c r="F4" s="175"/>
    </row>
    <row r="5" spans="1:6">
      <c r="B5" s="1635" t="str">
        <f>"BASE PERIOD / TRUE UP PERIOD - 12/31/"&amp;Automation!$B$6&amp;" PER BOOK"</f>
        <v>BASE PERIOD / TRUE UP PERIOD - 12/31/2018 PER BOOK</v>
      </c>
      <c r="C5" s="1635"/>
      <c r="D5" s="1635"/>
      <c r="E5" s="928"/>
      <c r="F5" s="175"/>
    </row>
    <row r="6" spans="1:6">
      <c r="B6" s="1664" t="s">
        <v>3</v>
      </c>
      <c r="C6" s="1664"/>
      <c r="D6" s="1664"/>
      <c r="E6" s="931" t="s">
        <v>10</v>
      </c>
      <c r="F6" s="178"/>
    </row>
    <row r="7" spans="1:6">
      <c r="B7" s="568"/>
      <c r="C7" s="178"/>
      <c r="F7" s="178"/>
    </row>
    <row r="8" spans="1:6">
      <c r="B8" s="1635" t="s">
        <v>508</v>
      </c>
      <c r="C8" s="1635"/>
      <c r="D8" s="1635"/>
      <c r="E8" s="928"/>
      <c r="F8" s="178"/>
    </row>
    <row r="9" spans="1:6">
      <c r="B9" s="1635" t="s">
        <v>223</v>
      </c>
      <c r="C9" s="1635"/>
      <c r="D9" s="1635"/>
      <c r="E9" s="928"/>
    </row>
    <row r="10" spans="1:6">
      <c r="B10" s="569"/>
      <c r="C10" s="570"/>
      <c r="D10" s="405"/>
      <c r="E10" s="931" t="s">
        <v>10</v>
      </c>
    </row>
    <row r="11" spans="1:6">
      <c r="B11" s="184"/>
      <c r="C11" s="305" t="s">
        <v>31</v>
      </c>
      <c r="D11" s="256"/>
      <c r="E11" s="932"/>
      <c r="F11" s="232"/>
    </row>
    <row r="12" spans="1:6">
      <c r="B12" s="194"/>
      <c r="C12" s="187" t="s">
        <v>224</v>
      </c>
      <c r="D12" s="187"/>
      <c r="E12" s="932"/>
      <c r="F12" s="232"/>
    </row>
    <row r="13" spans="1:6">
      <c r="A13" s="932" t="s">
        <v>4</v>
      </c>
      <c r="B13" s="187"/>
      <c r="C13" s="187" t="s">
        <v>225</v>
      </c>
      <c r="D13" s="187"/>
      <c r="E13" s="932" t="s">
        <v>4</v>
      </c>
      <c r="F13" s="232"/>
    </row>
    <row r="14" spans="1:6">
      <c r="A14" s="932" t="s">
        <v>25</v>
      </c>
      <c r="B14" s="196" t="s">
        <v>23</v>
      </c>
      <c r="C14" s="187" t="s">
        <v>226</v>
      </c>
      <c r="D14" s="196" t="s">
        <v>9</v>
      </c>
      <c r="E14" s="932" t="s">
        <v>25</v>
      </c>
      <c r="F14" s="232"/>
    </row>
    <row r="15" spans="1:6">
      <c r="A15" s="571">
        <v>1</v>
      </c>
      <c r="B15" s="200" t="str">
        <f>"Dec-"&amp;RIGHT(Automation!$B$6-1,2)</f>
        <v>Dec-17</v>
      </c>
      <c r="C15" s="572">
        <v>132643.41</v>
      </c>
      <c r="D15" s="391" t="s">
        <v>442</v>
      </c>
      <c r="E15" s="571">
        <f>A15</f>
        <v>1</v>
      </c>
      <c r="F15" s="573"/>
    </row>
    <row r="16" spans="1:6">
      <c r="A16" s="571">
        <f>A15+1</f>
        <v>2</v>
      </c>
      <c r="B16" s="200" t="str">
        <f>"Jan-"&amp;RIGHT(Automation!$B$6,2)</f>
        <v>Jan-18</v>
      </c>
      <c r="C16" s="336">
        <v>134207.511</v>
      </c>
      <c r="D16" s="391"/>
      <c r="E16" s="571">
        <f>E15+1</f>
        <v>2</v>
      </c>
      <c r="F16" s="573"/>
    </row>
    <row r="17" spans="1:6">
      <c r="A17" s="571">
        <f t="shared" ref="A17:A32" si="0">A16+1</f>
        <v>3</v>
      </c>
      <c r="B17" s="200" t="s">
        <v>36</v>
      </c>
      <c r="C17" s="336">
        <v>135385.13500000001</v>
      </c>
      <c r="D17" s="391"/>
      <c r="E17" s="571">
        <f t="shared" ref="E17:E32" si="1">E16+1</f>
        <v>3</v>
      </c>
      <c r="F17" s="573"/>
    </row>
    <row r="18" spans="1:6">
      <c r="A18" s="571">
        <f t="shared" si="0"/>
        <v>4</v>
      </c>
      <c r="B18" s="200" t="s">
        <v>37</v>
      </c>
      <c r="C18" s="336">
        <v>134442.163</v>
      </c>
      <c r="D18" s="391"/>
      <c r="E18" s="571">
        <f t="shared" si="1"/>
        <v>4</v>
      </c>
      <c r="F18" s="573"/>
    </row>
    <row r="19" spans="1:6">
      <c r="A19" s="571">
        <f t="shared" si="0"/>
        <v>5</v>
      </c>
      <c r="B19" s="200" t="s">
        <v>38</v>
      </c>
      <c r="C19" s="336">
        <v>134324.5</v>
      </c>
      <c r="D19" s="391"/>
      <c r="E19" s="571">
        <f t="shared" si="1"/>
        <v>5</v>
      </c>
      <c r="F19" s="573"/>
    </row>
    <row r="20" spans="1:6">
      <c r="A20" s="571">
        <f t="shared" si="0"/>
        <v>6</v>
      </c>
      <c r="B20" s="200" t="s">
        <v>39</v>
      </c>
      <c r="C20" s="336">
        <v>135867.511</v>
      </c>
      <c r="D20" s="391"/>
      <c r="E20" s="571">
        <f t="shared" si="1"/>
        <v>6</v>
      </c>
      <c r="F20" s="573"/>
    </row>
    <row r="21" spans="1:6">
      <c r="A21" s="571">
        <f t="shared" si="0"/>
        <v>7</v>
      </c>
      <c r="B21" s="200" t="s">
        <v>40</v>
      </c>
      <c r="C21" s="336">
        <v>135467.573</v>
      </c>
      <c r="D21" s="387"/>
      <c r="E21" s="571">
        <f t="shared" si="1"/>
        <v>7</v>
      </c>
      <c r="F21" s="573"/>
    </row>
    <row r="22" spans="1:6">
      <c r="A22" s="571">
        <f t="shared" si="0"/>
        <v>8</v>
      </c>
      <c r="B22" s="200" t="s">
        <v>41</v>
      </c>
      <c r="C22" s="336">
        <v>134524.03</v>
      </c>
      <c r="D22" s="387"/>
      <c r="E22" s="571">
        <f t="shared" si="1"/>
        <v>8</v>
      </c>
      <c r="F22" s="573"/>
    </row>
    <row r="23" spans="1:6">
      <c r="A23" s="571">
        <f t="shared" si="0"/>
        <v>9</v>
      </c>
      <c r="B23" s="200" t="s">
        <v>42</v>
      </c>
      <c r="C23" s="336">
        <v>133917.20800000001</v>
      </c>
      <c r="D23" s="387"/>
      <c r="E23" s="571">
        <f t="shared" si="1"/>
        <v>9</v>
      </c>
      <c r="F23" s="573"/>
    </row>
    <row r="24" spans="1:6">
      <c r="A24" s="571">
        <f t="shared" si="0"/>
        <v>10</v>
      </c>
      <c r="B24" s="200" t="s">
        <v>43</v>
      </c>
      <c r="C24" s="336">
        <v>132782.45300000001</v>
      </c>
      <c r="D24" s="387"/>
      <c r="E24" s="571">
        <f t="shared" si="1"/>
        <v>10</v>
      </c>
      <c r="F24" s="573"/>
    </row>
    <row r="25" spans="1:6">
      <c r="A25" s="571">
        <f t="shared" si="0"/>
        <v>11</v>
      </c>
      <c r="B25" s="200" t="s">
        <v>44</v>
      </c>
      <c r="C25" s="336">
        <v>131466.946</v>
      </c>
      <c r="D25" s="387"/>
      <c r="E25" s="571">
        <f t="shared" si="1"/>
        <v>11</v>
      </c>
      <c r="F25" s="573"/>
    </row>
    <row r="26" spans="1:6">
      <c r="A26" s="571">
        <f t="shared" si="0"/>
        <v>12</v>
      </c>
      <c r="B26" s="200" t="s">
        <v>45</v>
      </c>
      <c r="C26" s="336">
        <v>131439.66699999999</v>
      </c>
      <c r="D26" s="390"/>
      <c r="E26" s="571">
        <f t="shared" si="1"/>
        <v>12</v>
      </c>
      <c r="F26" s="573"/>
    </row>
    <row r="27" spans="1:6">
      <c r="A27" s="571">
        <f t="shared" si="0"/>
        <v>13</v>
      </c>
      <c r="B27" s="212" t="str">
        <f>"Dec-"&amp;RIGHT(Automation!$B$6,2)</f>
        <v>Dec-18</v>
      </c>
      <c r="C27" s="344">
        <v>132306.454</v>
      </c>
      <c r="D27" s="574" t="s">
        <v>442</v>
      </c>
      <c r="E27" s="571">
        <f t="shared" si="1"/>
        <v>13</v>
      </c>
      <c r="F27" s="573"/>
    </row>
    <row r="28" spans="1:6">
      <c r="A28" s="571">
        <f t="shared" si="0"/>
        <v>14</v>
      </c>
      <c r="B28" s="575"/>
      <c r="C28" s="576"/>
      <c r="D28" s="577"/>
      <c r="E28" s="571">
        <f t="shared" si="1"/>
        <v>14</v>
      </c>
      <c r="F28" s="232"/>
    </row>
    <row r="29" spans="1:6">
      <c r="A29" s="571">
        <f t="shared" si="0"/>
        <v>15</v>
      </c>
      <c r="B29" s="214" t="s">
        <v>46</v>
      </c>
      <c r="C29" s="436">
        <f>SUM(C15:C27)</f>
        <v>1738774.5609999998</v>
      </c>
      <c r="D29" s="578" t="str">
        <f>"Sum Lines "&amp;A15&amp;" thru "&amp;A27</f>
        <v>Sum Lines 1 thru 13</v>
      </c>
      <c r="E29" s="571">
        <f t="shared" si="1"/>
        <v>15</v>
      </c>
      <c r="F29" s="232"/>
    </row>
    <row r="30" spans="1:6">
      <c r="A30" s="571">
        <f t="shared" si="0"/>
        <v>16</v>
      </c>
      <c r="B30" s="221"/>
      <c r="C30" s="287"/>
      <c r="D30" s="574"/>
      <c r="E30" s="571">
        <f t="shared" si="1"/>
        <v>16</v>
      </c>
      <c r="F30" s="232"/>
    </row>
    <row r="31" spans="1:6">
      <c r="A31" s="571">
        <f t="shared" si="0"/>
        <v>17</v>
      </c>
      <c r="B31" s="184"/>
      <c r="C31" s="579"/>
      <c r="D31" s="580"/>
      <c r="E31" s="571">
        <f t="shared" si="1"/>
        <v>17</v>
      </c>
      <c r="F31" s="232"/>
    </row>
    <row r="32" spans="1:6">
      <c r="A32" s="571">
        <f t="shared" si="0"/>
        <v>18</v>
      </c>
      <c r="B32" s="214" t="s">
        <v>47</v>
      </c>
      <c r="C32" s="377">
        <f>C29/13</f>
        <v>133751.8893076923</v>
      </c>
      <c r="D32" s="904" t="s">
        <v>507</v>
      </c>
      <c r="E32" s="571">
        <f t="shared" si="1"/>
        <v>18</v>
      </c>
      <c r="F32" s="232"/>
    </row>
    <row r="33" spans="1:6">
      <c r="A33" s="571">
        <f>A32+1</f>
        <v>19</v>
      </c>
      <c r="B33" s="221"/>
      <c r="C33" s="380"/>
      <c r="D33" s="581"/>
      <c r="E33" s="571">
        <f>E32+1</f>
        <v>19</v>
      </c>
      <c r="F33" s="232"/>
    </row>
    <row r="34" spans="1:6">
      <c r="A34" s="932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F142"/>
  <sheetViews>
    <sheetView zoomScale="80" zoomScaleNormal="80" zoomScalePageLayoutView="80" workbookViewId="0"/>
  </sheetViews>
  <sheetFormatPr defaultColWidth="9.140625" defaultRowHeight="15.75"/>
  <cols>
    <col min="1" max="1" width="5.140625" style="928" customWidth="1"/>
    <col min="2" max="2" width="35.28515625" style="175" customWidth="1"/>
    <col min="3" max="3" width="18.5703125" style="181" customWidth="1"/>
    <col min="4" max="4" width="62.5703125" style="181" customWidth="1"/>
    <col min="5" max="5" width="5.140625" style="590" customWidth="1"/>
    <col min="6" max="6" width="9.42578125" style="175" bestFit="1" customWidth="1"/>
    <col min="7" max="16384" width="9.140625" style="175"/>
  </cols>
  <sheetData>
    <row r="2" spans="1:6" s="232" customFormat="1">
      <c r="A2" s="932"/>
      <c r="B2" s="1635" t="s">
        <v>18</v>
      </c>
      <c r="C2" s="1635"/>
      <c r="D2" s="1635"/>
      <c r="E2" s="932"/>
      <c r="F2" s="175"/>
    </row>
    <row r="3" spans="1:6" s="232" customFormat="1">
      <c r="A3" s="932"/>
      <c r="B3" s="1635" t="s">
        <v>221</v>
      </c>
      <c r="C3" s="1635"/>
      <c r="D3" s="1635"/>
      <c r="E3" s="932"/>
      <c r="F3" s="175"/>
    </row>
    <row r="4" spans="1:6" s="232" customFormat="1">
      <c r="A4" s="932"/>
      <c r="B4" s="1635" t="s">
        <v>222</v>
      </c>
      <c r="C4" s="1635"/>
      <c r="D4" s="1635"/>
      <c r="E4" s="932"/>
      <c r="F4" s="175"/>
    </row>
    <row r="5" spans="1:6" s="232" customFormat="1">
      <c r="A5" s="932"/>
      <c r="B5" s="1635" t="str">
        <f>"BASE PERIOD / TRUE UP PERIOD - 12/31/"&amp;Automation!$B$6&amp;" PER BOOK"</f>
        <v>BASE PERIOD / TRUE UP PERIOD - 12/31/2018 PER BOOK</v>
      </c>
      <c r="C5" s="1635"/>
      <c r="D5" s="1635"/>
      <c r="E5" s="932"/>
      <c r="F5" s="175"/>
    </row>
    <row r="6" spans="1:6" s="232" customFormat="1">
      <c r="A6" s="932"/>
      <c r="B6" s="1664" t="s">
        <v>3</v>
      </c>
      <c r="C6" s="1664"/>
      <c r="D6" s="1664"/>
      <c r="E6" s="590" t="s">
        <v>10</v>
      </c>
    </row>
    <row r="7" spans="1:6" s="232" customFormat="1">
      <c r="A7" s="932"/>
      <c r="B7" s="582"/>
      <c r="C7" s="582"/>
      <c r="D7" s="582"/>
      <c r="E7" s="590"/>
    </row>
    <row r="8" spans="1:6" s="232" customFormat="1">
      <c r="A8" s="932"/>
      <c r="B8" s="1635" t="s">
        <v>510</v>
      </c>
      <c r="C8" s="1635"/>
      <c r="D8" s="1635"/>
      <c r="E8" s="590" t="s">
        <v>10</v>
      </c>
    </row>
    <row r="9" spans="1:6" s="232" customFormat="1">
      <c r="A9" s="932"/>
      <c r="B9" s="583"/>
      <c r="C9" s="570"/>
      <c r="D9" s="584"/>
      <c r="E9" s="590"/>
    </row>
    <row r="10" spans="1:6" s="232" customFormat="1">
      <c r="A10" s="932"/>
      <c r="B10" s="585"/>
      <c r="C10" s="305" t="s">
        <v>31</v>
      </c>
      <c r="D10" s="256"/>
      <c r="E10" s="930"/>
    </row>
    <row r="11" spans="1:6" s="232" customFormat="1">
      <c r="A11" s="932" t="s">
        <v>4</v>
      </c>
      <c r="B11" s="187"/>
      <c r="C11" s="187" t="s">
        <v>224</v>
      </c>
      <c r="D11" s="187"/>
      <c r="E11" s="932" t="s">
        <v>4</v>
      </c>
    </row>
    <row r="12" spans="1:6" s="232" customFormat="1">
      <c r="A12" s="932" t="s">
        <v>25</v>
      </c>
      <c r="B12" s="196" t="s">
        <v>23</v>
      </c>
      <c r="C12" s="187" t="s">
        <v>227</v>
      </c>
      <c r="D12" s="196" t="s">
        <v>9</v>
      </c>
      <c r="E12" s="932" t="s">
        <v>25</v>
      </c>
    </row>
    <row r="13" spans="1:6" s="232" customFormat="1">
      <c r="A13" s="571">
        <v>1</v>
      </c>
      <c r="B13" s="200" t="str">
        <f>"Dec-"&amp;RIGHT(Automation!$B$6-1,2)</f>
        <v>Dec-17</v>
      </c>
      <c r="C13" s="572">
        <v>43099</v>
      </c>
      <c r="D13" s="391" t="s">
        <v>442</v>
      </c>
      <c r="E13" s="571">
        <f>A13</f>
        <v>1</v>
      </c>
      <c r="F13" s="586"/>
    </row>
    <row r="14" spans="1:6" s="232" customFormat="1">
      <c r="A14" s="571">
        <f>A13+1</f>
        <v>2</v>
      </c>
      <c r="B14" s="200" t="str">
        <f>"Jan-"&amp;RIGHT(Automation!$B$6,2)</f>
        <v>Jan-18</v>
      </c>
      <c r="C14" s="587">
        <v>37328</v>
      </c>
      <c r="D14" s="391"/>
      <c r="E14" s="571">
        <f>E13+1</f>
        <v>2</v>
      </c>
      <c r="F14" s="586"/>
    </row>
    <row r="15" spans="1:6" s="232" customFormat="1">
      <c r="A15" s="571">
        <f t="shared" ref="A15:A30" si="0">A14+1</f>
        <v>3</v>
      </c>
      <c r="B15" s="200" t="s">
        <v>36</v>
      </c>
      <c r="C15" s="587">
        <v>30245</v>
      </c>
      <c r="D15" s="391"/>
      <c r="E15" s="571">
        <f t="shared" ref="E15:E30" si="1">E14+1</f>
        <v>3</v>
      </c>
      <c r="F15" s="586"/>
    </row>
    <row r="16" spans="1:6" s="232" customFormat="1">
      <c r="A16" s="571">
        <f t="shared" si="0"/>
        <v>4</v>
      </c>
      <c r="B16" s="200" t="s">
        <v>37</v>
      </c>
      <c r="C16" s="587">
        <v>30202</v>
      </c>
      <c r="D16" s="391"/>
      <c r="E16" s="571">
        <f t="shared" si="1"/>
        <v>4</v>
      </c>
      <c r="F16" s="586"/>
    </row>
    <row r="17" spans="1:6" s="232" customFormat="1">
      <c r="A17" s="571">
        <f t="shared" si="0"/>
        <v>5</v>
      </c>
      <c r="B17" s="200" t="s">
        <v>38</v>
      </c>
      <c r="C17" s="587">
        <v>51241</v>
      </c>
      <c r="D17" s="391"/>
      <c r="E17" s="571">
        <f t="shared" si="1"/>
        <v>5</v>
      </c>
      <c r="F17" s="586"/>
    </row>
    <row r="18" spans="1:6" s="232" customFormat="1">
      <c r="A18" s="571">
        <f t="shared" si="0"/>
        <v>6</v>
      </c>
      <c r="B18" s="200" t="s">
        <v>39</v>
      </c>
      <c r="C18" s="587">
        <v>33487</v>
      </c>
      <c r="D18" s="391"/>
      <c r="E18" s="571">
        <f t="shared" si="1"/>
        <v>6</v>
      </c>
      <c r="F18" s="586"/>
    </row>
    <row r="19" spans="1:6" s="232" customFormat="1">
      <c r="A19" s="571">
        <f t="shared" si="0"/>
        <v>7</v>
      </c>
      <c r="B19" s="200" t="s">
        <v>40</v>
      </c>
      <c r="C19" s="587">
        <v>29000</v>
      </c>
      <c r="D19" s="391"/>
      <c r="E19" s="571">
        <f t="shared" si="1"/>
        <v>7</v>
      </c>
      <c r="F19" s="586"/>
    </row>
    <row r="20" spans="1:6" s="232" customFormat="1">
      <c r="A20" s="571">
        <f t="shared" si="0"/>
        <v>8</v>
      </c>
      <c r="B20" s="200" t="s">
        <v>41</v>
      </c>
      <c r="C20" s="587">
        <v>74431</v>
      </c>
      <c r="D20" s="387"/>
      <c r="E20" s="571">
        <f t="shared" si="1"/>
        <v>8</v>
      </c>
      <c r="F20" s="586"/>
    </row>
    <row r="21" spans="1:6" s="232" customFormat="1">
      <c r="A21" s="571">
        <f t="shared" si="0"/>
        <v>9</v>
      </c>
      <c r="B21" s="200" t="s">
        <v>42</v>
      </c>
      <c r="C21" s="587">
        <v>73591</v>
      </c>
      <c r="D21" s="387"/>
      <c r="E21" s="571">
        <f t="shared" si="1"/>
        <v>9</v>
      </c>
      <c r="F21" s="586"/>
    </row>
    <row r="22" spans="1:6" s="232" customFormat="1">
      <c r="A22" s="571">
        <f t="shared" si="0"/>
        <v>10</v>
      </c>
      <c r="B22" s="200" t="s">
        <v>43</v>
      </c>
      <c r="C22" s="587">
        <v>70741</v>
      </c>
      <c r="D22" s="387"/>
      <c r="E22" s="571">
        <f t="shared" si="1"/>
        <v>10</v>
      </c>
      <c r="F22" s="586"/>
    </row>
    <row r="23" spans="1:6" s="232" customFormat="1">
      <c r="A23" s="571">
        <f t="shared" si="0"/>
        <v>11</v>
      </c>
      <c r="B23" s="200" t="s">
        <v>44</v>
      </c>
      <c r="C23" s="587">
        <v>68607</v>
      </c>
      <c r="D23" s="387"/>
      <c r="E23" s="571">
        <f t="shared" si="1"/>
        <v>11</v>
      </c>
      <c r="F23" s="586"/>
    </row>
    <row r="24" spans="1:6" s="232" customFormat="1">
      <c r="A24" s="571">
        <f t="shared" si="0"/>
        <v>12</v>
      </c>
      <c r="B24" s="200" t="s">
        <v>45</v>
      </c>
      <c r="C24" s="587">
        <v>59656</v>
      </c>
      <c r="D24" s="387"/>
      <c r="E24" s="571">
        <f t="shared" si="1"/>
        <v>12</v>
      </c>
      <c r="F24" s="586"/>
    </row>
    <row r="25" spans="1:6" s="232" customFormat="1">
      <c r="A25" s="571">
        <f t="shared" si="0"/>
        <v>13</v>
      </c>
      <c r="B25" s="212" t="str">
        <f>"Dec-"&amp;RIGHT(Automation!$B$6,2)</f>
        <v>Dec-18</v>
      </c>
      <c r="C25" s="592">
        <v>55513</v>
      </c>
      <c r="D25" s="574" t="s">
        <v>442</v>
      </c>
      <c r="E25" s="571">
        <f t="shared" si="1"/>
        <v>13</v>
      </c>
      <c r="F25" s="586"/>
    </row>
    <row r="26" spans="1:6" s="232" customFormat="1">
      <c r="A26" s="571">
        <f t="shared" si="0"/>
        <v>14</v>
      </c>
      <c r="B26" s="575"/>
      <c r="C26" s="588"/>
      <c r="D26" s="577"/>
      <c r="E26" s="571">
        <f t="shared" si="1"/>
        <v>14</v>
      </c>
      <c r="F26" s="586"/>
    </row>
    <row r="27" spans="1:6" s="232" customFormat="1">
      <c r="A27" s="571">
        <f t="shared" si="0"/>
        <v>15</v>
      </c>
      <c r="B27" s="214" t="s">
        <v>46</v>
      </c>
      <c r="C27" s="436">
        <f>SUM(C13:C25)</f>
        <v>657141</v>
      </c>
      <c r="D27" s="578" t="str">
        <f>"Sum Lines "&amp;A13&amp;" thru "&amp;A25</f>
        <v>Sum Lines 1 thru 13</v>
      </c>
      <c r="E27" s="571">
        <f t="shared" si="1"/>
        <v>15</v>
      </c>
    </row>
    <row r="28" spans="1:6" s="232" customFormat="1">
      <c r="A28" s="571">
        <f t="shared" si="0"/>
        <v>16</v>
      </c>
      <c r="B28" s="221"/>
      <c r="C28" s="287"/>
      <c r="D28" s="574"/>
      <c r="E28" s="571">
        <f t="shared" si="1"/>
        <v>16</v>
      </c>
    </row>
    <row r="29" spans="1:6" s="232" customFormat="1">
      <c r="A29" s="571">
        <f t="shared" si="0"/>
        <v>17</v>
      </c>
      <c r="B29" s="184"/>
      <c r="C29" s="579"/>
      <c r="D29" s="580"/>
      <c r="E29" s="571">
        <f t="shared" si="1"/>
        <v>17</v>
      </c>
    </row>
    <row r="30" spans="1:6" s="232" customFormat="1">
      <c r="A30" s="571">
        <f t="shared" si="0"/>
        <v>18</v>
      </c>
      <c r="B30" s="214" t="s">
        <v>125</v>
      </c>
      <c r="C30" s="377">
        <f>C27/13</f>
        <v>50549.307692307695</v>
      </c>
      <c r="D30" s="870" t="s">
        <v>509</v>
      </c>
      <c r="E30" s="571">
        <f t="shared" si="1"/>
        <v>18</v>
      </c>
      <c r="F30" s="586"/>
    </row>
    <row r="31" spans="1:6" s="232" customFormat="1">
      <c r="A31" s="571">
        <f>A30+1</f>
        <v>19</v>
      </c>
      <c r="B31" s="221"/>
      <c r="C31" s="380"/>
      <c r="D31" s="589"/>
      <c r="E31" s="571">
        <f>E30+1</f>
        <v>19</v>
      </c>
    </row>
    <row r="32" spans="1:6" s="232" customFormat="1">
      <c r="A32" s="932"/>
      <c r="C32" s="343"/>
      <c r="D32" s="343"/>
      <c r="E32" s="590"/>
    </row>
    <row r="33" spans="1:5" s="232" customFormat="1">
      <c r="A33" s="591"/>
      <c r="E33" s="590"/>
    </row>
    <row r="34" spans="1:5" s="232" customFormat="1">
      <c r="A34" s="932"/>
      <c r="C34" s="343"/>
      <c r="D34" s="343"/>
      <c r="E34" s="590"/>
    </row>
    <row r="35" spans="1:5" s="232" customFormat="1">
      <c r="A35" s="932"/>
      <c r="C35" s="343"/>
      <c r="D35" s="343"/>
      <c r="E35" s="590"/>
    </row>
    <row r="36" spans="1:5" s="232" customFormat="1">
      <c r="A36" s="932"/>
      <c r="C36" s="343"/>
      <c r="D36" s="343"/>
      <c r="E36" s="590"/>
    </row>
    <row r="37" spans="1:5" s="232" customFormat="1">
      <c r="A37" s="932"/>
      <c r="C37" s="343"/>
      <c r="D37" s="343"/>
      <c r="E37" s="590"/>
    </row>
    <row r="38" spans="1:5" s="232" customFormat="1">
      <c r="A38" s="932"/>
      <c r="C38" s="343"/>
      <c r="D38" s="343"/>
      <c r="E38" s="590"/>
    </row>
    <row r="39" spans="1:5" s="232" customFormat="1">
      <c r="A39" s="932"/>
      <c r="C39" s="343"/>
      <c r="D39" s="343"/>
      <c r="E39" s="590"/>
    </row>
    <row r="40" spans="1:5" s="232" customFormat="1">
      <c r="A40" s="932"/>
      <c r="C40" s="343"/>
      <c r="D40" s="343"/>
      <c r="E40" s="590"/>
    </row>
    <row r="41" spans="1:5" s="232" customFormat="1">
      <c r="A41" s="932"/>
      <c r="C41" s="343"/>
      <c r="D41" s="343"/>
      <c r="E41" s="590"/>
    </row>
    <row r="42" spans="1:5" s="232" customFormat="1">
      <c r="A42" s="932"/>
      <c r="C42" s="343"/>
      <c r="D42" s="343"/>
      <c r="E42" s="590"/>
    </row>
    <row r="43" spans="1:5" s="232" customFormat="1">
      <c r="A43" s="932"/>
      <c r="C43" s="343"/>
      <c r="D43" s="343"/>
      <c r="E43" s="590"/>
    </row>
    <row r="44" spans="1:5" s="232" customFormat="1">
      <c r="A44" s="932"/>
      <c r="C44" s="343"/>
      <c r="D44" s="343"/>
      <c r="E44" s="590"/>
    </row>
    <row r="45" spans="1:5" s="232" customFormat="1">
      <c r="A45" s="932"/>
      <c r="C45" s="343"/>
      <c r="D45" s="343"/>
      <c r="E45" s="590"/>
    </row>
    <row r="46" spans="1:5" s="232" customFormat="1">
      <c r="A46" s="932"/>
      <c r="C46" s="343"/>
      <c r="D46" s="343"/>
      <c r="E46" s="590"/>
    </row>
    <row r="47" spans="1:5" s="232" customFormat="1">
      <c r="A47" s="932"/>
      <c r="C47" s="343"/>
      <c r="D47" s="343"/>
      <c r="E47" s="590"/>
    </row>
    <row r="48" spans="1:5" s="232" customFormat="1">
      <c r="A48" s="932"/>
      <c r="C48" s="343"/>
      <c r="D48" s="343"/>
      <c r="E48" s="590"/>
    </row>
    <row r="49" spans="1:5" s="232" customFormat="1">
      <c r="A49" s="932"/>
      <c r="C49" s="343"/>
      <c r="D49" s="343"/>
      <c r="E49" s="590"/>
    </row>
    <row r="50" spans="1:5" s="232" customFormat="1">
      <c r="A50" s="932"/>
      <c r="C50" s="343"/>
      <c r="D50" s="343"/>
      <c r="E50" s="590"/>
    </row>
    <row r="51" spans="1:5" s="232" customFormat="1">
      <c r="A51" s="932"/>
      <c r="C51" s="343"/>
      <c r="D51" s="343"/>
      <c r="E51" s="590"/>
    </row>
    <row r="52" spans="1:5" s="232" customFormat="1">
      <c r="A52" s="932"/>
      <c r="C52" s="343"/>
      <c r="D52" s="343"/>
      <c r="E52" s="590"/>
    </row>
    <row r="53" spans="1:5" s="232" customFormat="1">
      <c r="A53" s="932"/>
      <c r="C53" s="343"/>
      <c r="D53" s="343"/>
      <c r="E53" s="590"/>
    </row>
    <row r="54" spans="1:5" s="232" customFormat="1">
      <c r="A54" s="932"/>
      <c r="C54" s="343"/>
      <c r="D54" s="343"/>
      <c r="E54" s="590"/>
    </row>
    <row r="55" spans="1:5" s="232" customFormat="1">
      <c r="A55" s="932"/>
      <c r="C55" s="343"/>
      <c r="D55" s="343"/>
      <c r="E55" s="590"/>
    </row>
    <row r="56" spans="1:5" s="232" customFormat="1">
      <c r="A56" s="932"/>
      <c r="C56" s="343"/>
      <c r="D56" s="343"/>
      <c r="E56" s="590"/>
    </row>
    <row r="57" spans="1:5" s="232" customFormat="1">
      <c r="A57" s="932"/>
      <c r="C57" s="343"/>
      <c r="D57" s="343"/>
      <c r="E57" s="590"/>
    </row>
    <row r="58" spans="1:5" s="232" customFormat="1">
      <c r="A58" s="932"/>
      <c r="C58" s="343"/>
      <c r="D58" s="343"/>
      <c r="E58" s="590"/>
    </row>
    <row r="59" spans="1:5" s="232" customFormat="1">
      <c r="A59" s="932"/>
      <c r="C59" s="343"/>
      <c r="D59" s="343"/>
      <c r="E59" s="590"/>
    </row>
    <row r="60" spans="1:5" s="232" customFormat="1">
      <c r="A60" s="932"/>
      <c r="C60" s="343"/>
      <c r="D60" s="343"/>
      <c r="E60" s="590"/>
    </row>
    <row r="61" spans="1:5" s="232" customFormat="1">
      <c r="A61" s="932"/>
      <c r="C61" s="343"/>
      <c r="D61" s="343"/>
      <c r="E61" s="590"/>
    </row>
    <row r="62" spans="1:5" s="232" customFormat="1">
      <c r="A62" s="932"/>
      <c r="C62" s="343"/>
      <c r="D62" s="343"/>
      <c r="E62" s="590"/>
    </row>
    <row r="63" spans="1:5" s="232" customFormat="1">
      <c r="A63" s="932"/>
      <c r="C63" s="343"/>
      <c r="D63" s="343"/>
      <c r="E63" s="590"/>
    </row>
    <row r="64" spans="1:5" s="232" customFormat="1">
      <c r="A64" s="932"/>
      <c r="C64" s="343"/>
      <c r="D64" s="343"/>
      <c r="E64" s="590"/>
    </row>
    <row r="65" spans="1:5" s="232" customFormat="1">
      <c r="A65" s="932"/>
      <c r="C65" s="343"/>
      <c r="D65" s="343"/>
      <c r="E65" s="590"/>
    </row>
    <row r="66" spans="1:5" s="232" customFormat="1">
      <c r="A66" s="932"/>
      <c r="C66" s="343"/>
      <c r="D66" s="343"/>
      <c r="E66" s="590"/>
    </row>
    <row r="67" spans="1:5" s="232" customFormat="1">
      <c r="A67" s="932"/>
      <c r="C67" s="343"/>
      <c r="D67" s="343"/>
      <c r="E67" s="590"/>
    </row>
    <row r="68" spans="1:5" s="232" customFormat="1">
      <c r="A68" s="932"/>
      <c r="C68" s="343"/>
      <c r="D68" s="343"/>
      <c r="E68" s="590"/>
    </row>
    <row r="69" spans="1:5" s="232" customFormat="1">
      <c r="A69" s="932"/>
      <c r="C69" s="343"/>
      <c r="D69" s="343"/>
      <c r="E69" s="590"/>
    </row>
    <row r="70" spans="1:5" s="232" customFormat="1">
      <c r="A70" s="932"/>
      <c r="C70" s="343"/>
      <c r="D70" s="343"/>
      <c r="E70" s="590"/>
    </row>
    <row r="71" spans="1:5" s="232" customFormat="1">
      <c r="A71" s="932"/>
      <c r="C71" s="343"/>
      <c r="D71" s="343"/>
      <c r="E71" s="590"/>
    </row>
    <row r="72" spans="1:5" s="232" customFormat="1">
      <c r="A72" s="932"/>
      <c r="C72" s="343"/>
      <c r="D72" s="343"/>
      <c r="E72" s="590"/>
    </row>
    <row r="73" spans="1:5" s="232" customFormat="1">
      <c r="A73" s="932"/>
      <c r="C73" s="343"/>
      <c r="D73" s="343"/>
      <c r="E73" s="590"/>
    </row>
    <row r="74" spans="1:5" s="232" customFormat="1">
      <c r="A74" s="932"/>
      <c r="C74" s="343"/>
      <c r="D74" s="343"/>
      <c r="E74" s="590"/>
    </row>
    <row r="75" spans="1:5" s="232" customFormat="1">
      <c r="A75" s="932"/>
      <c r="C75" s="343"/>
      <c r="D75" s="343"/>
      <c r="E75" s="590"/>
    </row>
    <row r="76" spans="1:5" s="232" customFormat="1">
      <c r="A76" s="932"/>
      <c r="C76" s="343"/>
      <c r="D76" s="343"/>
      <c r="E76" s="590"/>
    </row>
    <row r="77" spans="1:5" s="232" customFormat="1">
      <c r="A77" s="932"/>
      <c r="C77" s="343"/>
      <c r="D77" s="343"/>
      <c r="E77" s="590"/>
    </row>
    <row r="78" spans="1:5" s="232" customFormat="1">
      <c r="A78" s="932"/>
      <c r="C78" s="343"/>
      <c r="D78" s="343"/>
      <c r="E78" s="590"/>
    </row>
    <row r="79" spans="1:5" s="232" customFormat="1">
      <c r="A79" s="932"/>
      <c r="C79" s="343"/>
      <c r="D79" s="343"/>
      <c r="E79" s="590"/>
    </row>
    <row r="80" spans="1:5" s="232" customFormat="1">
      <c r="A80" s="932"/>
      <c r="C80" s="343"/>
      <c r="D80" s="343"/>
      <c r="E80" s="590"/>
    </row>
    <row r="81" spans="1:5" s="232" customFormat="1">
      <c r="A81" s="932"/>
      <c r="C81" s="343"/>
      <c r="D81" s="343"/>
      <c r="E81" s="590"/>
    </row>
    <row r="82" spans="1:5" s="232" customFormat="1">
      <c r="A82" s="932"/>
      <c r="C82" s="343"/>
      <c r="D82" s="343"/>
      <c r="E82" s="590"/>
    </row>
    <row r="83" spans="1:5" s="232" customFormat="1">
      <c r="A83" s="932"/>
      <c r="C83" s="343"/>
      <c r="D83" s="343"/>
      <c r="E83" s="590"/>
    </row>
    <row r="84" spans="1:5" s="232" customFormat="1">
      <c r="A84" s="932"/>
      <c r="C84" s="343"/>
      <c r="D84" s="343"/>
      <c r="E84" s="590"/>
    </row>
    <row r="85" spans="1:5" s="232" customFormat="1">
      <c r="A85" s="932"/>
      <c r="C85" s="343"/>
      <c r="D85" s="343"/>
      <c r="E85" s="590"/>
    </row>
    <row r="86" spans="1:5" s="232" customFormat="1">
      <c r="A86" s="932"/>
      <c r="C86" s="343"/>
      <c r="D86" s="343"/>
      <c r="E86" s="590"/>
    </row>
    <row r="87" spans="1:5" s="232" customFormat="1">
      <c r="A87" s="932"/>
      <c r="C87" s="343"/>
      <c r="D87" s="343"/>
      <c r="E87" s="590"/>
    </row>
    <row r="88" spans="1:5" s="232" customFormat="1">
      <c r="A88" s="932"/>
      <c r="C88" s="343"/>
      <c r="D88" s="343"/>
      <c r="E88" s="590"/>
    </row>
    <row r="89" spans="1:5" s="232" customFormat="1">
      <c r="A89" s="932"/>
      <c r="C89" s="343"/>
      <c r="D89" s="343"/>
      <c r="E89" s="590"/>
    </row>
    <row r="90" spans="1:5" s="232" customFormat="1">
      <c r="A90" s="932"/>
      <c r="C90" s="343"/>
      <c r="D90" s="343"/>
      <c r="E90" s="590"/>
    </row>
    <row r="91" spans="1:5" s="232" customFormat="1">
      <c r="A91" s="932"/>
      <c r="C91" s="343"/>
      <c r="D91" s="343"/>
      <c r="E91" s="590"/>
    </row>
    <row r="92" spans="1:5" s="232" customFormat="1">
      <c r="A92" s="932"/>
      <c r="C92" s="343"/>
      <c r="D92" s="343"/>
      <c r="E92" s="590"/>
    </row>
    <row r="93" spans="1:5" s="232" customFormat="1">
      <c r="A93" s="932"/>
      <c r="C93" s="343"/>
      <c r="D93" s="343"/>
      <c r="E93" s="590"/>
    </row>
    <row r="94" spans="1:5" s="232" customFormat="1">
      <c r="A94" s="932"/>
      <c r="C94" s="343"/>
      <c r="D94" s="343"/>
      <c r="E94" s="590"/>
    </row>
    <row r="95" spans="1:5" s="232" customFormat="1">
      <c r="A95" s="932"/>
      <c r="C95" s="343"/>
      <c r="D95" s="343"/>
      <c r="E95" s="590"/>
    </row>
    <row r="96" spans="1:5" s="232" customFormat="1">
      <c r="A96" s="932"/>
      <c r="C96" s="343"/>
      <c r="D96" s="343"/>
      <c r="E96" s="590"/>
    </row>
    <row r="97" spans="1:5" s="232" customFormat="1">
      <c r="A97" s="932"/>
      <c r="C97" s="343"/>
      <c r="D97" s="343"/>
      <c r="E97" s="590"/>
    </row>
    <row r="98" spans="1:5" s="232" customFormat="1">
      <c r="A98" s="932"/>
      <c r="C98" s="343"/>
      <c r="D98" s="343"/>
      <c r="E98" s="590"/>
    </row>
    <row r="99" spans="1:5" s="232" customFormat="1">
      <c r="A99" s="932"/>
      <c r="C99" s="343"/>
      <c r="D99" s="343"/>
      <c r="E99" s="590"/>
    </row>
    <row r="100" spans="1:5" s="232" customFormat="1">
      <c r="A100" s="932"/>
      <c r="C100" s="343"/>
      <c r="D100" s="343"/>
      <c r="E100" s="590"/>
    </row>
    <row r="101" spans="1:5" s="232" customFormat="1">
      <c r="A101" s="932"/>
      <c r="C101" s="343"/>
      <c r="D101" s="343"/>
      <c r="E101" s="590"/>
    </row>
    <row r="102" spans="1:5" s="232" customFormat="1">
      <c r="A102" s="932"/>
      <c r="C102" s="343"/>
      <c r="D102" s="343"/>
      <c r="E102" s="590"/>
    </row>
    <row r="103" spans="1:5" s="232" customFormat="1">
      <c r="A103" s="932"/>
      <c r="C103" s="343"/>
      <c r="D103" s="343"/>
      <c r="E103" s="590"/>
    </row>
    <row r="104" spans="1:5" s="232" customFormat="1">
      <c r="A104" s="932"/>
      <c r="C104" s="343"/>
      <c r="D104" s="343"/>
      <c r="E104" s="590"/>
    </row>
    <row r="105" spans="1:5" s="232" customFormat="1">
      <c r="A105" s="932"/>
      <c r="C105" s="343"/>
      <c r="D105" s="343"/>
      <c r="E105" s="590"/>
    </row>
    <row r="106" spans="1:5" s="232" customFormat="1">
      <c r="A106" s="932"/>
      <c r="C106" s="343"/>
      <c r="D106" s="343"/>
      <c r="E106" s="590"/>
    </row>
    <row r="107" spans="1:5" s="232" customFormat="1">
      <c r="A107" s="932"/>
      <c r="C107" s="343"/>
      <c r="D107" s="343"/>
      <c r="E107" s="590"/>
    </row>
    <row r="108" spans="1:5" s="232" customFormat="1">
      <c r="A108" s="932"/>
      <c r="C108" s="343"/>
      <c r="D108" s="343"/>
      <c r="E108" s="590"/>
    </row>
    <row r="109" spans="1:5" s="232" customFormat="1">
      <c r="A109" s="932"/>
      <c r="C109" s="343"/>
      <c r="D109" s="343"/>
      <c r="E109" s="590"/>
    </row>
    <row r="110" spans="1:5" s="232" customFormat="1">
      <c r="A110" s="932"/>
      <c r="C110" s="343"/>
      <c r="D110" s="343"/>
      <c r="E110" s="590"/>
    </row>
    <row r="111" spans="1:5" s="232" customFormat="1">
      <c r="A111" s="932"/>
      <c r="C111" s="343"/>
      <c r="D111" s="343"/>
      <c r="E111" s="590"/>
    </row>
    <row r="112" spans="1:5" s="232" customFormat="1">
      <c r="A112" s="932"/>
      <c r="C112" s="343"/>
      <c r="D112" s="343"/>
      <c r="E112" s="590"/>
    </row>
    <row r="113" spans="1:5" s="232" customFormat="1">
      <c r="A113" s="932"/>
      <c r="C113" s="343"/>
      <c r="D113" s="343"/>
      <c r="E113" s="590"/>
    </row>
    <row r="114" spans="1:5" s="232" customFormat="1">
      <c r="A114" s="932"/>
      <c r="C114" s="343"/>
      <c r="D114" s="343"/>
      <c r="E114" s="590"/>
    </row>
    <row r="115" spans="1:5" s="232" customFormat="1">
      <c r="A115" s="932"/>
      <c r="C115" s="343"/>
      <c r="D115" s="343"/>
      <c r="E115" s="590"/>
    </row>
    <row r="116" spans="1:5" s="232" customFormat="1">
      <c r="A116" s="932"/>
      <c r="C116" s="343"/>
      <c r="D116" s="343"/>
      <c r="E116" s="590"/>
    </row>
    <row r="117" spans="1:5" s="232" customFormat="1">
      <c r="A117" s="932"/>
      <c r="C117" s="343"/>
      <c r="D117" s="343"/>
      <c r="E117" s="590"/>
    </row>
    <row r="118" spans="1:5" s="232" customFormat="1">
      <c r="A118" s="932"/>
      <c r="C118" s="343"/>
      <c r="D118" s="343"/>
      <c r="E118" s="590"/>
    </row>
    <row r="119" spans="1:5" s="232" customFormat="1">
      <c r="A119" s="932"/>
      <c r="C119" s="343"/>
      <c r="D119" s="343"/>
      <c r="E119" s="590"/>
    </row>
    <row r="120" spans="1:5" s="232" customFormat="1">
      <c r="A120" s="932"/>
      <c r="C120" s="343"/>
      <c r="D120" s="343"/>
      <c r="E120" s="590"/>
    </row>
    <row r="121" spans="1:5" s="232" customFormat="1">
      <c r="A121" s="932"/>
      <c r="C121" s="343"/>
      <c r="D121" s="343"/>
      <c r="E121" s="590"/>
    </row>
    <row r="122" spans="1:5" s="232" customFormat="1">
      <c r="A122" s="932"/>
      <c r="C122" s="343"/>
      <c r="D122" s="343"/>
      <c r="E122" s="590"/>
    </row>
    <row r="123" spans="1:5" s="232" customFormat="1">
      <c r="A123" s="932"/>
      <c r="C123" s="343"/>
      <c r="D123" s="343"/>
      <c r="E123" s="590"/>
    </row>
    <row r="124" spans="1:5" s="232" customFormat="1">
      <c r="A124" s="932"/>
      <c r="C124" s="343"/>
      <c r="D124" s="343"/>
      <c r="E124" s="590"/>
    </row>
    <row r="125" spans="1:5" s="232" customFormat="1">
      <c r="A125" s="932"/>
      <c r="C125" s="343"/>
      <c r="D125" s="343"/>
      <c r="E125" s="590"/>
    </row>
    <row r="126" spans="1:5" s="232" customFormat="1">
      <c r="A126" s="932"/>
      <c r="C126" s="343"/>
      <c r="D126" s="343"/>
      <c r="E126" s="590"/>
    </row>
    <row r="127" spans="1:5" s="232" customFormat="1">
      <c r="A127" s="932"/>
      <c r="C127" s="343"/>
      <c r="D127" s="343"/>
      <c r="E127" s="590"/>
    </row>
    <row r="128" spans="1:5" s="232" customFormat="1">
      <c r="A128" s="932"/>
      <c r="C128" s="343"/>
      <c r="D128" s="343"/>
      <c r="E128" s="590"/>
    </row>
    <row r="129" spans="1:5" s="232" customFormat="1">
      <c r="A129" s="932"/>
      <c r="C129" s="343"/>
      <c r="D129" s="343"/>
      <c r="E129" s="590"/>
    </row>
    <row r="130" spans="1:5" s="232" customFormat="1">
      <c r="A130" s="932"/>
      <c r="C130" s="343"/>
      <c r="D130" s="343"/>
      <c r="E130" s="590"/>
    </row>
    <row r="131" spans="1:5" s="232" customFormat="1">
      <c r="A131" s="932"/>
      <c r="C131" s="343"/>
      <c r="D131" s="343"/>
      <c r="E131" s="590"/>
    </row>
    <row r="132" spans="1:5" s="232" customFormat="1">
      <c r="A132" s="932"/>
      <c r="C132" s="343"/>
      <c r="D132" s="343"/>
      <c r="E132" s="590"/>
    </row>
    <row r="133" spans="1:5" s="232" customFormat="1">
      <c r="A133" s="932"/>
      <c r="C133" s="343"/>
      <c r="D133" s="343"/>
      <c r="E133" s="590"/>
    </row>
    <row r="134" spans="1:5" s="232" customFormat="1">
      <c r="A134" s="932"/>
      <c r="C134" s="343"/>
      <c r="D134" s="343"/>
      <c r="E134" s="590"/>
    </row>
    <row r="135" spans="1:5" s="232" customFormat="1">
      <c r="A135" s="932"/>
      <c r="C135" s="343"/>
      <c r="D135" s="343"/>
      <c r="E135" s="590"/>
    </row>
    <row r="136" spans="1:5" s="232" customFormat="1">
      <c r="A136" s="932"/>
      <c r="C136" s="343"/>
      <c r="D136" s="343"/>
      <c r="E136" s="590"/>
    </row>
    <row r="137" spans="1:5" s="232" customFormat="1">
      <c r="A137" s="932"/>
      <c r="C137" s="343"/>
      <c r="D137" s="343"/>
      <c r="E137" s="590"/>
    </row>
    <row r="138" spans="1:5" s="232" customFormat="1">
      <c r="A138" s="932"/>
      <c r="C138" s="343"/>
      <c r="D138" s="343"/>
      <c r="E138" s="590"/>
    </row>
    <row r="139" spans="1:5" s="232" customFormat="1">
      <c r="A139" s="932"/>
      <c r="C139" s="343"/>
      <c r="D139" s="343"/>
      <c r="E139" s="590"/>
    </row>
    <row r="140" spans="1:5" s="232" customFormat="1">
      <c r="A140" s="932"/>
      <c r="C140" s="343"/>
      <c r="D140" s="343"/>
      <c r="E140" s="590"/>
    </row>
    <row r="141" spans="1:5" s="232" customFormat="1">
      <c r="A141" s="932"/>
      <c r="C141" s="343"/>
      <c r="D141" s="343"/>
      <c r="E141" s="590"/>
    </row>
    <row r="142" spans="1:5" s="232" customFormat="1">
      <c r="A142" s="932"/>
      <c r="C142" s="343"/>
      <c r="D142" s="343"/>
      <c r="E142" s="590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6"/>
  <sheetViews>
    <sheetView zoomScale="80" zoomScaleNormal="80" zoomScalePageLayoutView="80" workbookViewId="0"/>
  </sheetViews>
  <sheetFormatPr defaultColWidth="8.85546875" defaultRowHeight="15.75"/>
  <cols>
    <col min="1" max="1" width="5.28515625" style="192" bestFit="1" customWidth="1"/>
    <col min="2" max="2" width="68.85546875" style="232" customWidth="1"/>
    <col min="3" max="3" width="24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34.5703125" style="232" customWidth="1"/>
    <col min="8" max="8" width="5.28515625" style="232" customWidth="1"/>
    <col min="9" max="9" width="8.85546875" style="232"/>
    <col min="10" max="10" width="20.42578125" style="232" bestFit="1" customWidth="1"/>
    <col min="11" max="16384" width="8.85546875" style="232"/>
  </cols>
  <sheetData>
    <row r="1" spans="1:8">
      <c r="A1" s="593"/>
      <c r="E1" s="594"/>
      <c r="F1" s="594"/>
      <c r="G1" s="192"/>
      <c r="H1" s="593"/>
    </row>
    <row r="2" spans="1:8">
      <c r="A2" s="593"/>
      <c r="B2" s="1634" t="s">
        <v>18</v>
      </c>
      <c r="C2" s="1634"/>
      <c r="D2" s="1634"/>
      <c r="E2" s="1634"/>
      <c r="F2" s="1634"/>
      <c r="G2" s="1635"/>
      <c r="H2" s="593"/>
    </row>
    <row r="3" spans="1:8">
      <c r="A3" s="593"/>
      <c r="B3" s="1634" t="s">
        <v>228</v>
      </c>
      <c r="C3" s="1634"/>
      <c r="D3" s="1634"/>
      <c r="E3" s="1634"/>
      <c r="F3" s="1634"/>
      <c r="G3" s="1635"/>
      <c r="H3" s="593"/>
    </row>
    <row r="4" spans="1:8">
      <c r="A4" s="593"/>
      <c r="B4" s="1634" t="s">
        <v>229</v>
      </c>
      <c r="C4" s="1634"/>
      <c r="D4" s="1634"/>
      <c r="E4" s="1634"/>
      <c r="F4" s="1634"/>
      <c r="G4" s="1635"/>
      <c r="H4" s="593"/>
    </row>
    <row r="5" spans="1:8">
      <c r="A5" s="593"/>
      <c r="B5" s="1637" t="str">
        <f>'A. Sec.1 - Direct Maintenance'!B5</f>
        <v>Base Period &amp; True-Up Period 12 - Months Ending December 31, 2018</v>
      </c>
      <c r="C5" s="1637"/>
      <c r="D5" s="1637"/>
      <c r="E5" s="1637"/>
      <c r="F5" s="1637"/>
      <c r="G5" s="1637"/>
      <c r="H5" s="593"/>
    </row>
    <row r="6" spans="1:8">
      <c r="A6" s="593"/>
      <c r="B6" s="1639" t="s">
        <v>3</v>
      </c>
      <c r="C6" s="1636"/>
      <c r="D6" s="1636"/>
      <c r="E6" s="1636"/>
      <c r="F6" s="1636"/>
      <c r="G6" s="1636"/>
      <c r="H6" s="593"/>
    </row>
    <row r="7" spans="1:8">
      <c r="A7" s="593"/>
      <c r="B7" s="593"/>
      <c r="C7" s="593"/>
      <c r="D7" s="593"/>
      <c r="E7" s="593"/>
      <c r="F7" s="593"/>
      <c r="G7" s="192"/>
      <c r="H7" s="593"/>
    </row>
    <row r="8" spans="1:8">
      <c r="A8" s="593" t="s">
        <v>4</v>
      </c>
      <c r="C8" s="596" t="s">
        <v>511</v>
      </c>
      <c r="E8" s="277"/>
      <c r="F8" s="277"/>
      <c r="G8" s="277"/>
      <c r="H8" s="593" t="s">
        <v>4</v>
      </c>
    </row>
    <row r="9" spans="1:8">
      <c r="A9" s="597" t="s">
        <v>25</v>
      </c>
      <c r="B9" s="232" t="s">
        <v>10</v>
      </c>
      <c r="C9" s="598" t="s">
        <v>512</v>
      </c>
      <c r="E9" s="389" t="s">
        <v>128</v>
      </c>
      <c r="F9" s="599"/>
      <c r="G9" s="389" t="s">
        <v>9</v>
      </c>
      <c r="H9" s="597" t="s">
        <v>25</v>
      </c>
    </row>
    <row r="10" spans="1:8">
      <c r="A10" s="593"/>
      <c r="E10" s="594"/>
      <c r="F10" s="594"/>
      <c r="G10" s="192"/>
      <c r="H10" s="593"/>
    </row>
    <row r="11" spans="1:8">
      <c r="A11" s="593">
        <f>+A10+1</f>
        <v>1</v>
      </c>
      <c r="B11" s="232" t="s">
        <v>230</v>
      </c>
      <c r="C11" s="833" t="s">
        <v>513</v>
      </c>
      <c r="E11" s="601">
        <v>-264.76299999999998</v>
      </c>
      <c r="F11" s="599"/>
      <c r="G11" s="599"/>
      <c r="H11" s="593">
        <f>A11</f>
        <v>1</v>
      </c>
    </row>
    <row r="12" spans="1:8">
      <c r="A12" s="593">
        <f>+A11+1</f>
        <v>2</v>
      </c>
      <c r="C12" s="115"/>
      <c r="E12" s="594"/>
      <c r="F12" s="594"/>
      <c r="G12" s="599"/>
      <c r="H12" s="593">
        <f>+H11+1</f>
        <v>2</v>
      </c>
    </row>
    <row r="13" spans="1:8" s="1001" customFormat="1">
      <c r="A13" s="593">
        <f t="shared" ref="A13:A20" si="0">+A12+1</f>
        <v>3</v>
      </c>
      <c r="B13" s="1001" t="s">
        <v>231</v>
      </c>
      <c r="C13" s="115"/>
      <c r="E13" s="594"/>
      <c r="F13" s="594"/>
      <c r="G13" s="599"/>
      <c r="H13" s="593">
        <f t="shared" ref="H13:H20" si="1">+H12+1</f>
        <v>3</v>
      </c>
    </row>
    <row r="14" spans="1:8" s="1001" customFormat="1">
      <c r="A14" s="593">
        <f t="shared" si="0"/>
        <v>4</v>
      </c>
      <c r="B14" s="243" t="s">
        <v>688</v>
      </c>
      <c r="C14" s="600"/>
      <c r="E14" s="685">
        <f>'AR-1'!G18</f>
        <v>0</v>
      </c>
      <c r="F14" s="594"/>
      <c r="G14" s="303" t="str">
        <f>"AR-1; Line "&amp;'AR-1'!A18&amp;"; Col. c"</f>
        <v>AR-1; Line 7; Col. c</v>
      </c>
      <c r="H14" s="593">
        <f t="shared" si="1"/>
        <v>4</v>
      </c>
    </row>
    <row r="15" spans="1:8" s="1001" customFormat="1">
      <c r="A15" s="593">
        <f t="shared" si="0"/>
        <v>5</v>
      </c>
      <c r="B15" s="243" t="s">
        <v>689</v>
      </c>
      <c r="C15" s="600"/>
      <c r="E15" s="685">
        <f>'AR-1'!G25</f>
        <v>0</v>
      </c>
      <c r="F15" s="594"/>
      <c r="G15" s="303" t="str">
        <f>"AR-1; Line "&amp;'AR-1'!A25&amp;"; Col. c"</f>
        <v>AR-1; Line 14; Col. c</v>
      </c>
      <c r="H15" s="593">
        <f t="shared" si="1"/>
        <v>5</v>
      </c>
    </row>
    <row r="16" spans="1:8" s="1001" customFormat="1">
      <c r="A16" s="593">
        <f t="shared" si="0"/>
        <v>6</v>
      </c>
      <c r="B16" s="243" t="s">
        <v>690</v>
      </c>
      <c r="C16" s="600"/>
      <c r="E16" s="1008">
        <f>'AR-1'!G33</f>
        <v>0</v>
      </c>
      <c r="F16" s="594"/>
      <c r="G16" s="303" t="str">
        <f>"AR-1; Line "&amp;'AR-1'!A33&amp;"; Col. c"</f>
        <v>AR-1; Line 22; Col. c</v>
      </c>
      <c r="H16" s="593">
        <f t="shared" si="1"/>
        <v>6</v>
      </c>
    </row>
    <row r="17" spans="1:8">
      <c r="A17" s="593">
        <f t="shared" si="0"/>
        <v>7</v>
      </c>
      <c r="B17" s="604" t="s">
        <v>882</v>
      </c>
      <c r="C17" s="833"/>
      <c r="E17" s="1009">
        <f>SUM(E14:E16)</f>
        <v>0</v>
      </c>
      <c r="F17" s="599"/>
      <c r="G17" s="303" t="str">
        <f>"Sum Lines "&amp;A14&amp;" thru "&amp;A16</f>
        <v>Sum Lines 4 thru 6</v>
      </c>
      <c r="H17" s="593">
        <f t="shared" si="1"/>
        <v>7</v>
      </c>
    </row>
    <row r="18" spans="1:8" s="1001" customFormat="1">
      <c r="A18" s="593">
        <f t="shared" si="0"/>
        <v>8</v>
      </c>
      <c r="B18" s="604"/>
      <c r="C18" s="833"/>
      <c r="E18" s="594"/>
      <c r="F18" s="599"/>
      <c r="G18" s="599"/>
      <c r="H18" s="593">
        <f t="shared" si="1"/>
        <v>8</v>
      </c>
    </row>
    <row r="19" spans="1:8" s="1001" customFormat="1">
      <c r="A19" s="593">
        <f t="shared" si="0"/>
        <v>9</v>
      </c>
      <c r="B19" s="1001" t="s">
        <v>738</v>
      </c>
      <c r="C19" s="833"/>
      <c r="E19" s="1008">
        <v>0</v>
      </c>
      <c r="F19" s="599"/>
      <c r="G19" s="303" t="str">
        <f>"Not Applicable to "&amp;Automation!B6&amp;" Base Period"</f>
        <v>Not Applicable to 2018 Base Period</v>
      </c>
      <c r="H19" s="593">
        <f t="shared" si="1"/>
        <v>9</v>
      </c>
    </row>
    <row r="20" spans="1:8">
      <c r="A20" s="593">
        <f t="shared" si="0"/>
        <v>10</v>
      </c>
      <c r="C20" s="115"/>
      <c r="E20" s="599"/>
      <c r="F20" s="599"/>
      <c r="G20" s="599"/>
      <c r="H20" s="593">
        <f t="shared" si="1"/>
        <v>10</v>
      </c>
    </row>
    <row r="21" spans="1:8" ht="19.5" thickBot="1">
      <c r="A21" s="593">
        <f t="shared" ref="A21" si="2">+A20+1</f>
        <v>11</v>
      </c>
      <c r="B21" s="232" t="s">
        <v>883</v>
      </c>
      <c r="E21" s="607">
        <f>E11+E17+E19</f>
        <v>-264.76299999999998</v>
      </c>
      <c r="F21" s="608"/>
      <c r="G21" s="303" t="str">
        <f>"Sum Lines "&amp;A11&amp;", "&amp;A17&amp;", "&amp;A19</f>
        <v>Sum Lines 1, 7, 9</v>
      </c>
      <c r="H21" s="593">
        <f t="shared" ref="H21" si="3">+H20+1</f>
        <v>11</v>
      </c>
    </row>
    <row r="22" spans="1:8" ht="16.5" thickTop="1">
      <c r="A22" s="593"/>
      <c r="H22" s="593"/>
    </row>
    <row r="23" spans="1:8">
      <c r="A23" s="593"/>
      <c r="H23" s="593"/>
    </row>
    <row r="24" spans="1:8" ht="18.75">
      <c r="A24" s="609">
        <v>1</v>
      </c>
      <c r="B24" s="6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  <row r="26" spans="1:8">
      <c r="B26" s="100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I36"/>
  <sheetViews>
    <sheetView zoomScale="80" zoomScaleNormal="80" zoomScaleSheetLayoutView="70" workbookViewId="0"/>
  </sheetViews>
  <sheetFormatPr defaultColWidth="8.7109375" defaultRowHeight="15.75"/>
  <cols>
    <col min="1" max="1" width="5.28515625" style="600" customWidth="1"/>
    <col min="2" max="2" width="50.85546875" style="408" customWidth="1"/>
    <col min="3" max="3" width="16.85546875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23.42578125" style="408" bestFit="1" customWidth="1"/>
    <col min="8" max="8" width="62.5703125" style="408" customWidth="1"/>
    <col min="9" max="9" width="5.28515625" style="600" customWidth="1"/>
    <col min="10" max="16384" width="8.7109375" style="408"/>
  </cols>
  <sheetData>
    <row r="2" spans="1:9">
      <c r="B2" s="1628" t="s">
        <v>18</v>
      </c>
      <c r="C2" s="1628"/>
      <c r="D2" s="1628"/>
      <c r="E2" s="1628"/>
      <c r="F2" s="1628"/>
      <c r="G2" s="1628"/>
      <c r="H2" s="1628"/>
    </row>
    <row r="3" spans="1:9">
      <c r="B3" s="1628" t="s">
        <v>884</v>
      </c>
      <c r="C3" s="1628"/>
      <c r="D3" s="1628"/>
      <c r="E3" s="1628"/>
      <c r="F3" s="1628"/>
      <c r="G3" s="1628"/>
      <c r="H3" s="1628"/>
    </row>
    <row r="4" spans="1:9" ht="18.75">
      <c r="B4" s="1628" t="s">
        <v>1021</v>
      </c>
      <c r="C4" s="1628"/>
      <c r="D4" s="1628"/>
      <c r="E4" s="1628"/>
      <c r="F4" s="1628"/>
      <c r="G4" s="1628"/>
      <c r="H4" s="1628"/>
    </row>
    <row r="5" spans="1:9">
      <c r="B5" s="1628" t="str">
        <f>"Base Period 12 Months Ending December 31, "&amp;Automation!$B$6</f>
        <v>Base Period 12 Months Ending December 31, 2018</v>
      </c>
      <c r="C5" s="1628"/>
      <c r="D5" s="1628"/>
      <c r="E5" s="1628"/>
      <c r="F5" s="1628"/>
      <c r="G5" s="1628"/>
      <c r="H5" s="1628"/>
    </row>
    <row r="6" spans="1:9" ht="15.6" customHeight="1">
      <c r="B6" s="1645" t="s">
        <v>3</v>
      </c>
      <c r="C6" s="1645"/>
      <c r="D6" s="1645"/>
      <c r="E6" s="1645"/>
      <c r="F6" s="1645"/>
      <c r="G6" s="1645"/>
      <c r="H6" s="1645"/>
    </row>
    <row r="8" spans="1:9">
      <c r="B8" s="1428"/>
      <c r="C8" s="1427" t="s">
        <v>5</v>
      </c>
      <c r="D8" s="1427"/>
      <c r="E8" s="1427" t="s">
        <v>6</v>
      </c>
      <c r="F8" s="1427"/>
      <c r="G8" s="1429" t="s">
        <v>885</v>
      </c>
      <c r="H8" s="1427"/>
    </row>
    <row r="9" spans="1:9">
      <c r="A9" s="600" t="s">
        <v>4</v>
      </c>
      <c r="B9" s="1428"/>
      <c r="C9" s="1427" t="s">
        <v>886</v>
      </c>
      <c r="D9" s="1427"/>
      <c r="E9" s="1427" t="s">
        <v>886</v>
      </c>
      <c r="F9" s="1427"/>
      <c r="G9" s="1427"/>
      <c r="H9" s="1427"/>
      <c r="I9" s="600" t="s">
        <v>4</v>
      </c>
    </row>
    <row r="10" spans="1:9">
      <c r="A10" s="456" t="s">
        <v>25</v>
      </c>
      <c r="B10" s="1431" t="s">
        <v>72</v>
      </c>
      <c r="C10" s="1432" t="s">
        <v>887</v>
      </c>
      <c r="D10" s="1432"/>
      <c r="E10" s="1432" t="s">
        <v>888</v>
      </c>
      <c r="F10" s="1432"/>
      <c r="G10" s="1431" t="s">
        <v>31</v>
      </c>
      <c r="H10" s="1431" t="s">
        <v>9</v>
      </c>
      <c r="I10" s="456" t="s">
        <v>25</v>
      </c>
    </row>
    <row r="11" spans="1:9">
      <c r="A11" s="456"/>
      <c r="B11" s="444"/>
      <c r="C11" s="1433"/>
      <c r="D11" s="1433"/>
      <c r="E11" s="1433"/>
      <c r="F11" s="1433"/>
      <c r="G11" s="806"/>
      <c r="H11" s="806"/>
      <c r="I11" s="456"/>
    </row>
    <row r="12" spans="1:9">
      <c r="A12" s="600">
        <v>1</v>
      </c>
      <c r="B12" s="714" t="s">
        <v>717</v>
      </c>
      <c r="C12" s="1434"/>
      <c r="D12" s="1434"/>
      <c r="E12" s="1434"/>
      <c r="F12" s="1434"/>
      <c r="G12" s="804"/>
      <c r="H12" s="804"/>
      <c r="I12" s="600">
        <f>A12</f>
        <v>1</v>
      </c>
    </row>
    <row r="13" spans="1:9">
      <c r="A13" s="600">
        <f>A12+1</f>
        <v>2</v>
      </c>
      <c r="B13" s="714" t="s">
        <v>889</v>
      </c>
      <c r="C13" s="793">
        <v>0</v>
      </c>
      <c r="D13" s="793"/>
      <c r="E13" s="793">
        <v>0</v>
      </c>
      <c r="F13" s="1435"/>
      <c r="G13" s="650">
        <f>SUM(C13:E13)</f>
        <v>0</v>
      </c>
      <c r="H13" s="689"/>
      <c r="I13" s="600">
        <f>I12+1</f>
        <v>2</v>
      </c>
    </row>
    <row r="14" spans="1:9">
      <c r="A14" s="600">
        <f t="shared" ref="A14:A33" si="0">A13+1</f>
        <v>3</v>
      </c>
      <c r="B14" s="714" t="s">
        <v>890</v>
      </c>
      <c r="C14" s="825">
        <v>0</v>
      </c>
      <c r="D14" s="825"/>
      <c r="E14" s="825">
        <v>0</v>
      </c>
      <c r="F14" s="825"/>
      <c r="G14" s="301">
        <f>SUM(C14:E14)</f>
        <v>0</v>
      </c>
      <c r="H14" s="689"/>
      <c r="I14" s="600">
        <f t="shared" ref="I14:I33" si="1">I13+1</f>
        <v>3</v>
      </c>
    </row>
    <row r="15" spans="1:9">
      <c r="A15" s="600">
        <f t="shared" si="0"/>
        <v>4</v>
      </c>
      <c r="B15" s="714" t="s">
        <v>891</v>
      </c>
      <c r="C15" s="825">
        <v>0</v>
      </c>
      <c r="D15" s="825"/>
      <c r="E15" s="825">
        <v>0</v>
      </c>
      <c r="F15" s="825"/>
      <c r="G15" s="301">
        <f>SUM(C15:E15)</f>
        <v>0</v>
      </c>
      <c r="H15" s="689"/>
      <c r="I15" s="600">
        <f t="shared" si="1"/>
        <v>4</v>
      </c>
    </row>
    <row r="16" spans="1:9">
      <c r="A16" s="600">
        <f t="shared" si="0"/>
        <v>5</v>
      </c>
      <c r="B16" s="714"/>
      <c r="C16" s="825">
        <v>0</v>
      </c>
      <c r="D16" s="825"/>
      <c r="E16" s="825">
        <v>0</v>
      </c>
      <c r="F16" s="301"/>
      <c r="G16" s="301">
        <f>SUM(C16:E16)</f>
        <v>0</v>
      </c>
      <c r="H16" s="301"/>
      <c r="I16" s="600">
        <f t="shared" si="1"/>
        <v>5</v>
      </c>
    </row>
    <row r="17" spans="1:9">
      <c r="A17" s="600">
        <f t="shared" si="0"/>
        <v>6</v>
      </c>
      <c r="C17" s="301">
        <v>0</v>
      </c>
      <c r="D17" s="301"/>
      <c r="E17" s="301">
        <v>0</v>
      </c>
      <c r="F17" s="301"/>
      <c r="G17" s="301">
        <f>SUM(C17:E17)</f>
        <v>0</v>
      </c>
      <c r="H17" s="301"/>
      <c r="I17" s="600">
        <f t="shared" si="1"/>
        <v>6</v>
      </c>
    </row>
    <row r="18" spans="1:9" ht="16.5" thickBot="1">
      <c r="A18" s="600">
        <f t="shared" si="0"/>
        <v>7</v>
      </c>
      <c r="B18" s="1135" t="s">
        <v>719</v>
      </c>
      <c r="C18" s="1436">
        <f t="shared" ref="C18:G18" si="2">SUM(C13:C17)</f>
        <v>0</v>
      </c>
      <c r="D18" s="554"/>
      <c r="E18" s="1436">
        <f>SUM(E13:E17)</f>
        <v>0</v>
      </c>
      <c r="F18" s="301"/>
      <c r="G18" s="1436">
        <f t="shared" si="2"/>
        <v>0</v>
      </c>
      <c r="H18" s="1437" t="str">
        <f>"Sum Lines "&amp;A13&amp;" thru "&amp;A17</f>
        <v>Sum Lines 2 thru 6</v>
      </c>
      <c r="I18" s="600">
        <f t="shared" si="1"/>
        <v>7</v>
      </c>
    </row>
    <row r="19" spans="1:9" ht="16.5" thickTop="1">
      <c r="A19" s="600">
        <f t="shared" si="0"/>
        <v>8</v>
      </c>
      <c r="C19" s="1438"/>
      <c r="D19" s="1438"/>
      <c r="E19" s="1438"/>
      <c r="F19" s="1438"/>
      <c r="G19" s="1438"/>
      <c r="H19" s="1438"/>
      <c r="I19" s="600">
        <f t="shared" si="1"/>
        <v>8</v>
      </c>
    </row>
    <row r="20" spans="1:9">
      <c r="A20" s="600">
        <f t="shared" si="0"/>
        <v>9</v>
      </c>
      <c r="B20" s="714" t="s">
        <v>718</v>
      </c>
      <c r="C20" s="1434"/>
      <c r="D20" s="1434"/>
      <c r="E20" s="1434"/>
      <c r="F20" s="1434"/>
      <c r="G20" s="804"/>
      <c r="H20" s="804"/>
      <c r="I20" s="600">
        <f t="shared" si="1"/>
        <v>9</v>
      </c>
    </row>
    <row r="21" spans="1:9">
      <c r="A21" s="600">
        <f t="shared" si="0"/>
        <v>10</v>
      </c>
      <c r="B21" s="1439" t="s">
        <v>892</v>
      </c>
      <c r="C21" s="650">
        <v>0</v>
      </c>
      <c r="D21" s="650"/>
      <c r="E21" s="650">
        <v>0</v>
      </c>
      <c r="F21" s="650"/>
      <c r="G21" s="650">
        <f>SUM(C21:E21)</f>
        <v>0</v>
      </c>
      <c r="H21" s="689"/>
      <c r="I21" s="600">
        <f t="shared" si="1"/>
        <v>10</v>
      </c>
    </row>
    <row r="22" spans="1:9">
      <c r="A22" s="600">
        <f t="shared" si="0"/>
        <v>11</v>
      </c>
      <c r="C22" s="301">
        <v>0</v>
      </c>
      <c r="D22" s="301"/>
      <c r="E22" s="301">
        <v>0</v>
      </c>
      <c r="F22" s="301"/>
      <c r="G22" s="301">
        <f>SUM(C22:E22)</f>
        <v>0</v>
      </c>
      <c r="H22" s="301"/>
      <c r="I22" s="600">
        <f t="shared" si="1"/>
        <v>11</v>
      </c>
    </row>
    <row r="23" spans="1:9">
      <c r="A23" s="600">
        <f t="shared" si="0"/>
        <v>12</v>
      </c>
      <c r="C23" s="301">
        <v>0</v>
      </c>
      <c r="D23" s="301"/>
      <c r="E23" s="301">
        <v>0</v>
      </c>
      <c r="F23" s="301"/>
      <c r="G23" s="301">
        <f>SUM(C23:E23)</f>
        <v>0</v>
      </c>
      <c r="H23" s="301"/>
      <c r="I23" s="600">
        <f t="shared" si="1"/>
        <v>12</v>
      </c>
    </row>
    <row r="24" spans="1:9">
      <c r="A24" s="600">
        <f t="shared" si="0"/>
        <v>13</v>
      </c>
      <c r="C24" s="301">
        <v>0</v>
      </c>
      <c r="D24" s="301"/>
      <c r="E24" s="301">
        <v>0</v>
      </c>
      <c r="F24" s="301"/>
      <c r="G24" s="301">
        <f>SUM(C24:E24)</f>
        <v>0</v>
      </c>
      <c r="H24" s="301"/>
      <c r="I24" s="600">
        <f t="shared" si="1"/>
        <v>13</v>
      </c>
    </row>
    <row r="25" spans="1:9" ht="16.5" thickBot="1">
      <c r="A25" s="600">
        <f t="shared" si="0"/>
        <v>14</v>
      </c>
      <c r="B25" s="1135" t="s">
        <v>720</v>
      </c>
      <c r="C25" s="1436">
        <f>SUM(C21:C24)</f>
        <v>0</v>
      </c>
      <c r="D25" s="554"/>
      <c r="E25" s="1436">
        <f>SUM(E21:E24)</f>
        <v>0</v>
      </c>
      <c r="F25" s="301"/>
      <c r="G25" s="1436">
        <f>SUM(G21:G24)</f>
        <v>0</v>
      </c>
      <c r="H25" s="1437" t="str">
        <f>"Sum Lines "&amp;A21&amp;" thru "&amp;A24</f>
        <v>Sum Lines 10 thru 13</v>
      </c>
      <c r="I25" s="600">
        <f t="shared" si="1"/>
        <v>14</v>
      </c>
    </row>
    <row r="26" spans="1:9" ht="16.5" thickTop="1">
      <c r="A26" s="600">
        <f t="shared" si="0"/>
        <v>15</v>
      </c>
      <c r="I26" s="600">
        <f t="shared" si="1"/>
        <v>15</v>
      </c>
    </row>
    <row r="27" spans="1:9">
      <c r="A27" s="600">
        <f t="shared" si="0"/>
        <v>16</v>
      </c>
      <c r="B27" s="714" t="s">
        <v>893</v>
      </c>
      <c r="C27" s="1434"/>
      <c r="D27" s="1434"/>
      <c r="E27" s="1434"/>
      <c r="F27" s="1434"/>
      <c r="G27" s="804"/>
      <c r="H27" s="600"/>
      <c r="I27" s="600">
        <f t="shared" si="1"/>
        <v>16</v>
      </c>
    </row>
    <row r="28" spans="1:9">
      <c r="A28" s="600">
        <f t="shared" si="0"/>
        <v>17</v>
      </c>
      <c r="B28" s="714" t="s">
        <v>894</v>
      </c>
      <c r="C28" s="793">
        <v>0</v>
      </c>
      <c r="D28" s="793"/>
      <c r="E28" s="793">
        <v>0</v>
      </c>
      <c r="F28" s="1435"/>
      <c r="G28" s="650">
        <f>SUM(C28:E28)</f>
        <v>0</v>
      </c>
      <c r="H28" s="689"/>
      <c r="I28" s="600">
        <f t="shared" si="1"/>
        <v>17</v>
      </c>
    </row>
    <row r="29" spans="1:9">
      <c r="A29" s="600">
        <f t="shared" si="0"/>
        <v>18</v>
      </c>
      <c r="B29" s="714"/>
      <c r="C29" s="825">
        <v>0</v>
      </c>
      <c r="D29" s="825"/>
      <c r="E29" s="825">
        <v>0</v>
      </c>
      <c r="F29" s="301"/>
      <c r="G29" s="301">
        <f>SUM(C29:E29)</f>
        <v>0</v>
      </c>
      <c r="H29" s="600"/>
      <c r="I29" s="600">
        <f t="shared" si="1"/>
        <v>18</v>
      </c>
    </row>
    <row r="30" spans="1:9">
      <c r="A30" s="600">
        <f t="shared" si="0"/>
        <v>19</v>
      </c>
      <c r="B30" s="714"/>
      <c r="C30" s="301">
        <v>0</v>
      </c>
      <c r="D30" s="301"/>
      <c r="E30" s="301">
        <v>0</v>
      </c>
      <c r="F30" s="301"/>
      <c r="G30" s="301">
        <f>SUM(C30:E30)</f>
        <v>0</v>
      </c>
      <c r="H30" s="301"/>
      <c r="I30" s="600">
        <f t="shared" si="1"/>
        <v>19</v>
      </c>
    </row>
    <row r="31" spans="1:9">
      <c r="A31" s="600">
        <f t="shared" si="0"/>
        <v>20</v>
      </c>
      <c r="B31" s="714"/>
      <c r="C31" s="301">
        <v>0</v>
      </c>
      <c r="D31" s="301"/>
      <c r="E31" s="301">
        <v>0</v>
      </c>
      <c r="F31" s="301"/>
      <c r="G31" s="301">
        <f>SUM(C31:E31)</f>
        <v>0</v>
      </c>
      <c r="H31" s="301"/>
      <c r="I31" s="600">
        <f t="shared" si="1"/>
        <v>20</v>
      </c>
    </row>
    <row r="32" spans="1:9">
      <c r="A32" s="600">
        <f t="shared" si="0"/>
        <v>21</v>
      </c>
      <c r="B32" s="714"/>
      <c r="C32" s="301">
        <v>0</v>
      </c>
      <c r="D32" s="301"/>
      <c r="E32" s="301">
        <v>0</v>
      </c>
      <c r="F32" s="301"/>
      <c r="G32" s="301">
        <f>SUM(C32:E32)</f>
        <v>0</v>
      </c>
      <c r="H32" s="301"/>
      <c r="I32" s="600">
        <f t="shared" si="1"/>
        <v>21</v>
      </c>
    </row>
    <row r="33" spans="1:9" ht="16.5" thickBot="1">
      <c r="A33" s="600">
        <f t="shared" si="0"/>
        <v>22</v>
      </c>
      <c r="B33" s="1135" t="s">
        <v>895</v>
      </c>
      <c r="C33" s="1436">
        <f t="shared" ref="C33" si="3">SUM(C28:C32)</f>
        <v>0</v>
      </c>
      <c r="D33" s="554"/>
      <c r="E33" s="1436">
        <f>SUM(E28:E32)</f>
        <v>0</v>
      </c>
      <c r="F33" s="301"/>
      <c r="G33" s="1436">
        <f>SUM(G28:G32)</f>
        <v>0</v>
      </c>
      <c r="H33" s="1437" t="str">
        <f>"Sum Lines "&amp;A28&amp;" thru "&amp;A32</f>
        <v>Sum Lines 17 thru 21</v>
      </c>
      <c r="I33" s="600">
        <f t="shared" si="1"/>
        <v>22</v>
      </c>
    </row>
    <row r="34" spans="1:9" ht="16.5" thickTop="1"/>
    <row r="35" spans="1:9" s="1578" customFormat="1">
      <c r="A35" s="600"/>
      <c r="I35" s="600"/>
    </row>
    <row r="36" spans="1:9" ht="18.75">
      <c r="A36" s="646">
        <v>1</v>
      </c>
      <c r="B36" s="1577" t="s">
        <v>1022</v>
      </c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topLeftCell="A22" zoomScale="80" zoomScaleNormal="80" zoomScalePageLayoutView="50" workbookViewId="0">
      <selection activeCell="G43" sqref="G43"/>
    </sheetView>
  </sheetViews>
  <sheetFormatPr defaultColWidth="8.85546875" defaultRowHeight="15.75"/>
  <cols>
    <col min="1" max="1" width="5.28515625" style="600" customWidth="1"/>
    <col min="2" max="2" width="55.42578125" style="408" customWidth="1"/>
    <col min="3" max="5" width="15.5703125" style="408" customWidth="1"/>
    <col min="6" max="6" width="1.5703125" style="408" customWidth="1"/>
    <col min="7" max="7" width="16.85546875" style="408" customWidth="1"/>
    <col min="8" max="8" width="1.5703125" style="408" customWidth="1"/>
    <col min="9" max="9" width="38.7109375" style="732" customWidth="1"/>
    <col min="10" max="10" width="5.28515625" style="408" customWidth="1"/>
    <col min="11" max="11" width="27" style="408" bestFit="1" customWidth="1"/>
    <col min="12" max="12" width="15" style="408" bestFit="1" customWidth="1"/>
    <col min="13" max="13" width="10.42578125" style="408" bestFit="1" customWidth="1"/>
    <col min="14" max="16384" width="8.85546875" style="408"/>
  </cols>
  <sheetData>
    <row r="1" spans="1:10">
      <c r="A1" s="802"/>
      <c r="G1" s="684"/>
      <c r="H1" s="684"/>
      <c r="I1" s="803"/>
      <c r="J1" s="596"/>
    </row>
    <row r="2" spans="1:10">
      <c r="B2" s="1643" t="s">
        <v>0</v>
      </c>
      <c r="C2" s="1643"/>
      <c r="D2" s="1643"/>
      <c r="E2" s="1643"/>
      <c r="F2" s="1643"/>
      <c r="G2" s="1643"/>
      <c r="H2" s="1643"/>
      <c r="I2" s="1628"/>
      <c r="J2" s="600"/>
    </row>
    <row r="3" spans="1:10">
      <c r="B3" s="1643" t="s">
        <v>259</v>
      </c>
      <c r="C3" s="1643"/>
      <c r="D3" s="1643"/>
      <c r="E3" s="1643"/>
      <c r="F3" s="1643"/>
      <c r="G3" s="1643"/>
      <c r="H3" s="1643"/>
      <c r="I3" s="1628"/>
      <c r="J3" s="600"/>
    </row>
    <row r="4" spans="1:10">
      <c r="B4" s="1643" t="s">
        <v>234</v>
      </c>
      <c r="C4" s="1643"/>
      <c r="D4" s="1643"/>
      <c r="E4" s="1643"/>
      <c r="F4" s="1643"/>
      <c r="G4" s="1643"/>
      <c r="H4" s="1643"/>
      <c r="I4" s="1628"/>
      <c r="J4" s="600"/>
    </row>
    <row r="5" spans="1:10">
      <c r="B5" s="1644" t="str">
        <f>'A. Sec.1 - Direct Maintenance'!B5</f>
        <v>Base Period &amp; True-Up Period 12 - Months Ending December 31, 2018</v>
      </c>
      <c r="C5" s="1644"/>
      <c r="D5" s="1644"/>
      <c r="E5" s="1644"/>
      <c r="F5" s="1644"/>
      <c r="G5" s="1644"/>
      <c r="H5" s="1644"/>
      <c r="I5" s="1630"/>
      <c r="J5" s="600"/>
    </row>
    <row r="6" spans="1:10">
      <c r="B6" s="1645" t="s">
        <v>3</v>
      </c>
      <c r="C6" s="1646"/>
      <c r="D6" s="1646"/>
      <c r="E6" s="1646"/>
      <c r="F6" s="1646"/>
      <c r="G6" s="1646"/>
      <c r="H6" s="1646"/>
      <c r="I6" s="1646"/>
      <c r="J6" s="600"/>
    </row>
    <row r="7" spans="1:10">
      <c r="B7" s="596"/>
      <c r="C7" s="596"/>
      <c r="D7" s="596"/>
      <c r="E7" s="596"/>
      <c r="F7" s="596"/>
      <c r="G7" s="596"/>
      <c r="H7" s="596"/>
      <c r="I7" s="804"/>
      <c r="J7" s="600"/>
    </row>
    <row r="8" spans="1:10">
      <c r="A8" s="600" t="s">
        <v>4</v>
      </c>
      <c r="B8" s="1202"/>
      <c r="C8" s="1202"/>
      <c r="D8" s="1202"/>
      <c r="E8" s="596" t="s">
        <v>511</v>
      </c>
      <c r="F8" s="1202"/>
      <c r="G8" s="1202"/>
      <c r="H8" s="1202"/>
      <c r="I8" s="804"/>
      <c r="J8" s="600" t="s">
        <v>4</v>
      </c>
    </row>
    <row r="9" spans="1:10">
      <c r="A9" s="456" t="s">
        <v>25</v>
      </c>
      <c r="B9" s="596"/>
      <c r="C9" s="596"/>
      <c r="D9" s="596"/>
      <c r="E9" s="598" t="s">
        <v>512</v>
      </c>
      <c r="F9" s="596"/>
      <c r="G9" s="679" t="s">
        <v>128</v>
      </c>
      <c r="H9" s="1202"/>
      <c r="I9" s="805" t="s">
        <v>9</v>
      </c>
      <c r="J9" s="456" t="s">
        <v>25</v>
      </c>
    </row>
    <row r="10" spans="1:10">
      <c r="B10" s="596"/>
      <c r="C10" s="596"/>
      <c r="D10" s="596"/>
      <c r="E10" s="596"/>
      <c r="F10" s="596"/>
      <c r="G10" s="596"/>
      <c r="H10" s="596"/>
      <c r="I10" s="806"/>
      <c r="J10" s="600"/>
    </row>
    <row r="11" spans="1:10">
      <c r="A11" s="600">
        <v>1</v>
      </c>
      <c r="B11" s="772" t="s">
        <v>235</v>
      </c>
      <c r="I11" s="804"/>
      <c r="J11" s="600">
        <f>A11</f>
        <v>1</v>
      </c>
    </row>
    <row r="12" spans="1:10">
      <c r="A12" s="600">
        <f>A11+1</f>
        <v>2</v>
      </c>
      <c r="B12" s="678" t="s">
        <v>541</v>
      </c>
      <c r="E12" s="833" t="s">
        <v>542</v>
      </c>
      <c r="G12" s="682">
        <v>4776266</v>
      </c>
      <c r="H12" s="1202"/>
      <c r="I12" s="808"/>
      <c r="J12" s="600">
        <f>J11+1</f>
        <v>2</v>
      </c>
    </row>
    <row r="13" spans="1:10">
      <c r="A13" s="600">
        <f t="shared" ref="A13:A65" si="0">A12+1</f>
        <v>3</v>
      </c>
      <c r="B13" s="678" t="s">
        <v>543</v>
      </c>
      <c r="E13" s="833" t="s">
        <v>544</v>
      </c>
      <c r="G13" s="685">
        <v>0</v>
      </c>
      <c r="H13" s="1202"/>
      <c r="I13" s="808"/>
      <c r="J13" s="600">
        <f t="shared" ref="J13:J65" si="1">J12+1</f>
        <v>3</v>
      </c>
    </row>
    <row r="14" spans="1:10">
      <c r="A14" s="600">
        <f t="shared" si="0"/>
        <v>4</v>
      </c>
      <c r="B14" s="678" t="s">
        <v>545</v>
      </c>
      <c r="E14" s="833" t="s">
        <v>546</v>
      </c>
      <c r="G14" s="685">
        <v>0</v>
      </c>
      <c r="H14" s="1202"/>
      <c r="I14" s="808"/>
      <c r="J14" s="600">
        <f t="shared" si="1"/>
        <v>4</v>
      </c>
    </row>
    <row r="15" spans="1:10">
      <c r="A15" s="600">
        <f t="shared" si="0"/>
        <v>5</v>
      </c>
      <c r="B15" s="678" t="s">
        <v>547</v>
      </c>
      <c r="E15" s="833" t="s">
        <v>548</v>
      </c>
      <c r="G15" s="685">
        <v>0</v>
      </c>
      <c r="H15" s="1202"/>
      <c r="I15" s="808"/>
      <c r="J15" s="600">
        <f t="shared" si="1"/>
        <v>5</v>
      </c>
    </row>
    <row r="16" spans="1:10">
      <c r="A16" s="600">
        <f t="shared" si="0"/>
        <v>6</v>
      </c>
      <c r="B16" s="678" t="s">
        <v>549</v>
      </c>
      <c r="E16" s="833" t="s">
        <v>550</v>
      </c>
      <c r="G16" s="685">
        <v>-12609.584859999999</v>
      </c>
      <c r="H16" s="1202"/>
      <c r="I16" s="808"/>
      <c r="J16" s="600">
        <f t="shared" si="1"/>
        <v>6</v>
      </c>
    </row>
    <row r="17" spans="1:10">
      <c r="A17" s="600">
        <f t="shared" si="0"/>
        <v>7</v>
      </c>
      <c r="B17" s="678" t="s">
        <v>551</v>
      </c>
      <c r="C17" s="678"/>
      <c r="D17" s="678"/>
      <c r="E17" s="678"/>
      <c r="F17" s="678"/>
      <c r="G17" s="773">
        <f>SUM(G12:G16)</f>
        <v>4763656.4151400002</v>
      </c>
      <c r="H17" s="644"/>
      <c r="I17" s="804" t="str">
        <f>"Sum Lines "&amp;A12&amp;" thru "&amp;A16</f>
        <v>Sum Lines 2 thru 6</v>
      </c>
      <c r="J17" s="600">
        <f t="shared" si="1"/>
        <v>7</v>
      </c>
    </row>
    <row r="18" spans="1:10">
      <c r="A18" s="600">
        <f t="shared" si="0"/>
        <v>8</v>
      </c>
      <c r="B18" s="678"/>
      <c r="I18" s="804"/>
      <c r="J18" s="600">
        <f t="shared" si="1"/>
        <v>8</v>
      </c>
    </row>
    <row r="19" spans="1:10">
      <c r="A19" s="600">
        <f t="shared" si="0"/>
        <v>9</v>
      </c>
      <c r="B19" s="807" t="s">
        <v>236</v>
      </c>
      <c r="G19" s="301"/>
      <c r="H19" s="301"/>
      <c r="I19" s="804"/>
      <c r="J19" s="600">
        <f t="shared" si="1"/>
        <v>9</v>
      </c>
    </row>
    <row r="20" spans="1:10">
      <c r="A20" s="600">
        <f t="shared" si="0"/>
        <v>10</v>
      </c>
      <c r="B20" s="408" t="s">
        <v>552</v>
      </c>
      <c r="E20" s="600" t="s">
        <v>553</v>
      </c>
      <c r="G20" s="682">
        <v>200012.28902</v>
      </c>
      <c r="H20" s="1202"/>
      <c r="I20" s="808"/>
      <c r="J20" s="600">
        <f t="shared" si="1"/>
        <v>10</v>
      </c>
    </row>
    <row r="21" spans="1:10">
      <c r="A21" s="600">
        <f t="shared" si="0"/>
        <v>11</v>
      </c>
      <c r="B21" s="408" t="s">
        <v>554</v>
      </c>
      <c r="E21" s="600" t="s">
        <v>555</v>
      </c>
      <c r="G21" s="685">
        <v>3450.8071800000002</v>
      </c>
      <c r="H21" s="1202"/>
      <c r="I21" s="808"/>
      <c r="J21" s="600">
        <f t="shared" si="1"/>
        <v>11</v>
      </c>
    </row>
    <row r="22" spans="1:10">
      <c r="A22" s="600">
        <f t="shared" si="0"/>
        <v>12</v>
      </c>
      <c r="B22" s="408" t="s">
        <v>556</v>
      </c>
      <c r="E22" s="600" t="s">
        <v>557</v>
      </c>
      <c r="G22" s="685">
        <v>2799.42463</v>
      </c>
      <c r="H22" s="1202"/>
      <c r="I22" s="808"/>
      <c r="J22" s="600">
        <f t="shared" si="1"/>
        <v>12</v>
      </c>
    </row>
    <row r="23" spans="1:10">
      <c r="A23" s="600">
        <f t="shared" si="0"/>
        <v>13</v>
      </c>
      <c r="B23" s="408" t="s">
        <v>558</v>
      </c>
      <c r="E23" s="600" t="s">
        <v>559</v>
      </c>
      <c r="G23" s="685">
        <v>0</v>
      </c>
      <c r="H23" s="1202"/>
      <c r="I23" s="808"/>
      <c r="J23" s="600">
        <f t="shared" si="1"/>
        <v>13</v>
      </c>
    </row>
    <row r="24" spans="1:10">
      <c r="A24" s="600">
        <f t="shared" si="0"/>
        <v>14</v>
      </c>
      <c r="B24" s="408" t="s">
        <v>560</v>
      </c>
      <c r="E24" s="600" t="s">
        <v>561</v>
      </c>
      <c r="G24" s="685">
        <v>0</v>
      </c>
      <c r="H24" s="1202"/>
      <c r="I24" s="808"/>
      <c r="J24" s="600">
        <f t="shared" si="1"/>
        <v>14</v>
      </c>
    </row>
    <row r="25" spans="1:10">
      <c r="A25" s="600">
        <f t="shared" si="0"/>
        <v>15</v>
      </c>
      <c r="B25" s="678" t="s">
        <v>562</v>
      </c>
      <c r="C25" s="678"/>
      <c r="D25" s="678"/>
      <c r="E25" s="678"/>
      <c r="F25" s="678"/>
      <c r="G25" s="809">
        <f>SUM(G20:G24)</f>
        <v>206262.52082999999</v>
      </c>
      <c r="H25" s="688"/>
      <c r="I25" s="804" t="str">
        <f>"Sum Lines "&amp;A20&amp;" thru "&amp;A24</f>
        <v>Sum Lines 10 thru 14</v>
      </c>
      <c r="J25" s="600">
        <f t="shared" si="1"/>
        <v>15</v>
      </c>
    </row>
    <row r="26" spans="1:10">
      <c r="A26" s="600">
        <f t="shared" si="0"/>
        <v>16</v>
      </c>
      <c r="B26" s="678"/>
      <c r="I26" s="804"/>
      <c r="J26" s="600">
        <f t="shared" si="1"/>
        <v>16</v>
      </c>
    </row>
    <row r="27" spans="1:10" ht="16.5" thickBot="1">
      <c r="A27" s="600">
        <f t="shared" si="0"/>
        <v>17</v>
      </c>
      <c r="B27" s="772" t="s">
        <v>237</v>
      </c>
      <c r="G27" s="810">
        <f>G25/G17</f>
        <v>4.329920188501632E-2</v>
      </c>
      <c r="H27" s="811"/>
      <c r="I27" s="804" t="str">
        <f>"Line "&amp;A25&amp;" / Line "&amp;A17</f>
        <v>Line 15 / Line 7</v>
      </c>
      <c r="J27" s="600">
        <f t="shared" si="1"/>
        <v>17</v>
      </c>
    </row>
    <row r="28" spans="1:10" ht="16.5" thickTop="1">
      <c r="A28" s="600">
        <f t="shared" si="0"/>
        <v>18</v>
      </c>
      <c r="B28" s="678"/>
      <c r="I28" s="804"/>
      <c r="J28" s="600">
        <f t="shared" si="1"/>
        <v>18</v>
      </c>
    </row>
    <row r="29" spans="1:10">
      <c r="A29" s="600">
        <f t="shared" si="0"/>
        <v>19</v>
      </c>
      <c r="B29" s="772" t="s">
        <v>238</v>
      </c>
      <c r="I29" s="804"/>
      <c r="J29" s="600">
        <f t="shared" si="1"/>
        <v>19</v>
      </c>
    </row>
    <row r="30" spans="1:10">
      <c r="A30" s="600">
        <f t="shared" si="0"/>
        <v>20</v>
      </c>
      <c r="B30" s="678" t="s">
        <v>563</v>
      </c>
      <c r="E30" s="600" t="s">
        <v>564</v>
      </c>
      <c r="G30" s="682">
        <v>0</v>
      </c>
      <c r="H30" s="1202"/>
      <c r="I30" s="808"/>
      <c r="J30" s="600">
        <f t="shared" si="1"/>
        <v>20</v>
      </c>
    </row>
    <row r="31" spans="1:10">
      <c r="A31" s="600">
        <f t="shared" si="0"/>
        <v>21</v>
      </c>
      <c r="B31" s="678" t="s">
        <v>565</v>
      </c>
      <c r="C31" s="678"/>
      <c r="D31" s="678"/>
      <c r="E31" s="600" t="s">
        <v>566</v>
      </c>
      <c r="G31" s="812">
        <v>0</v>
      </c>
      <c r="H31" s="1202"/>
      <c r="I31" s="808"/>
      <c r="J31" s="600">
        <f t="shared" si="1"/>
        <v>21</v>
      </c>
    </row>
    <row r="32" spans="1:10" ht="16.5" thickBot="1">
      <c r="A32" s="600">
        <f t="shared" si="0"/>
        <v>22</v>
      </c>
      <c r="B32" s="678" t="s">
        <v>567</v>
      </c>
      <c r="G32" s="810">
        <f>IFERROR((G31/G30),0)</f>
        <v>0</v>
      </c>
      <c r="H32" s="811"/>
      <c r="I32" s="804" t="str">
        <f>"Line "&amp;A31&amp;" / Line "&amp;A30</f>
        <v>Line 21 / Line 20</v>
      </c>
      <c r="J32" s="600">
        <f t="shared" si="1"/>
        <v>22</v>
      </c>
    </row>
    <row r="33" spans="1:12" ht="16.5" thickTop="1">
      <c r="A33" s="600">
        <f t="shared" si="0"/>
        <v>23</v>
      </c>
      <c r="B33" s="678"/>
      <c r="I33" s="804"/>
      <c r="J33" s="600">
        <f t="shared" si="1"/>
        <v>23</v>
      </c>
    </row>
    <row r="34" spans="1:12">
      <c r="A34" s="600">
        <f t="shared" si="0"/>
        <v>24</v>
      </c>
      <c r="B34" s="772" t="s">
        <v>239</v>
      </c>
      <c r="I34" s="804"/>
      <c r="J34" s="600">
        <f t="shared" si="1"/>
        <v>24</v>
      </c>
      <c r="K34" s="707"/>
      <c r="L34" s="707"/>
    </row>
    <row r="35" spans="1:12">
      <c r="A35" s="600">
        <f t="shared" si="0"/>
        <v>25</v>
      </c>
      <c r="B35" s="678" t="s">
        <v>568</v>
      </c>
      <c r="E35" s="600" t="s">
        <v>569</v>
      </c>
      <c r="G35" s="682">
        <v>6011923.3266400006</v>
      </c>
      <c r="H35" s="1202"/>
      <c r="I35" s="808"/>
      <c r="J35" s="600">
        <f t="shared" si="1"/>
        <v>25</v>
      </c>
      <c r="K35" s="643"/>
      <c r="L35" s="1119"/>
    </row>
    <row r="36" spans="1:12">
      <c r="A36" s="600">
        <f t="shared" si="0"/>
        <v>26</v>
      </c>
      <c r="B36" s="678" t="s">
        <v>570</v>
      </c>
      <c r="E36" s="600" t="s">
        <v>564</v>
      </c>
      <c r="G36" s="813">
        <v>0</v>
      </c>
      <c r="H36" s="813"/>
      <c r="I36" s="804" t="str">
        <f>"Negative of Line "&amp;A30&amp;" Above"</f>
        <v>Negative of Line 20 Above</v>
      </c>
      <c r="J36" s="600">
        <f t="shared" si="1"/>
        <v>26</v>
      </c>
      <c r="K36" s="707"/>
      <c r="L36" s="707"/>
    </row>
    <row r="37" spans="1:12">
      <c r="A37" s="600">
        <f t="shared" si="0"/>
        <v>27</v>
      </c>
      <c r="B37" s="678" t="s">
        <v>571</v>
      </c>
      <c r="E37" s="600" t="s">
        <v>572</v>
      </c>
      <c r="G37" s="685">
        <v>0</v>
      </c>
      <c r="H37" s="1202"/>
      <c r="I37" s="808"/>
      <c r="J37" s="600">
        <f t="shared" si="1"/>
        <v>27</v>
      </c>
      <c r="K37" s="707"/>
      <c r="L37" s="707"/>
    </row>
    <row r="38" spans="1:12">
      <c r="A38" s="600">
        <f t="shared" si="0"/>
        <v>28</v>
      </c>
      <c r="B38" s="678" t="s">
        <v>573</v>
      </c>
      <c r="E38" s="600" t="s">
        <v>574</v>
      </c>
      <c r="G38" s="685">
        <v>9578.0788499999999</v>
      </c>
      <c r="H38" s="1202"/>
      <c r="I38" s="808"/>
      <c r="J38" s="600">
        <f t="shared" si="1"/>
        <v>28</v>
      </c>
    </row>
    <row r="39" spans="1:12" ht="16.5" thickBot="1">
      <c r="A39" s="600">
        <f t="shared" si="0"/>
        <v>29</v>
      </c>
      <c r="B39" s="678" t="s">
        <v>575</v>
      </c>
      <c r="C39" s="678"/>
      <c r="D39" s="678"/>
      <c r="E39" s="678"/>
      <c r="F39" s="678"/>
      <c r="G39" s="814">
        <f>SUM(G35:G38)</f>
        <v>6021501.4054900007</v>
      </c>
      <c r="H39" s="815"/>
      <c r="I39" s="804" t="str">
        <f>"Sum Lines "&amp;A35&amp;" thru "&amp;A38</f>
        <v>Sum Lines 25 thru 28</v>
      </c>
      <c r="J39" s="600">
        <f t="shared" si="1"/>
        <v>29</v>
      </c>
    </row>
    <row r="40" spans="1:12" ht="17.25" thickTop="1" thickBot="1">
      <c r="A40" s="816">
        <f t="shared" si="0"/>
        <v>30</v>
      </c>
      <c r="B40" s="817"/>
      <c r="C40" s="485"/>
      <c r="D40" s="485"/>
      <c r="E40" s="485"/>
      <c r="F40" s="485"/>
      <c r="G40" s="485"/>
      <c r="H40" s="485"/>
      <c r="I40" s="818"/>
      <c r="J40" s="816">
        <f t="shared" si="1"/>
        <v>30</v>
      </c>
    </row>
    <row r="41" spans="1:12">
      <c r="A41" s="456">
        <f>A40+1</f>
        <v>31</v>
      </c>
      <c r="B41" s="819"/>
      <c r="C41" s="450"/>
      <c r="D41" s="450"/>
      <c r="E41" s="450"/>
      <c r="F41" s="450"/>
      <c r="G41" s="450"/>
      <c r="H41" s="450"/>
      <c r="I41" s="806"/>
      <c r="J41" s="456">
        <f>J40+1</f>
        <v>31</v>
      </c>
    </row>
    <row r="42" spans="1:12" ht="19.5" thickBot="1">
      <c r="A42" s="600">
        <f>A41+1</f>
        <v>32</v>
      </c>
      <c r="B42" s="772" t="s">
        <v>966</v>
      </c>
      <c r="G42" s="820">
        <v>0.112</v>
      </c>
      <c r="H42" s="1202"/>
      <c r="I42" s="804" t="s">
        <v>576</v>
      </c>
      <c r="J42" s="600">
        <f>J41+1</f>
        <v>32</v>
      </c>
    </row>
    <row r="43" spans="1:12" ht="16.5" thickTop="1">
      <c r="A43" s="600">
        <f t="shared" si="0"/>
        <v>33</v>
      </c>
      <c r="B43" s="678"/>
      <c r="C43" s="821" t="s">
        <v>5</v>
      </c>
      <c r="D43" s="821" t="s">
        <v>6</v>
      </c>
      <c r="E43" s="821" t="s">
        <v>232</v>
      </c>
      <c r="F43" s="821"/>
      <c r="G43" s="821" t="s">
        <v>240</v>
      </c>
      <c r="H43" s="821"/>
      <c r="I43" s="804"/>
      <c r="J43" s="600">
        <f t="shared" si="1"/>
        <v>33</v>
      </c>
    </row>
    <row r="44" spans="1:12">
      <c r="A44" s="600">
        <f t="shared" si="0"/>
        <v>34</v>
      </c>
      <c r="B44" s="678"/>
      <c r="D44" s="600" t="s">
        <v>241</v>
      </c>
      <c r="E44" s="600" t="s">
        <v>260</v>
      </c>
      <c r="F44" s="600"/>
      <c r="G44" s="600" t="s">
        <v>242</v>
      </c>
      <c r="H44" s="600"/>
      <c r="I44" s="804"/>
      <c r="J44" s="600">
        <f t="shared" si="1"/>
        <v>34</v>
      </c>
    </row>
    <row r="45" spans="1:12" ht="18.75">
      <c r="A45" s="600">
        <f t="shared" si="0"/>
        <v>35</v>
      </c>
      <c r="B45" s="772" t="s">
        <v>243</v>
      </c>
      <c r="C45" s="497" t="s">
        <v>676</v>
      </c>
      <c r="D45" s="497" t="s">
        <v>244</v>
      </c>
      <c r="E45" s="497" t="s">
        <v>261</v>
      </c>
      <c r="F45" s="497"/>
      <c r="G45" s="497" t="s">
        <v>245</v>
      </c>
      <c r="H45" s="456"/>
      <c r="I45" s="804"/>
      <c r="J45" s="600">
        <f t="shared" si="1"/>
        <v>35</v>
      </c>
    </row>
    <row r="46" spans="1:12">
      <c r="A46" s="600">
        <f t="shared" si="0"/>
        <v>36</v>
      </c>
      <c r="B46" s="678"/>
      <c r="I46" s="804"/>
      <c r="J46" s="600">
        <f t="shared" si="1"/>
        <v>36</v>
      </c>
    </row>
    <row r="47" spans="1:12">
      <c r="A47" s="600">
        <f t="shared" si="0"/>
        <v>37</v>
      </c>
      <c r="B47" s="678" t="s">
        <v>246</v>
      </c>
      <c r="C47" s="793">
        <f>G17</f>
        <v>4763656.4151400002</v>
      </c>
      <c r="D47" s="822">
        <f>C47/C$50</f>
        <v>0.4416862965164971</v>
      </c>
      <c r="E47" s="823">
        <f>G27</f>
        <v>4.329920188501632E-2</v>
      </c>
      <c r="G47" s="824">
        <f>D47*E47</f>
        <v>1.9124664122712989E-2</v>
      </c>
      <c r="H47" s="824"/>
      <c r="I47" s="804" t="str">
        <f>"Col. c = Line "&amp;A27&amp;" Above"</f>
        <v>Col. c = Line 17 Above</v>
      </c>
      <c r="J47" s="600">
        <f t="shared" si="1"/>
        <v>37</v>
      </c>
    </row>
    <row r="48" spans="1:12">
      <c r="A48" s="600">
        <f t="shared" si="0"/>
        <v>38</v>
      </c>
      <c r="B48" s="678" t="s">
        <v>247</v>
      </c>
      <c r="C48" s="825">
        <f>G30</f>
        <v>0</v>
      </c>
      <c r="D48" s="822">
        <f>C48/C$50</f>
        <v>0</v>
      </c>
      <c r="E48" s="823">
        <f>G32</f>
        <v>0</v>
      </c>
      <c r="G48" s="824">
        <f>D48*E48</f>
        <v>0</v>
      </c>
      <c r="H48" s="824"/>
      <c r="I48" s="804" t="str">
        <f>"Col. c = Line "&amp;A32&amp;" Above"</f>
        <v>Col. c = Line 22 Above</v>
      </c>
      <c r="J48" s="600">
        <f t="shared" si="1"/>
        <v>38</v>
      </c>
    </row>
    <row r="49" spans="1:10">
      <c r="A49" s="600">
        <f t="shared" si="0"/>
        <v>39</v>
      </c>
      <c r="B49" s="678" t="s">
        <v>248</v>
      </c>
      <c r="C49" s="825">
        <f>G39</f>
        <v>6021501.4054900007</v>
      </c>
      <c r="D49" s="826">
        <f>C49/C$50</f>
        <v>0.55831370348350295</v>
      </c>
      <c r="E49" s="827">
        <f>G42</f>
        <v>0.112</v>
      </c>
      <c r="G49" s="828">
        <f>D49*E49</f>
        <v>6.2531134790152335E-2</v>
      </c>
      <c r="H49" s="811"/>
      <c r="I49" s="804" t="str">
        <f>"Col. c = Line "&amp;A42&amp;" Above"</f>
        <v>Col. c = Line 32 Above</v>
      </c>
      <c r="J49" s="600">
        <f t="shared" si="1"/>
        <v>39</v>
      </c>
    </row>
    <row r="50" spans="1:10" ht="16.5" thickBot="1">
      <c r="A50" s="600">
        <f t="shared" si="0"/>
        <v>40</v>
      </c>
      <c r="B50" s="678" t="s">
        <v>577</v>
      </c>
      <c r="C50" s="829">
        <f>SUM(C47:C49)</f>
        <v>10785157.820630001</v>
      </c>
      <c r="D50" s="830">
        <f>SUM(D47:D49)</f>
        <v>1</v>
      </c>
      <c r="E50" s="707"/>
      <c r="G50" s="810">
        <f>SUM(G47:G49)</f>
        <v>8.1655798912865327E-2</v>
      </c>
      <c r="H50" s="811"/>
      <c r="I50" s="804" t="str">
        <f>"Sum Lines "&amp;A47&amp;" thru "&amp;A49</f>
        <v>Sum Lines 37 thru 39</v>
      </c>
      <c r="J50" s="600">
        <f t="shared" si="1"/>
        <v>40</v>
      </c>
    </row>
    <row r="51" spans="1:10" ht="16.5" thickTop="1">
      <c r="A51" s="600">
        <f t="shared" si="0"/>
        <v>41</v>
      </c>
      <c r="B51" s="678"/>
      <c r="C51" s="707"/>
      <c r="D51" s="707"/>
      <c r="E51" s="707"/>
      <c r="I51" s="804"/>
      <c r="J51" s="600">
        <f t="shared" si="1"/>
        <v>41</v>
      </c>
    </row>
    <row r="52" spans="1:10" ht="16.5" thickBot="1">
      <c r="A52" s="600">
        <f t="shared" si="0"/>
        <v>42</v>
      </c>
      <c r="B52" s="772" t="s">
        <v>262</v>
      </c>
      <c r="C52" s="707"/>
      <c r="D52" s="707"/>
      <c r="E52" s="707"/>
      <c r="G52" s="810">
        <f>G48+G49</f>
        <v>6.2531134790152335E-2</v>
      </c>
      <c r="H52" s="811"/>
      <c r="I52" s="804" t="str">
        <f>"Line "&amp;A48&amp;" + Line "&amp;A49&amp;"; Col. d"</f>
        <v>Line 38 + Line 39; Col. d</v>
      </c>
      <c r="J52" s="600">
        <f t="shared" si="1"/>
        <v>42</v>
      </c>
    </row>
    <row r="53" spans="1:10" ht="17.25" thickTop="1" thickBot="1">
      <c r="A53" s="816">
        <f t="shared" si="0"/>
        <v>43</v>
      </c>
      <c r="B53" s="1524"/>
      <c r="C53" s="485"/>
      <c r="D53" s="485"/>
      <c r="E53" s="485"/>
      <c r="F53" s="485"/>
      <c r="G53" s="1525"/>
      <c r="H53" s="1525"/>
      <c r="I53" s="818"/>
      <c r="J53" s="816">
        <f t="shared" si="1"/>
        <v>43</v>
      </c>
    </row>
    <row r="54" spans="1:10">
      <c r="A54" s="600">
        <f t="shared" si="0"/>
        <v>44</v>
      </c>
      <c r="B54" s="772"/>
      <c r="G54" s="834"/>
      <c r="H54" s="834"/>
      <c r="I54" s="804"/>
      <c r="J54" s="600">
        <f t="shared" si="1"/>
        <v>44</v>
      </c>
    </row>
    <row r="55" spans="1:10" s="1482" customFormat="1" ht="16.5" thickBot="1">
      <c r="A55" s="600">
        <f t="shared" si="0"/>
        <v>45</v>
      </c>
      <c r="B55" s="772" t="s">
        <v>997</v>
      </c>
      <c r="E55" s="707"/>
      <c r="G55" s="1555">
        <v>0</v>
      </c>
      <c r="H55" s="834"/>
      <c r="I55" s="804" t="s">
        <v>130</v>
      </c>
      <c r="J55" s="600">
        <f t="shared" si="1"/>
        <v>45</v>
      </c>
    </row>
    <row r="56" spans="1:10" s="1482" customFormat="1" ht="16.5" thickTop="1">
      <c r="A56" s="600">
        <f t="shared" si="0"/>
        <v>46</v>
      </c>
      <c r="B56" s="678"/>
      <c r="C56" s="832" t="s">
        <v>5</v>
      </c>
      <c r="D56" s="832" t="s">
        <v>6</v>
      </c>
      <c r="E56" s="832" t="s">
        <v>232</v>
      </c>
      <c r="F56" s="821"/>
      <c r="G56" s="821" t="s">
        <v>240</v>
      </c>
      <c r="H56" s="834"/>
      <c r="I56" s="804"/>
      <c r="J56" s="600">
        <f t="shared" si="1"/>
        <v>46</v>
      </c>
    </row>
    <row r="57" spans="1:10" s="1482" customFormat="1">
      <c r="A57" s="600">
        <f t="shared" si="0"/>
        <v>47</v>
      </c>
      <c r="B57" s="678"/>
      <c r="C57" s="707"/>
      <c r="D57" s="833" t="s">
        <v>241</v>
      </c>
      <c r="E57" s="833" t="s">
        <v>260</v>
      </c>
      <c r="F57" s="600"/>
      <c r="G57" s="600" t="s">
        <v>242</v>
      </c>
      <c r="H57" s="834"/>
      <c r="I57" s="804"/>
      <c r="J57" s="600">
        <f t="shared" si="1"/>
        <v>47</v>
      </c>
    </row>
    <row r="58" spans="1:10" s="1482" customFormat="1" ht="18.75">
      <c r="A58" s="600">
        <f t="shared" si="0"/>
        <v>48</v>
      </c>
      <c r="B58" s="772" t="s">
        <v>964</v>
      </c>
      <c r="C58" s="1526" t="s">
        <v>676</v>
      </c>
      <c r="D58" s="1526" t="s">
        <v>244</v>
      </c>
      <c r="E58" s="1526" t="s">
        <v>261</v>
      </c>
      <c r="F58" s="1430"/>
      <c r="G58" s="1430" t="s">
        <v>245</v>
      </c>
      <c r="H58" s="834"/>
      <c r="I58" s="804"/>
      <c r="J58" s="600">
        <f t="shared" si="1"/>
        <v>48</v>
      </c>
    </row>
    <row r="59" spans="1:10" s="1482" customFormat="1">
      <c r="A59" s="600">
        <f t="shared" si="0"/>
        <v>49</v>
      </c>
      <c r="B59" s="678"/>
      <c r="C59" s="707"/>
      <c r="D59" s="707"/>
      <c r="G59" s="834"/>
      <c r="H59" s="834"/>
      <c r="I59" s="804"/>
      <c r="J59" s="600">
        <f t="shared" si="1"/>
        <v>49</v>
      </c>
    </row>
    <row r="60" spans="1:10" s="1482" customFormat="1">
      <c r="A60" s="600">
        <f t="shared" si="0"/>
        <v>50</v>
      </c>
      <c r="B60" s="678" t="s">
        <v>246</v>
      </c>
      <c r="C60" s="1556">
        <v>0</v>
      </c>
      <c r="D60" s="1558">
        <v>0</v>
      </c>
      <c r="E60" s="1560">
        <v>0</v>
      </c>
      <c r="G60" s="824">
        <f>D60*E60</f>
        <v>0</v>
      </c>
      <c r="H60" s="834"/>
      <c r="I60" s="804" t="s">
        <v>130</v>
      </c>
      <c r="J60" s="600">
        <f t="shared" si="1"/>
        <v>50</v>
      </c>
    </row>
    <row r="61" spans="1:10" s="1482" customFormat="1">
      <c r="A61" s="600">
        <f t="shared" si="0"/>
        <v>51</v>
      </c>
      <c r="B61" s="678" t="s">
        <v>247</v>
      </c>
      <c r="C61" s="1557">
        <v>0</v>
      </c>
      <c r="D61" s="1558">
        <v>0</v>
      </c>
      <c r="E61" s="1560">
        <v>0</v>
      </c>
      <c r="G61" s="824">
        <f>D61*E61</f>
        <v>0</v>
      </c>
      <c r="H61" s="834"/>
      <c r="I61" s="804" t="s">
        <v>130</v>
      </c>
      <c r="J61" s="600">
        <f t="shared" si="1"/>
        <v>51</v>
      </c>
    </row>
    <row r="62" spans="1:10" s="1482" customFormat="1">
      <c r="A62" s="600">
        <f t="shared" si="0"/>
        <v>52</v>
      </c>
      <c r="B62" s="678" t="s">
        <v>248</v>
      </c>
      <c r="C62" s="1557">
        <v>0</v>
      </c>
      <c r="D62" s="1559">
        <v>0</v>
      </c>
      <c r="E62" s="1561">
        <v>0</v>
      </c>
      <c r="G62" s="1528">
        <f>D62*E62</f>
        <v>0</v>
      </c>
      <c r="H62" s="834"/>
      <c r="I62" s="804" t="s">
        <v>130</v>
      </c>
      <c r="J62" s="600">
        <f t="shared" si="1"/>
        <v>52</v>
      </c>
    </row>
    <row r="63" spans="1:10" s="1482" customFormat="1" ht="16.5" thickBot="1">
      <c r="A63" s="600">
        <f t="shared" si="0"/>
        <v>53</v>
      </c>
      <c r="B63" s="678" t="s">
        <v>577</v>
      </c>
      <c r="C63" s="1527">
        <f>SUM(C60:C62)</f>
        <v>0</v>
      </c>
      <c r="D63" s="810">
        <f>SUM(D60:D62)</f>
        <v>0</v>
      </c>
      <c r="G63" s="810">
        <f>SUM(G60:G62)</f>
        <v>0</v>
      </c>
      <c r="H63" s="834"/>
      <c r="I63" s="804" t="str">
        <f>"Sum Lines "&amp;A60&amp;" thru "&amp;A62</f>
        <v>Sum Lines 50 thru 52</v>
      </c>
      <c r="J63" s="600">
        <f t="shared" si="1"/>
        <v>53</v>
      </c>
    </row>
    <row r="64" spans="1:10" s="1482" customFormat="1" ht="16.5" thickTop="1">
      <c r="A64" s="600">
        <f t="shared" si="0"/>
        <v>54</v>
      </c>
      <c r="B64" s="678"/>
      <c r="H64" s="834"/>
      <c r="I64" s="804"/>
      <c r="J64" s="600">
        <f t="shared" si="1"/>
        <v>54</v>
      </c>
    </row>
    <row r="65" spans="1:10" s="1482" customFormat="1" ht="16.5" thickBot="1">
      <c r="A65" s="600">
        <f t="shared" si="0"/>
        <v>55</v>
      </c>
      <c r="B65" s="772" t="s">
        <v>965</v>
      </c>
      <c r="G65" s="810">
        <f>G61+G62</f>
        <v>0</v>
      </c>
      <c r="H65" s="834"/>
      <c r="I65" s="804" t="str">
        <f>"Line "&amp;A61&amp;" + Line "&amp;A62&amp;"; Col. d"</f>
        <v>Line 51 + Line 52; Col. d</v>
      </c>
      <c r="J65" s="600">
        <f t="shared" si="1"/>
        <v>55</v>
      </c>
    </row>
    <row r="66" spans="1:10" s="1482" customFormat="1" ht="16.5" thickTop="1">
      <c r="A66" s="600"/>
      <c r="B66" s="772"/>
      <c r="G66" s="834"/>
      <c r="H66" s="834"/>
      <c r="I66" s="804"/>
      <c r="J66" s="600"/>
    </row>
    <row r="67" spans="1:10" s="1482" customFormat="1">
      <c r="A67" s="600"/>
      <c r="B67" s="772"/>
      <c r="G67" s="834"/>
      <c r="H67" s="834"/>
      <c r="I67" s="804"/>
      <c r="J67" s="600"/>
    </row>
    <row r="68" spans="1:10" ht="18.75">
      <c r="A68" s="800">
        <v>1</v>
      </c>
      <c r="B68" s="94" t="s">
        <v>263</v>
      </c>
      <c r="C68" s="678"/>
      <c r="D68" s="678"/>
      <c r="E68" s="678"/>
      <c r="F68" s="678"/>
      <c r="G68" s="684"/>
      <c r="H68" s="684"/>
      <c r="J68" s="596" t="s">
        <v>10</v>
      </c>
    </row>
    <row r="69" spans="1:10" s="1482" customFormat="1" ht="18.75">
      <c r="A69" s="800">
        <v>2</v>
      </c>
      <c r="B69" s="94" t="s">
        <v>1000</v>
      </c>
      <c r="C69" s="678"/>
      <c r="D69" s="678"/>
      <c r="E69" s="678"/>
      <c r="F69" s="678"/>
      <c r="G69" s="684"/>
      <c r="H69" s="684"/>
      <c r="I69" s="732"/>
      <c r="J69" s="596"/>
    </row>
    <row r="70" spans="1:10" ht="18.75">
      <c r="A70" s="800"/>
      <c r="B70" s="94"/>
      <c r="C70" s="678"/>
      <c r="D70" s="596"/>
      <c r="E70" s="678"/>
      <c r="F70" s="678"/>
      <c r="G70" s="684"/>
      <c r="H70" s="684"/>
      <c r="J70" s="596"/>
    </row>
    <row r="71" spans="1:10">
      <c r="B71" s="1643" t="s">
        <v>0</v>
      </c>
      <c r="C71" s="1643"/>
      <c r="D71" s="1643"/>
      <c r="E71" s="1643"/>
      <c r="F71" s="1643"/>
      <c r="G71" s="1643"/>
      <c r="H71" s="1643"/>
      <c r="I71" s="1628"/>
      <c r="J71" s="600"/>
    </row>
    <row r="72" spans="1:10">
      <c r="B72" s="1643" t="s">
        <v>233</v>
      </c>
      <c r="C72" s="1643"/>
      <c r="D72" s="1643"/>
      <c r="E72" s="1643"/>
      <c r="F72" s="1643"/>
      <c r="G72" s="1643"/>
      <c r="H72" s="1643"/>
      <c r="I72" s="1628"/>
      <c r="J72" s="600"/>
    </row>
    <row r="73" spans="1:10">
      <c r="B73" s="1643" t="s">
        <v>234</v>
      </c>
      <c r="C73" s="1643"/>
      <c r="D73" s="1643"/>
      <c r="E73" s="1643"/>
      <c r="F73" s="1643"/>
      <c r="G73" s="1643"/>
      <c r="H73" s="1643"/>
      <c r="I73" s="1628"/>
      <c r="J73" s="600"/>
    </row>
    <row r="74" spans="1:10">
      <c r="B74" s="1644" t="str">
        <f>B5</f>
        <v>Base Period &amp; True-Up Period 12 - Months Ending December 31, 2018</v>
      </c>
      <c r="C74" s="1644"/>
      <c r="D74" s="1644"/>
      <c r="E74" s="1644"/>
      <c r="F74" s="1644"/>
      <c r="G74" s="1644"/>
      <c r="H74" s="1644"/>
      <c r="I74" s="1630"/>
      <c r="J74" s="600"/>
    </row>
    <row r="75" spans="1:10" s="707" customFormat="1">
      <c r="A75" s="833"/>
      <c r="B75" s="1645" t="s">
        <v>3</v>
      </c>
      <c r="C75" s="1646"/>
      <c r="D75" s="1646"/>
      <c r="E75" s="1646"/>
      <c r="F75" s="1646"/>
      <c r="G75" s="1646"/>
      <c r="H75" s="1646"/>
      <c r="I75" s="1646"/>
      <c r="J75" s="833"/>
    </row>
    <row r="76" spans="1:10">
      <c r="B76" s="596"/>
      <c r="C76" s="596"/>
      <c r="D76" s="596"/>
      <c r="E76" s="596"/>
      <c r="F76" s="596"/>
      <c r="G76" s="596"/>
      <c r="H76" s="596"/>
      <c r="I76" s="804"/>
      <c r="J76" s="600"/>
    </row>
    <row r="77" spans="1:10">
      <c r="A77" s="600" t="s">
        <v>4</v>
      </c>
      <c r="B77" s="1202"/>
      <c r="C77" s="1202"/>
      <c r="D77" s="1202"/>
      <c r="E77" s="1202"/>
      <c r="F77" s="1202"/>
      <c r="G77" s="1202"/>
      <c r="H77" s="1202"/>
      <c r="I77" s="804"/>
      <c r="J77" s="600" t="s">
        <v>4</v>
      </c>
    </row>
    <row r="78" spans="1:10">
      <c r="A78" s="456" t="s">
        <v>25</v>
      </c>
      <c r="B78" s="596"/>
      <c r="C78" s="596"/>
      <c r="D78" s="596"/>
      <c r="E78" s="596"/>
      <c r="F78" s="596"/>
      <c r="G78" s="497" t="s">
        <v>128</v>
      </c>
      <c r="H78" s="1202"/>
      <c r="I78" s="805" t="s">
        <v>9</v>
      </c>
      <c r="J78" s="456" t="s">
        <v>25</v>
      </c>
    </row>
    <row r="79" spans="1:10">
      <c r="B79" s="678"/>
      <c r="G79" s="600"/>
      <c r="H79" s="600"/>
      <c r="I79" s="804"/>
      <c r="J79" s="600"/>
    </row>
    <row r="80" spans="1:10" ht="18.75">
      <c r="A80" s="600">
        <v>1</v>
      </c>
      <c r="B80" s="807" t="s">
        <v>249</v>
      </c>
      <c r="E80" s="1202"/>
      <c r="F80" s="1202"/>
      <c r="G80" s="683"/>
      <c r="H80" s="683"/>
      <c r="I80" s="804"/>
      <c r="J80" s="600">
        <v>1</v>
      </c>
    </row>
    <row r="81" spans="1:13">
      <c r="A81" s="600">
        <f>A80+1</f>
        <v>2</v>
      </c>
      <c r="B81" s="835"/>
      <c r="E81" s="1202"/>
      <c r="F81" s="1202"/>
      <c r="G81" s="683"/>
      <c r="H81" s="683"/>
      <c r="I81" s="804"/>
      <c r="J81" s="600">
        <f>J80+1</f>
        <v>2</v>
      </c>
    </row>
    <row r="82" spans="1:13">
      <c r="A82" s="600">
        <f>A81+1</f>
        <v>3</v>
      </c>
      <c r="B82" s="807" t="s">
        <v>250</v>
      </c>
      <c r="E82" s="1202"/>
      <c r="F82" s="1202"/>
      <c r="G82" s="683"/>
      <c r="H82" s="683"/>
      <c r="I82" s="804"/>
      <c r="J82" s="600">
        <f>J81+1</f>
        <v>3</v>
      </c>
    </row>
    <row r="83" spans="1:13">
      <c r="A83" s="600">
        <f>A82+1</f>
        <v>4</v>
      </c>
      <c r="B83" s="1202"/>
      <c r="C83" s="1202"/>
      <c r="D83" s="1202"/>
      <c r="E83" s="1202"/>
      <c r="F83" s="1202"/>
      <c r="G83" s="683"/>
      <c r="H83" s="683"/>
      <c r="I83" s="804"/>
      <c r="J83" s="600">
        <f>J82+1</f>
        <v>4</v>
      </c>
    </row>
    <row r="84" spans="1:13">
      <c r="A84" s="600">
        <f t="shared" ref="A84:A110" si="2">A83+1</f>
        <v>5</v>
      </c>
      <c r="B84" s="718" t="s">
        <v>251</v>
      </c>
      <c r="C84" s="1202"/>
      <c r="D84" s="1202"/>
      <c r="E84" s="1202"/>
      <c r="F84" s="1202"/>
      <c r="G84" s="683"/>
      <c r="H84" s="683"/>
      <c r="I84" s="836"/>
      <c r="J84" s="600">
        <f t="shared" ref="J84:J110" si="3">J83+1</f>
        <v>5</v>
      </c>
    </row>
    <row r="85" spans="1:13">
      <c r="A85" s="600">
        <f t="shared" si="2"/>
        <v>6</v>
      </c>
      <c r="B85" s="408" t="s">
        <v>252</v>
      </c>
      <c r="D85" s="1202"/>
      <c r="E85" s="1202"/>
      <c r="F85" s="1202"/>
      <c r="G85" s="837">
        <f>G52</f>
        <v>6.2531134790152335E-2</v>
      </c>
      <c r="H85" s="1202"/>
      <c r="I85" s="838" t="str">
        <f>"AV1; Line "&amp;A52</f>
        <v>AV1; Line 42</v>
      </c>
      <c r="J85" s="600">
        <f t="shared" si="3"/>
        <v>6</v>
      </c>
      <c r="L85" s="596"/>
    </row>
    <row r="86" spans="1:13">
      <c r="A86" s="600">
        <f t="shared" si="2"/>
        <v>7</v>
      </c>
      <c r="B86" s="408" t="s">
        <v>578</v>
      </c>
      <c r="D86" s="1202"/>
      <c r="E86" s="1202"/>
      <c r="F86" s="1202"/>
      <c r="G86" s="839">
        <f>-'Stmt AR'!E21</f>
        <v>264.76299999999998</v>
      </c>
      <c r="H86" s="1202"/>
      <c r="I86" s="838" t="str">
        <f>"Negative of Statement AR; Line "&amp;'Stmt AR'!A21</f>
        <v>Negative of Statement AR; Line 11</v>
      </c>
      <c r="J86" s="600">
        <f t="shared" si="3"/>
        <v>7</v>
      </c>
      <c r="L86" s="596"/>
    </row>
    <row r="87" spans="1:13" ht="18.75">
      <c r="A87" s="600">
        <f t="shared" si="2"/>
        <v>8</v>
      </c>
      <c r="B87" s="408" t="s">
        <v>585</v>
      </c>
      <c r="D87" s="1202"/>
      <c r="E87" s="1202"/>
      <c r="F87" s="1202"/>
      <c r="G87" s="840">
        <f>'AV-2A'!C50</f>
        <v>6529.0768399999988</v>
      </c>
      <c r="H87" s="1202"/>
      <c r="I87" s="803" t="str">
        <f>"AV-2A; Line "&amp;'AV-2A'!A50&amp;""</f>
        <v>AV-2A; Line 38</v>
      </c>
      <c r="J87" s="600">
        <f t="shared" si="3"/>
        <v>8</v>
      </c>
      <c r="L87" s="1202"/>
    </row>
    <row r="88" spans="1:13">
      <c r="A88" s="600">
        <f t="shared" si="2"/>
        <v>9</v>
      </c>
      <c r="B88" s="408" t="s">
        <v>253</v>
      </c>
      <c r="D88" s="1202"/>
      <c r="E88" s="841"/>
      <c r="F88" s="1202"/>
      <c r="G88" s="786">
        <f>'AV-4'!C36</f>
        <v>3929487.0250883303</v>
      </c>
      <c r="H88" s="1202"/>
      <c r="I88" s="803" t="str">
        <f>"AV-4; Page 1; Line "&amp;'AV-4'!A36</f>
        <v>AV-4; Page 1; Line 26</v>
      </c>
      <c r="J88" s="600">
        <f t="shared" si="3"/>
        <v>9</v>
      </c>
    </row>
    <row r="89" spans="1:13">
      <c r="A89" s="600">
        <f t="shared" si="2"/>
        <v>10</v>
      </c>
      <c r="B89" s="707" t="s">
        <v>579</v>
      </c>
      <c r="D89" s="842"/>
      <c r="E89" s="1202"/>
      <c r="F89" s="1202"/>
      <c r="G89" s="1117">
        <v>0.21</v>
      </c>
      <c r="H89" s="1202"/>
      <c r="I89" s="838" t="s">
        <v>254</v>
      </c>
      <c r="J89" s="600">
        <f t="shared" si="3"/>
        <v>10</v>
      </c>
      <c r="M89" s="844"/>
    </row>
    <row r="90" spans="1:13">
      <c r="A90" s="600">
        <f t="shared" si="2"/>
        <v>11</v>
      </c>
      <c r="B90" s="678"/>
      <c r="G90" s="600"/>
      <c r="H90" s="600"/>
      <c r="J90" s="600">
        <f t="shared" si="3"/>
        <v>11</v>
      </c>
    </row>
    <row r="91" spans="1:13">
      <c r="A91" s="600">
        <f t="shared" si="2"/>
        <v>12</v>
      </c>
      <c r="B91" s="408" t="s">
        <v>580</v>
      </c>
      <c r="D91" s="1202"/>
      <c r="E91" s="1202"/>
      <c r="F91" s="1202"/>
      <c r="G91" s="845">
        <f>(((G85)+(G87/G88))*G89-(G86/G88))/(1-G89)</f>
        <v>1.6978591524554817E-2</v>
      </c>
      <c r="H91" s="845"/>
      <c r="I91" s="838" t="s">
        <v>264</v>
      </c>
      <c r="J91" s="600">
        <f t="shared" si="3"/>
        <v>12</v>
      </c>
      <c r="M91" s="846"/>
    </row>
    <row r="92" spans="1:13">
      <c r="A92" s="600">
        <f t="shared" si="2"/>
        <v>13</v>
      </c>
      <c r="B92" s="847" t="s">
        <v>581</v>
      </c>
      <c r="G92" s="600"/>
      <c r="H92" s="600"/>
      <c r="J92" s="600">
        <f t="shared" si="3"/>
        <v>13</v>
      </c>
    </row>
    <row r="93" spans="1:13">
      <c r="A93" s="600">
        <f t="shared" si="2"/>
        <v>14</v>
      </c>
      <c r="B93" s="678"/>
      <c r="G93" s="600"/>
      <c r="H93" s="600"/>
      <c r="J93" s="600">
        <f t="shared" si="3"/>
        <v>14</v>
      </c>
    </row>
    <row r="94" spans="1:13">
      <c r="A94" s="600">
        <f t="shared" si="2"/>
        <v>15</v>
      </c>
      <c r="B94" s="807" t="s">
        <v>255</v>
      </c>
      <c r="C94" s="1202"/>
      <c r="D94" s="1202"/>
      <c r="E94" s="1202"/>
      <c r="F94" s="1202"/>
      <c r="G94" s="848"/>
      <c r="H94" s="848"/>
      <c r="I94" s="849"/>
      <c r="J94" s="600">
        <f t="shared" si="3"/>
        <v>15</v>
      </c>
      <c r="L94" s="850"/>
    </row>
    <row r="95" spans="1:13">
      <c r="A95" s="600">
        <f t="shared" si="2"/>
        <v>16</v>
      </c>
      <c r="B95" s="783"/>
      <c r="C95" s="1202"/>
      <c r="D95" s="1202"/>
      <c r="E95" s="1202"/>
      <c r="F95" s="1202"/>
      <c r="G95" s="848"/>
      <c r="H95" s="848"/>
      <c r="I95" s="851"/>
      <c r="J95" s="600">
        <f t="shared" si="3"/>
        <v>16</v>
      </c>
      <c r="L95" s="1202"/>
    </row>
    <row r="96" spans="1:13">
      <c r="A96" s="600">
        <f t="shared" si="2"/>
        <v>17</v>
      </c>
      <c r="B96" s="718" t="s">
        <v>251</v>
      </c>
      <c r="C96" s="1202"/>
      <c r="D96" s="1202"/>
      <c r="E96" s="1202"/>
      <c r="F96" s="1202"/>
      <c r="G96" s="848"/>
      <c r="H96" s="848"/>
      <c r="I96" s="851"/>
      <c r="J96" s="600">
        <f t="shared" si="3"/>
        <v>17</v>
      </c>
      <c r="L96" s="1202"/>
    </row>
    <row r="97" spans="1:13">
      <c r="A97" s="600">
        <f t="shared" si="2"/>
        <v>18</v>
      </c>
      <c r="B97" s="408" t="s">
        <v>252</v>
      </c>
      <c r="D97" s="1202"/>
      <c r="E97" s="1202"/>
      <c r="F97" s="1202"/>
      <c r="G97" s="822">
        <f>G85</f>
        <v>6.2531134790152335E-2</v>
      </c>
      <c r="H97" s="822"/>
      <c r="I97" s="838" t="str">
        <f>"Line "&amp;A85&amp;" Above"</f>
        <v>Line 6 Above</v>
      </c>
      <c r="J97" s="600">
        <f t="shared" si="3"/>
        <v>18</v>
      </c>
      <c r="L97" s="596"/>
    </row>
    <row r="98" spans="1:13">
      <c r="A98" s="600">
        <f t="shared" si="2"/>
        <v>19</v>
      </c>
      <c r="B98" s="408" t="s">
        <v>265</v>
      </c>
      <c r="D98" s="1202"/>
      <c r="E98" s="1202"/>
      <c r="F98" s="1202"/>
      <c r="G98" s="605">
        <f>G87</f>
        <v>6529.0768399999988</v>
      </c>
      <c r="H98" s="605"/>
      <c r="I98" s="838" t="str">
        <f>"Line "&amp;A87&amp;" Above"</f>
        <v>Line 8 Above</v>
      </c>
      <c r="J98" s="600">
        <f t="shared" si="3"/>
        <v>19</v>
      </c>
      <c r="L98" s="596"/>
    </row>
    <row r="99" spans="1:13">
      <c r="A99" s="600">
        <f t="shared" si="2"/>
        <v>20</v>
      </c>
      <c r="B99" s="408" t="s">
        <v>266</v>
      </c>
      <c r="D99" s="1202"/>
      <c r="E99" s="1202"/>
      <c r="F99" s="1202"/>
      <c r="G99" s="852">
        <f>G88</f>
        <v>3929487.0250883303</v>
      </c>
      <c r="H99" s="852"/>
      <c r="I99" s="838" t="str">
        <f>"Line "&amp;A88&amp;" Above"</f>
        <v>Line 9 Above</v>
      </c>
      <c r="J99" s="600">
        <f t="shared" si="3"/>
        <v>20</v>
      </c>
      <c r="L99" s="596"/>
    </row>
    <row r="100" spans="1:13">
      <c r="A100" s="600">
        <f t="shared" si="2"/>
        <v>21</v>
      </c>
      <c r="B100" s="408" t="s">
        <v>267</v>
      </c>
      <c r="D100" s="1202"/>
      <c r="E100" s="1202"/>
      <c r="F100" s="1202"/>
      <c r="G100" s="853">
        <f>G91</f>
        <v>1.6978591524554817E-2</v>
      </c>
      <c r="H100" s="853"/>
      <c r="I100" s="838" t="str">
        <f>"Line "&amp;A91&amp;" Above"</f>
        <v>Line 12 Above</v>
      </c>
      <c r="J100" s="600">
        <f t="shared" si="3"/>
        <v>21</v>
      </c>
    </row>
    <row r="101" spans="1:13">
      <c r="A101" s="600">
        <f t="shared" si="2"/>
        <v>22</v>
      </c>
      <c r="B101" s="707" t="s">
        <v>582</v>
      </c>
      <c r="D101" s="1202"/>
      <c r="E101" s="1202"/>
      <c r="F101" s="1202"/>
      <c r="G101" s="843" t="s">
        <v>438</v>
      </c>
      <c r="H101" s="1202"/>
      <c r="I101" s="838" t="s">
        <v>256</v>
      </c>
      <c r="J101" s="600">
        <f t="shared" si="3"/>
        <v>22</v>
      </c>
    </row>
    <row r="102" spans="1:13">
      <c r="A102" s="600">
        <f t="shared" si="2"/>
        <v>23</v>
      </c>
      <c r="B102" s="1203"/>
      <c r="D102" s="1202"/>
      <c r="E102" s="1202"/>
      <c r="F102" s="1202"/>
      <c r="G102" s="854"/>
      <c r="H102" s="854"/>
      <c r="I102" s="851"/>
      <c r="J102" s="600">
        <f t="shared" si="3"/>
        <v>23</v>
      </c>
    </row>
    <row r="103" spans="1:13">
      <c r="A103" s="600">
        <f t="shared" si="2"/>
        <v>24</v>
      </c>
      <c r="B103" s="408" t="s">
        <v>583</v>
      </c>
      <c r="C103" s="596"/>
      <c r="D103" s="596"/>
      <c r="E103" s="1202"/>
      <c r="F103" s="1202"/>
      <c r="G103" s="855">
        <f>((G97)+(G98/G99)+G91)*G101/(1-G101)</f>
        <v>7.8713708575515982E-3</v>
      </c>
      <c r="H103" s="856"/>
      <c r="I103" s="838" t="s">
        <v>268</v>
      </c>
      <c r="J103" s="600">
        <f t="shared" si="3"/>
        <v>24</v>
      </c>
    </row>
    <row r="104" spans="1:13">
      <c r="A104" s="600">
        <f t="shared" si="2"/>
        <v>25</v>
      </c>
      <c r="B104" s="847" t="s">
        <v>584</v>
      </c>
      <c r="G104" s="600"/>
      <c r="H104" s="600"/>
      <c r="I104" s="804"/>
      <c r="J104" s="600">
        <f t="shared" si="3"/>
        <v>25</v>
      </c>
      <c r="L104" s="600"/>
    </row>
    <row r="105" spans="1:13">
      <c r="A105" s="600">
        <f t="shared" si="2"/>
        <v>26</v>
      </c>
      <c r="B105" s="678"/>
      <c r="G105" s="600"/>
      <c r="H105" s="600"/>
      <c r="I105" s="804"/>
      <c r="J105" s="600">
        <f t="shared" si="3"/>
        <v>26</v>
      </c>
      <c r="L105" s="600"/>
    </row>
    <row r="106" spans="1:13">
      <c r="A106" s="600">
        <f t="shared" si="2"/>
        <v>27</v>
      </c>
      <c r="B106" s="807" t="s">
        <v>257</v>
      </c>
      <c r="G106" s="845">
        <f>G103+G91</f>
        <v>2.4849962382106416E-2</v>
      </c>
      <c r="H106" s="845"/>
      <c r="I106" s="804" t="str">
        <f>"Line "&amp;A91&amp;" + Line "&amp;A103</f>
        <v>Line 12 + Line 24</v>
      </c>
      <c r="J106" s="600">
        <f t="shared" si="3"/>
        <v>27</v>
      </c>
      <c r="L106" s="600"/>
    </row>
    <row r="107" spans="1:13">
      <c r="A107" s="600">
        <f t="shared" si="2"/>
        <v>28</v>
      </c>
      <c r="B107" s="678"/>
      <c r="G107" s="600"/>
      <c r="H107" s="600"/>
      <c r="I107" s="804"/>
      <c r="J107" s="600">
        <f t="shared" si="3"/>
        <v>28</v>
      </c>
      <c r="L107" s="600"/>
    </row>
    <row r="108" spans="1:13">
      <c r="A108" s="600">
        <f t="shared" si="2"/>
        <v>29</v>
      </c>
      <c r="B108" s="807" t="s">
        <v>269</v>
      </c>
      <c r="G108" s="857">
        <f>G50</f>
        <v>8.1655798912865327E-2</v>
      </c>
      <c r="H108" s="1202"/>
      <c r="I108" s="838" t="str">
        <f>"AV1; Line "&amp;A50</f>
        <v>AV1; Line 40</v>
      </c>
      <c r="J108" s="600">
        <f t="shared" si="3"/>
        <v>29</v>
      </c>
      <c r="L108" s="596"/>
    </row>
    <row r="109" spans="1:13">
      <c r="A109" s="600">
        <f t="shared" si="2"/>
        <v>30</v>
      </c>
      <c r="B109" s="678"/>
      <c r="G109" s="822"/>
      <c r="H109" s="822"/>
      <c r="I109" s="804"/>
      <c r="J109" s="600">
        <f t="shared" si="3"/>
        <v>30</v>
      </c>
      <c r="L109" s="600"/>
    </row>
    <row r="110" spans="1:13" ht="19.5" thickBot="1">
      <c r="A110" s="600">
        <f t="shared" si="2"/>
        <v>31</v>
      </c>
      <c r="B110" s="807" t="s">
        <v>258</v>
      </c>
      <c r="G110" s="858">
        <f>G106+G108</f>
        <v>0.10650576129497175</v>
      </c>
      <c r="H110" s="856"/>
      <c r="I110" s="804" t="str">
        <f>"Line "&amp;A106&amp;" + Line "&amp;A108</f>
        <v>Line 27 + Line 29</v>
      </c>
      <c r="J110" s="600">
        <f t="shared" si="3"/>
        <v>31</v>
      </c>
      <c r="L110" s="859"/>
      <c r="M110" s="846"/>
    </row>
    <row r="111" spans="1:13" ht="16.5" thickTop="1">
      <c r="B111" s="807"/>
      <c r="G111" s="860"/>
      <c r="H111" s="860"/>
      <c r="I111" s="804"/>
      <c r="J111" s="600"/>
      <c r="L111" s="859"/>
      <c r="M111" s="846"/>
    </row>
    <row r="112" spans="1:13">
      <c r="B112" s="807"/>
      <c r="G112" s="860"/>
      <c r="H112" s="860"/>
      <c r="I112" s="804"/>
      <c r="J112" s="600"/>
      <c r="L112" s="859"/>
      <c r="M112" s="846"/>
    </row>
    <row r="113" spans="1:13" ht="18.75">
      <c r="A113" s="693">
        <v>1</v>
      </c>
      <c r="B113" s="6" t="s">
        <v>877</v>
      </c>
      <c r="G113" s="860"/>
      <c r="H113" s="860"/>
      <c r="I113" s="804"/>
      <c r="J113" s="600"/>
      <c r="L113" s="859"/>
      <c r="M113" s="846"/>
    </row>
    <row r="114" spans="1:13" ht="18.75">
      <c r="A114" s="693"/>
      <c r="B114" s="6"/>
      <c r="G114" s="860"/>
      <c r="H114" s="860"/>
      <c r="I114" s="804"/>
      <c r="J114" s="600"/>
      <c r="L114" s="859"/>
      <c r="M114" s="846"/>
    </row>
    <row r="115" spans="1:13">
      <c r="A115" s="861"/>
      <c r="B115" s="1203"/>
      <c r="C115" s="862"/>
      <c r="D115" s="862"/>
      <c r="E115" s="862"/>
      <c r="F115" s="862"/>
      <c r="G115" s="863"/>
      <c r="H115" s="863"/>
      <c r="I115" s="864"/>
      <c r="J115" s="600"/>
    </row>
    <row r="116" spans="1:13">
      <c r="B116" s="1643" t="s">
        <v>18</v>
      </c>
      <c r="C116" s="1643"/>
      <c r="D116" s="1643"/>
      <c r="E116" s="1643"/>
      <c r="F116" s="1643"/>
      <c r="G116" s="1643"/>
      <c r="H116" s="1643"/>
      <c r="I116" s="1628"/>
    </row>
    <row r="117" spans="1:13">
      <c r="B117" s="1643" t="s">
        <v>233</v>
      </c>
      <c r="C117" s="1643"/>
      <c r="D117" s="1643"/>
      <c r="E117" s="1643"/>
      <c r="F117" s="1643"/>
      <c r="G117" s="1643"/>
      <c r="H117" s="1643"/>
      <c r="I117" s="1628"/>
    </row>
    <row r="118" spans="1:13">
      <c r="B118" s="1643" t="s">
        <v>234</v>
      </c>
      <c r="C118" s="1643"/>
      <c r="D118" s="1643"/>
      <c r="E118" s="1643"/>
      <c r="F118" s="1643"/>
      <c r="G118" s="1643"/>
      <c r="H118" s="1643"/>
      <c r="I118" s="1628"/>
    </row>
    <row r="119" spans="1:13">
      <c r="B119" s="1644" t="str">
        <f>B5</f>
        <v>Base Period &amp; True-Up Period 12 - Months Ending December 31, 2018</v>
      </c>
      <c r="C119" s="1644"/>
      <c r="D119" s="1644"/>
      <c r="E119" s="1644"/>
      <c r="F119" s="1644"/>
      <c r="G119" s="1644"/>
      <c r="H119" s="1644"/>
      <c r="I119" s="1630"/>
    </row>
    <row r="120" spans="1:13">
      <c r="B120" s="1645" t="s">
        <v>3</v>
      </c>
      <c r="C120" s="1646"/>
      <c r="D120" s="1646"/>
      <c r="E120" s="1646"/>
      <c r="F120" s="1646"/>
      <c r="G120" s="1646"/>
      <c r="H120" s="1646"/>
      <c r="I120" s="1646"/>
    </row>
    <row r="122" spans="1:13">
      <c r="A122" s="600" t="s">
        <v>4</v>
      </c>
      <c r="B122" s="1475"/>
      <c r="C122" s="1475"/>
      <c r="D122" s="1475"/>
      <c r="E122" s="1475"/>
      <c r="F122" s="1475"/>
      <c r="G122" s="1475"/>
      <c r="H122" s="1475"/>
      <c r="I122" s="804"/>
      <c r="J122" s="600" t="s">
        <v>4</v>
      </c>
    </row>
    <row r="123" spans="1:13">
      <c r="A123" s="456" t="s">
        <v>25</v>
      </c>
      <c r="B123" s="596"/>
      <c r="C123" s="596"/>
      <c r="D123" s="596"/>
      <c r="E123" s="596"/>
      <c r="F123" s="596"/>
      <c r="G123" s="1430" t="s">
        <v>128</v>
      </c>
      <c r="H123" s="1475"/>
      <c r="I123" s="1530" t="s">
        <v>9</v>
      </c>
      <c r="J123" s="456" t="s">
        <v>25</v>
      </c>
    </row>
    <row r="125" spans="1:13" ht="18.75">
      <c r="A125" s="600">
        <v>1</v>
      </c>
      <c r="B125" s="807" t="s">
        <v>1005</v>
      </c>
      <c r="J125" s="600">
        <v>1</v>
      </c>
    </row>
    <row r="126" spans="1:13">
      <c r="A126" s="600">
        <f>A125+1</f>
        <v>2</v>
      </c>
      <c r="B126" s="835"/>
      <c r="J126" s="600">
        <f>J125+1</f>
        <v>2</v>
      </c>
    </row>
    <row r="127" spans="1:13">
      <c r="A127" s="600">
        <f>A126+1</f>
        <v>3</v>
      </c>
      <c r="B127" s="807" t="s">
        <v>250</v>
      </c>
      <c r="J127" s="600">
        <f>J126+1</f>
        <v>3</v>
      </c>
    </row>
    <row r="128" spans="1:13">
      <c r="A128" s="600">
        <f>A127+1</f>
        <v>4</v>
      </c>
      <c r="B128" s="1475"/>
      <c r="J128" s="600">
        <f>J127+1</f>
        <v>4</v>
      </c>
    </row>
    <row r="129" spans="1:10">
      <c r="A129" s="600">
        <f t="shared" ref="A129:A155" si="4">A128+1</f>
        <v>5</v>
      </c>
      <c r="B129" s="718" t="s">
        <v>251</v>
      </c>
      <c r="J129" s="600">
        <f t="shared" ref="J129:J155" si="5">J128+1</f>
        <v>5</v>
      </c>
    </row>
    <row r="130" spans="1:10">
      <c r="A130" s="600">
        <f t="shared" si="4"/>
        <v>6</v>
      </c>
      <c r="B130" s="1482" t="str">
        <f>B85</f>
        <v xml:space="preserve">     A = Sum of Preferred Stock and Return on Equity Component</v>
      </c>
      <c r="G130" s="837">
        <f>G65</f>
        <v>0</v>
      </c>
      <c r="I130" s="838" t="str">
        <f>"AV1; Line "&amp;A65</f>
        <v>AV1; Line 55</v>
      </c>
      <c r="J130" s="600">
        <f t="shared" si="5"/>
        <v>6</v>
      </c>
    </row>
    <row r="131" spans="1:10">
      <c r="A131" s="600">
        <f t="shared" si="4"/>
        <v>7</v>
      </c>
      <c r="B131" s="1482" t="str">
        <f>B86</f>
        <v xml:space="preserve">     B = Transmission Total Federal Tax Adjustments</v>
      </c>
      <c r="G131" s="1531">
        <v>0</v>
      </c>
      <c r="I131" s="803" t="s">
        <v>130</v>
      </c>
      <c r="J131" s="600">
        <f t="shared" si="5"/>
        <v>7</v>
      </c>
    </row>
    <row r="132" spans="1:10">
      <c r="A132" s="600">
        <f t="shared" si="4"/>
        <v>8</v>
      </c>
      <c r="B132" s="1482" t="s">
        <v>1004</v>
      </c>
      <c r="G132" s="1562">
        <v>0</v>
      </c>
      <c r="I132" s="803" t="s">
        <v>130</v>
      </c>
      <c r="J132" s="600">
        <f t="shared" si="5"/>
        <v>8</v>
      </c>
    </row>
    <row r="133" spans="1:10">
      <c r="A133" s="600">
        <f t="shared" si="4"/>
        <v>9</v>
      </c>
      <c r="B133" s="1482" t="s">
        <v>967</v>
      </c>
      <c r="G133" s="1562">
        <v>0</v>
      </c>
      <c r="I133" s="803" t="s">
        <v>130</v>
      </c>
      <c r="J133" s="600">
        <f t="shared" si="5"/>
        <v>9</v>
      </c>
    </row>
    <row r="134" spans="1:10">
      <c r="A134" s="600">
        <f t="shared" si="4"/>
        <v>10</v>
      </c>
      <c r="B134" s="707" t="str">
        <f>B89</f>
        <v xml:space="preserve">     FT = Federal Income Tax Rate for Rate Effective Period</v>
      </c>
      <c r="G134" s="1532">
        <f>G89</f>
        <v>0.21</v>
      </c>
      <c r="I134" s="838" t="str">
        <f>"AV2; Line "&amp;A89</f>
        <v>AV2; Line 10</v>
      </c>
      <c r="J134" s="600">
        <f t="shared" si="5"/>
        <v>10</v>
      </c>
    </row>
    <row r="135" spans="1:10">
      <c r="A135" s="600">
        <f t="shared" si="4"/>
        <v>11</v>
      </c>
      <c r="B135" s="678"/>
      <c r="G135" s="600"/>
      <c r="J135" s="600">
        <f t="shared" si="5"/>
        <v>11</v>
      </c>
    </row>
    <row r="136" spans="1:10">
      <c r="A136" s="600">
        <f t="shared" si="4"/>
        <v>12</v>
      </c>
      <c r="B136" s="1482" t="s">
        <v>968</v>
      </c>
      <c r="G136" s="845">
        <f>IFERROR((((G130)+(G132/G133))*G134-(G131/G133))/(1-G134),0)</f>
        <v>0</v>
      </c>
      <c r="I136" s="838" t="s">
        <v>972</v>
      </c>
      <c r="J136" s="600">
        <f t="shared" si="5"/>
        <v>12</v>
      </c>
    </row>
    <row r="137" spans="1:10">
      <c r="A137" s="600">
        <f t="shared" si="4"/>
        <v>13</v>
      </c>
      <c r="B137" s="847" t="s">
        <v>581</v>
      </c>
      <c r="G137" s="1533"/>
      <c r="J137" s="600">
        <f t="shared" si="5"/>
        <v>13</v>
      </c>
    </row>
    <row r="138" spans="1:10">
      <c r="A138" s="600">
        <f t="shared" si="4"/>
        <v>14</v>
      </c>
      <c r="B138" s="678"/>
      <c r="G138" s="600"/>
      <c r="J138" s="600">
        <f t="shared" si="5"/>
        <v>14</v>
      </c>
    </row>
    <row r="139" spans="1:10">
      <c r="A139" s="600">
        <f t="shared" si="4"/>
        <v>15</v>
      </c>
      <c r="B139" s="807" t="s">
        <v>255</v>
      </c>
      <c r="G139" s="848"/>
      <c r="I139" s="849"/>
      <c r="J139" s="600">
        <f t="shared" si="5"/>
        <v>15</v>
      </c>
    </row>
    <row r="140" spans="1:10">
      <c r="A140" s="600">
        <f t="shared" si="4"/>
        <v>16</v>
      </c>
      <c r="B140" s="783"/>
      <c r="G140" s="848"/>
      <c r="I140" s="836"/>
      <c r="J140" s="600">
        <f t="shared" si="5"/>
        <v>16</v>
      </c>
    </row>
    <row r="141" spans="1:10">
      <c r="A141" s="600">
        <f t="shared" si="4"/>
        <v>17</v>
      </c>
      <c r="B141" s="718" t="s">
        <v>251</v>
      </c>
      <c r="G141" s="848"/>
      <c r="I141" s="836"/>
      <c r="J141" s="600">
        <f t="shared" si="5"/>
        <v>17</v>
      </c>
    </row>
    <row r="142" spans="1:10">
      <c r="A142" s="600">
        <f t="shared" si="4"/>
        <v>18</v>
      </c>
      <c r="B142" s="1482" t="str">
        <f>B97</f>
        <v xml:space="preserve">     A = Sum of Preferred Stock and Return on Equity Component</v>
      </c>
      <c r="G142" s="822">
        <f>G130</f>
        <v>0</v>
      </c>
      <c r="I142" s="838" t="str">
        <f>"Line "&amp;A130&amp;" Above"</f>
        <v>Line 6 Above</v>
      </c>
      <c r="J142" s="600">
        <f t="shared" si="5"/>
        <v>18</v>
      </c>
    </row>
    <row r="143" spans="1:10">
      <c r="A143" s="600">
        <f t="shared" si="4"/>
        <v>19</v>
      </c>
      <c r="B143" s="1482" t="str">
        <f>B98</f>
        <v xml:space="preserve">     B = Equity AFUDC Component of Transmission Depreciation Expense</v>
      </c>
      <c r="G143" s="605">
        <f>G132</f>
        <v>0</v>
      </c>
      <c r="I143" s="838" t="str">
        <f>"Line "&amp;A132&amp;" Above"</f>
        <v>Line 8 Above</v>
      </c>
      <c r="J143" s="600">
        <f t="shared" si="5"/>
        <v>19</v>
      </c>
    </row>
    <row r="144" spans="1:10">
      <c r="A144" s="600">
        <f t="shared" si="4"/>
        <v>20</v>
      </c>
      <c r="B144" s="1482" t="s">
        <v>969</v>
      </c>
      <c r="G144" s="605">
        <f>G133</f>
        <v>0</v>
      </c>
      <c r="I144" s="838" t="str">
        <f>"Line "&amp;A133&amp;" Above"</f>
        <v>Line 9 Above</v>
      </c>
      <c r="J144" s="600">
        <f t="shared" si="5"/>
        <v>20</v>
      </c>
    </row>
    <row r="145" spans="1:10">
      <c r="A145" s="600">
        <f t="shared" si="4"/>
        <v>21</v>
      </c>
      <c r="B145" s="1482" t="str">
        <f>B100</f>
        <v xml:space="preserve">     FT = Federal Income Tax Expense</v>
      </c>
      <c r="G145" s="853">
        <f>G136</f>
        <v>0</v>
      </c>
      <c r="I145" s="838" t="str">
        <f>"Line "&amp;A136&amp;" Above"</f>
        <v>Line 12 Above</v>
      </c>
      <c r="J145" s="600">
        <f t="shared" si="5"/>
        <v>21</v>
      </c>
    </row>
    <row r="146" spans="1:10">
      <c r="A146" s="600">
        <f t="shared" si="4"/>
        <v>22</v>
      </c>
      <c r="B146" s="707" t="str">
        <f>B101</f>
        <v xml:space="preserve">     ST = State Income Tax Rate for Rate Effective Period</v>
      </c>
      <c r="G146" s="1534" t="str">
        <f>G101</f>
        <v>8.84%</v>
      </c>
      <c r="I146" s="838" t="str">
        <f>"AV2; Line "&amp;A101</f>
        <v>AV2; Line 22</v>
      </c>
      <c r="J146" s="600">
        <f t="shared" si="5"/>
        <v>22</v>
      </c>
    </row>
    <row r="147" spans="1:10">
      <c r="A147" s="600">
        <f t="shared" si="4"/>
        <v>23</v>
      </c>
      <c r="B147" s="1477"/>
      <c r="G147" s="854"/>
      <c r="I147" s="851"/>
      <c r="J147" s="600">
        <f t="shared" si="5"/>
        <v>23</v>
      </c>
    </row>
    <row r="148" spans="1:10">
      <c r="A148" s="600">
        <f t="shared" si="4"/>
        <v>24</v>
      </c>
      <c r="B148" s="1482" t="s">
        <v>583</v>
      </c>
      <c r="G148" s="1535">
        <f>IFERROR(((G142)+(G143/G144)+G136)*G146/(1-G146),0)</f>
        <v>0</v>
      </c>
      <c r="I148" s="838" t="s">
        <v>268</v>
      </c>
      <c r="J148" s="600">
        <f t="shared" si="5"/>
        <v>24</v>
      </c>
    </row>
    <row r="149" spans="1:10">
      <c r="A149" s="600">
        <f t="shared" si="4"/>
        <v>25</v>
      </c>
      <c r="B149" s="847" t="s">
        <v>584</v>
      </c>
      <c r="G149" s="600"/>
      <c r="I149" s="804"/>
      <c r="J149" s="600">
        <f t="shared" si="5"/>
        <v>25</v>
      </c>
    </row>
    <row r="150" spans="1:10">
      <c r="A150" s="600">
        <f t="shared" si="4"/>
        <v>26</v>
      </c>
      <c r="B150" s="678"/>
      <c r="G150" s="600"/>
      <c r="I150" s="804"/>
      <c r="J150" s="600">
        <f t="shared" si="5"/>
        <v>26</v>
      </c>
    </row>
    <row r="151" spans="1:10">
      <c r="A151" s="600">
        <f t="shared" si="4"/>
        <v>27</v>
      </c>
      <c r="B151" s="807" t="s">
        <v>257</v>
      </c>
      <c r="G151" s="845">
        <f>G148+G136</f>
        <v>0</v>
      </c>
      <c r="I151" s="804" t="str">
        <f>"Line "&amp;A136&amp;" + Line "&amp;A148</f>
        <v>Line 12 + Line 24</v>
      </c>
      <c r="J151" s="600">
        <f t="shared" si="5"/>
        <v>27</v>
      </c>
    </row>
    <row r="152" spans="1:10">
      <c r="A152" s="600">
        <f t="shared" si="4"/>
        <v>28</v>
      </c>
      <c r="B152" s="678"/>
      <c r="G152" s="600"/>
      <c r="I152" s="804"/>
      <c r="J152" s="600">
        <f t="shared" si="5"/>
        <v>28</v>
      </c>
    </row>
    <row r="153" spans="1:10">
      <c r="A153" s="600">
        <f t="shared" si="4"/>
        <v>29</v>
      </c>
      <c r="B153" s="807" t="s">
        <v>970</v>
      </c>
      <c r="G153" s="1536">
        <f>G63</f>
        <v>0</v>
      </c>
      <c r="I153" s="838" t="str">
        <f>"AV1; Line "&amp;A63</f>
        <v>AV1; Line 53</v>
      </c>
      <c r="J153" s="600">
        <f t="shared" si="5"/>
        <v>29</v>
      </c>
    </row>
    <row r="154" spans="1:10">
      <c r="A154" s="600">
        <f t="shared" si="4"/>
        <v>30</v>
      </c>
      <c r="B154" s="678"/>
      <c r="G154" s="600"/>
      <c r="I154" s="804"/>
      <c r="J154" s="600">
        <f t="shared" si="5"/>
        <v>30</v>
      </c>
    </row>
    <row r="155" spans="1:10" ht="19.5" thickBot="1">
      <c r="A155" s="600">
        <f t="shared" si="4"/>
        <v>31</v>
      </c>
      <c r="B155" s="807" t="s">
        <v>971</v>
      </c>
      <c r="G155" s="1537">
        <f>G151+G153</f>
        <v>0</v>
      </c>
      <c r="I155" s="804" t="str">
        <f>"Line "&amp;A151&amp;" + Line "&amp;A153</f>
        <v>Line 27 + Line 29</v>
      </c>
      <c r="J155" s="600">
        <f t="shared" si="5"/>
        <v>31</v>
      </c>
    </row>
    <row r="156" spans="1:10" ht="16.5" thickTop="1">
      <c r="B156" s="1482"/>
    </row>
    <row r="157" spans="1:10">
      <c r="B157" s="1482"/>
    </row>
    <row r="158" spans="1:10" ht="18.75">
      <c r="A158" s="800"/>
      <c r="B158" s="1529"/>
    </row>
  </sheetData>
  <mergeCells count="15">
    <mergeCell ref="B116:I116"/>
    <mergeCell ref="B117:I117"/>
    <mergeCell ref="B118:I118"/>
    <mergeCell ref="B119:I119"/>
    <mergeCell ref="B120:I120"/>
    <mergeCell ref="B71:I71"/>
    <mergeCell ref="B72:I72"/>
    <mergeCell ref="B73:I73"/>
    <mergeCell ref="B74:I74"/>
    <mergeCell ref="B75:I75"/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65"/>
  <sheetViews>
    <sheetView zoomScale="80" zoomScaleNormal="80" zoomScalePageLayoutView="80" workbookViewId="0"/>
  </sheetViews>
  <sheetFormatPr defaultColWidth="8.7109375" defaultRowHeight="15.75"/>
  <cols>
    <col min="1" max="1" width="5.140625" style="5" customWidth="1"/>
    <col min="2" max="2" width="62.42578125" style="4" customWidth="1"/>
    <col min="3" max="3" width="35.7109375" style="4" customWidth="1"/>
    <col min="4" max="4" width="5.140625" style="5" customWidth="1"/>
    <col min="5" max="16384" width="8.7109375" style="4"/>
  </cols>
  <sheetData>
    <row r="2" spans="1:4" ht="15.6" customHeight="1">
      <c r="B2" s="1666" t="s">
        <v>18</v>
      </c>
      <c r="C2" s="1666"/>
    </row>
    <row r="3" spans="1:4" ht="15.6" customHeight="1">
      <c r="B3" s="1628" t="s">
        <v>270</v>
      </c>
      <c r="C3" s="1628"/>
    </row>
    <row r="4" spans="1:4" ht="15.6" customHeight="1">
      <c r="B4" s="1666" t="str">
        <f>"For Completed Transmission Capital Projects from 2001 Through "&amp;Automation!B6</f>
        <v>For Completed Transmission Capital Projects from 2001 Through 2018</v>
      </c>
      <c r="C4" s="1666"/>
    </row>
    <row r="5" spans="1:4">
      <c r="B5" s="1628" t="str">
        <f>"Applicable to the "&amp;Automation!B6&amp;" Cycle "&amp;Automation!B5&amp;" Base Period &amp; True-Up Period"</f>
        <v>Applicable to the 2018 Cycle 2 Base Period &amp; True-Up Period</v>
      </c>
      <c r="C5" s="1628"/>
      <c r="D5" s="600"/>
    </row>
    <row r="6" spans="1:4" ht="15.6" customHeight="1">
      <c r="B6" s="1666" t="str">
        <f>" 12 Months Ending December 31, "&amp;Automation!$B$6</f>
        <v xml:space="preserve"> 12 Months Ending December 31, 2018</v>
      </c>
      <c r="C6" s="1666"/>
    </row>
    <row r="7" spans="1:4" ht="17.45" customHeight="1">
      <c r="B7" s="1665">
        <v>-1000</v>
      </c>
      <c r="C7" s="1665"/>
      <c r="D7" s="7"/>
    </row>
    <row r="8" spans="1:4" ht="17.45" customHeight="1" thickBot="1">
      <c r="B8" s="1206"/>
      <c r="C8" s="1206"/>
      <c r="D8" s="7"/>
    </row>
    <row r="9" spans="1:4" ht="17.45" customHeight="1">
      <c r="B9" s="961"/>
      <c r="C9" s="963" t="s">
        <v>628</v>
      </c>
      <c r="D9" s="7"/>
    </row>
    <row r="10" spans="1:4" ht="17.45" customHeight="1">
      <c r="A10" s="1317" t="s">
        <v>4</v>
      </c>
      <c r="B10" s="962"/>
      <c r="C10" s="964" t="s">
        <v>629</v>
      </c>
      <c r="D10" s="1317" t="s">
        <v>4</v>
      </c>
    </row>
    <row r="11" spans="1:4" ht="19.5" thickBot="1">
      <c r="A11" s="1318" t="s">
        <v>25</v>
      </c>
      <c r="B11" s="959" t="s">
        <v>586</v>
      </c>
      <c r="C11" s="960" t="s">
        <v>691</v>
      </c>
      <c r="D11" s="1319" t="s">
        <v>25</v>
      </c>
    </row>
    <row r="12" spans="1:4" s="11" customFormat="1">
      <c r="B12" s="958"/>
      <c r="C12" s="868"/>
    </row>
    <row r="13" spans="1:4">
      <c r="A13" s="1320">
        <v>1</v>
      </c>
      <c r="B13" s="160">
        <v>2001</v>
      </c>
      <c r="C13" s="1124">
        <v>65.964230000000001</v>
      </c>
      <c r="D13" s="1321">
        <f>A13</f>
        <v>1</v>
      </c>
    </row>
    <row r="14" spans="1:4">
      <c r="A14" s="459">
        <f>A13+1</f>
        <v>2</v>
      </c>
      <c r="B14" s="160"/>
      <c r="C14" s="1322"/>
      <c r="D14" s="499">
        <f>D13+1</f>
        <v>2</v>
      </c>
    </row>
    <row r="15" spans="1:4">
      <c r="A15" s="459">
        <f t="shared" ref="A15:A55" si="0">A14+1</f>
        <v>3</v>
      </c>
      <c r="B15" s="160">
        <v>2002</v>
      </c>
      <c r="C15" s="916">
        <v>7.3491200000000001</v>
      </c>
      <c r="D15" s="499">
        <f t="shared" ref="D15:D55" si="1">D14+1</f>
        <v>3</v>
      </c>
    </row>
    <row r="16" spans="1:4">
      <c r="A16" s="459">
        <f t="shared" si="0"/>
        <v>4</v>
      </c>
      <c r="B16" s="160"/>
      <c r="C16" s="1323"/>
      <c r="D16" s="499">
        <f t="shared" si="1"/>
        <v>4</v>
      </c>
    </row>
    <row r="17" spans="1:4" ht="16.5" thickBot="1">
      <c r="A17" s="459">
        <f t="shared" si="0"/>
        <v>5</v>
      </c>
      <c r="B17" s="1324">
        <v>2003</v>
      </c>
      <c r="C17" s="1125">
        <v>34.944110000000002</v>
      </c>
      <c r="D17" s="499">
        <f t="shared" si="1"/>
        <v>5</v>
      </c>
    </row>
    <row r="18" spans="1:4">
      <c r="A18" s="459">
        <f t="shared" si="0"/>
        <v>6</v>
      </c>
      <c r="B18" s="1325"/>
      <c r="C18" s="915"/>
      <c r="D18" s="499">
        <f t="shared" si="1"/>
        <v>6</v>
      </c>
    </row>
    <row r="19" spans="1:4">
      <c r="A19" s="459">
        <f t="shared" si="0"/>
        <v>7</v>
      </c>
      <c r="B19" s="160">
        <v>2004</v>
      </c>
      <c r="C19" s="916">
        <v>48.417340000000003</v>
      </c>
      <c r="D19" s="499">
        <f t="shared" si="1"/>
        <v>7</v>
      </c>
    </row>
    <row r="20" spans="1:4">
      <c r="A20" s="459">
        <f t="shared" si="0"/>
        <v>8</v>
      </c>
      <c r="B20" s="160"/>
      <c r="C20" s="916"/>
      <c r="D20" s="499">
        <f t="shared" si="1"/>
        <v>8</v>
      </c>
    </row>
    <row r="21" spans="1:4">
      <c r="A21" s="459">
        <f t="shared" si="0"/>
        <v>9</v>
      </c>
      <c r="B21" s="160">
        <v>2005</v>
      </c>
      <c r="C21" s="916">
        <v>66.581479999999999</v>
      </c>
      <c r="D21" s="499">
        <f t="shared" si="1"/>
        <v>9</v>
      </c>
    </row>
    <row r="22" spans="1:4">
      <c r="A22" s="459">
        <f t="shared" si="0"/>
        <v>10</v>
      </c>
      <c r="B22" s="160"/>
      <c r="C22" s="916"/>
      <c r="D22" s="499">
        <f t="shared" si="1"/>
        <v>10</v>
      </c>
    </row>
    <row r="23" spans="1:4" ht="16.5" thickBot="1">
      <c r="A23" s="459">
        <f t="shared" si="0"/>
        <v>11</v>
      </c>
      <c r="B23" s="1324">
        <v>2006</v>
      </c>
      <c r="C23" s="916">
        <v>119.93919</v>
      </c>
      <c r="D23" s="499">
        <f t="shared" si="1"/>
        <v>11</v>
      </c>
    </row>
    <row r="24" spans="1:4">
      <c r="A24" s="459">
        <f t="shared" si="0"/>
        <v>12</v>
      </c>
      <c r="B24" s="1325"/>
      <c r="C24" s="915"/>
      <c r="D24" s="499">
        <f t="shared" si="1"/>
        <v>12</v>
      </c>
    </row>
    <row r="25" spans="1:4">
      <c r="A25" s="459">
        <f t="shared" si="0"/>
        <v>13</v>
      </c>
      <c r="B25" s="160">
        <v>2007</v>
      </c>
      <c r="C25" s="916">
        <v>376.76612</v>
      </c>
      <c r="D25" s="499">
        <f t="shared" si="1"/>
        <v>13</v>
      </c>
    </row>
    <row r="26" spans="1:4">
      <c r="A26" s="459">
        <f t="shared" si="0"/>
        <v>14</v>
      </c>
      <c r="B26" s="160"/>
      <c r="C26" s="916"/>
      <c r="D26" s="499">
        <f t="shared" si="1"/>
        <v>14</v>
      </c>
    </row>
    <row r="27" spans="1:4">
      <c r="A27" s="459">
        <f t="shared" si="0"/>
        <v>15</v>
      </c>
      <c r="B27" s="160">
        <v>2008</v>
      </c>
      <c r="C27" s="916">
        <v>355.22071</v>
      </c>
      <c r="D27" s="499">
        <f t="shared" si="1"/>
        <v>15</v>
      </c>
    </row>
    <row r="28" spans="1:4">
      <c r="A28" s="459">
        <f t="shared" si="0"/>
        <v>16</v>
      </c>
      <c r="B28" s="160"/>
      <c r="C28" s="916"/>
      <c r="D28" s="499">
        <f t="shared" si="1"/>
        <v>16</v>
      </c>
    </row>
    <row r="29" spans="1:4" ht="16.5" thickBot="1">
      <c r="A29" s="459">
        <f t="shared" si="0"/>
        <v>17</v>
      </c>
      <c r="B29" s="1324">
        <v>2009</v>
      </c>
      <c r="C29" s="1125">
        <v>98.533190000000005</v>
      </c>
      <c r="D29" s="499">
        <f t="shared" si="1"/>
        <v>17</v>
      </c>
    </row>
    <row r="30" spans="1:4">
      <c r="A30" s="459">
        <f t="shared" si="0"/>
        <v>18</v>
      </c>
      <c r="B30" s="160"/>
      <c r="C30" s="916"/>
      <c r="D30" s="499">
        <f t="shared" si="1"/>
        <v>18</v>
      </c>
    </row>
    <row r="31" spans="1:4">
      <c r="A31" s="459">
        <f t="shared" si="0"/>
        <v>19</v>
      </c>
      <c r="B31" s="160">
        <v>2010</v>
      </c>
      <c r="C31" s="916">
        <v>135.44077999999999</v>
      </c>
      <c r="D31" s="499">
        <f t="shared" si="1"/>
        <v>19</v>
      </c>
    </row>
    <row r="32" spans="1:4">
      <c r="A32" s="459">
        <f t="shared" si="0"/>
        <v>20</v>
      </c>
      <c r="B32" s="160"/>
      <c r="C32" s="916"/>
      <c r="D32" s="499">
        <f t="shared" si="1"/>
        <v>20</v>
      </c>
    </row>
    <row r="33" spans="1:4">
      <c r="A33" s="459">
        <f t="shared" si="0"/>
        <v>21</v>
      </c>
      <c r="B33" s="160">
        <v>2011</v>
      </c>
      <c r="C33" s="916">
        <v>166.42259999999999</v>
      </c>
      <c r="D33" s="499">
        <f t="shared" si="1"/>
        <v>21</v>
      </c>
    </row>
    <row r="34" spans="1:4">
      <c r="A34" s="459">
        <f t="shared" si="0"/>
        <v>22</v>
      </c>
      <c r="B34" s="160"/>
      <c r="C34" s="916"/>
      <c r="D34" s="499">
        <f t="shared" si="1"/>
        <v>22</v>
      </c>
    </row>
    <row r="35" spans="1:4" ht="16.5" thickBot="1">
      <c r="A35" s="459">
        <f t="shared" si="0"/>
        <v>23</v>
      </c>
      <c r="B35" s="1324">
        <v>2012</v>
      </c>
      <c r="C35" s="1125">
        <v>1647.85736</v>
      </c>
      <c r="D35" s="499">
        <f t="shared" si="1"/>
        <v>23</v>
      </c>
    </row>
    <row r="36" spans="1:4">
      <c r="A36" s="459">
        <f t="shared" si="0"/>
        <v>24</v>
      </c>
      <c r="B36" s="160"/>
      <c r="C36" s="916"/>
      <c r="D36" s="499">
        <f t="shared" si="1"/>
        <v>24</v>
      </c>
    </row>
    <row r="37" spans="1:4">
      <c r="A37" s="459">
        <f t="shared" si="0"/>
        <v>25</v>
      </c>
      <c r="B37" s="160">
        <v>2013</v>
      </c>
      <c r="C37" s="916">
        <v>1308.9187099999999</v>
      </c>
      <c r="D37" s="499">
        <f t="shared" si="1"/>
        <v>25</v>
      </c>
    </row>
    <row r="38" spans="1:4">
      <c r="A38" s="459">
        <f t="shared" si="0"/>
        <v>26</v>
      </c>
      <c r="B38" s="160"/>
      <c r="C38" s="916"/>
      <c r="D38" s="499">
        <f t="shared" si="1"/>
        <v>26</v>
      </c>
    </row>
    <row r="39" spans="1:4">
      <c r="A39" s="459">
        <f t="shared" si="0"/>
        <v>27</v>
      </c>
      <c r="B39" s="160">
        <v>2014</v>
      </c>
      <c r="C39" s="916">
        <v>172.06470999999999</v>
      </c>
      <c r="D39" s="499">
        <f t="shared" si="1"/>
        <v>27</v>
      </c>
    </row>
    <row r="40" spans="1:4">
      <c r="A40" s="459">
        <f t="shared" si="0"/>
        <v>28</v>
      </c>
      <c r="B40" s="160"/>
      <c r="C40" s="916"/>
      <c r="D40" s="499">
        <f t="shared" si="1"/>
        <v>28</v>
      </c>
    </row>
    <row r="41" spans="1:4" ht="16.5" thickBot="1">
      <c r="A41" s="459">
        <f t="shared" si="0"/>
        <v>29</v>
      </c>
      <c r="B41" s="1598">
        <v>2015</v>
      </c>
      <c r="C41" s="1125">
        <v>250.25083000000001</v>
      </c>
      <c r="D41" s="499">
        <f t="shared" si="1"/>
        <v>29</v>
      </c>
    </row>
    <row r="42" spans="1:4">
      <c r="A42" s="459">
        <f t="shared" si="0"/>
        <v>30</v>
      </c>
      <c r="B42" s="160"/>
      <c r="C42" s="916"/>
      <c r="D42" s="499">
        <f t="shared" si="1"/>
        <v>30</v>
      </c>
    </row>
    <row r="43" spans="1:4">
      <c r="A43" s="459">
        <f t="shared" si="0"/>
        <v>31</v>
      </c>
      <c r="B43" s="160">
        <v>2016</v>
      </c>
      <c r="C43" s="916">
        <v>419.77355</v>
      </c>
      <c r="D43" s="499">
        <f t="shared" si="1"/>
        <v>31</v>
      </c>
    </row>
    <row r="44" spans="1:4">
      <c r="A44" s="459">
        <f t="shared" si="0"/>
        <v>32</v>
      </c>
      <c r="B44" s="160"/>
      <c r="C44" s="916"/>
      <c r="D44" s="499">
        <f t="shared" si="1"/>
        <v>32</v>
      </c>
    </row>
    <row r="45" spans="1:4">
      <c r="A45" s="459">
        <f t="shared" si="0"/>
        <v>33</v>
      </c>
      <c r="B45" s="160">
        <v>2017</v>
      </c>
      <c r="C45" s="916">
        <v>923.86513000000002</v>
      </c>
      <c r="D45" s="499">
        <f t="shared" si="1"/>
        <v>33</v>
      </c>
    </row>
    <row r="46" spans="1:4">
      <c r="A46" s="459">
        <f t="shared" si="0"/>
        <v>34</v>
      </c>
      <c r="B46" s="160"/>
      <c r="C46" s="1595"/>
      <c r="D46" s="499">
        <f t="shared" si="1"/>
        <v>34</v>
      </c>
    </row>
    <row r="47" spans="1:4">
      <c r="A47" s="459">
        <f t="shared" si="0"/>
        <v>35</v>
      </c>
      <c r="B47" s="1596">
        <v>2018</v>
      </c>
      <c r="C47" s="1597">
        <v>330.76767999999998</v>
      </c>
      <c r="D47" s="499">
        <f t="shared" si="1"/>
        <v>35</v>
      </c>
    </row>
    <row r="48" spans="1:4">
      <c r="A48" s="459">
        <f t="shared" si="0"/>
        <v>36</v>
      </c>
      <c r="B48" s="160"/>
      <c r="C48" s="1326"/>
      <c r="D48" s="499">
        <f t="shared" si="1"/>
        <v>36</v>
      </c>
    </row>
    <row r="49" spans="1:4">
      <c r="A49" s="459">
        <f t="shared" si="0"/>
        <v>37</v>
      </c>
      <c r="B49" s="160"/>
      <c r="C49" s="1327"/>
      <c r="D49" s="499">
        <f t="shared" si="1"/>
        <v>37</v>
      </c>
    </row>
    <row r="50" spans="1:4">
      <c r="A50" s="459">
        <f t="shared" si="0"/>
        <v>38</v>
      </c>
      <c r="B50" s="160" t="s">
        <v>31</v>
      </c>
      <c r="C50" s="1328">
        <f>SUM(C13:C47)</f>
        <v>6529.0768399999988</v>
      </c>
      <c r="D50" s="499">
        <f t="shared" si="1"/>
        <v>38</v>
      </c>
    </row>
    <row r="51" spans="1:4">
      <c r="A51" s="459">
        <f t="shared" si="0"/>
        <v>39</v>
      </c>
      <c r="B51" s="160"/>
      <c r="C51" s="1328"/>
      <c r="D51" s="499">
        <f t="shared" si="1"/>
        <v>39</v>
      </c>
    </row>
    <row r="52" spans="1:4">
      <c r="A52" s="459">
        <f t="shared" si="0"/>
        <v>40</v>
      </c>
      <c r="B52" s="160" t="s">
        <v>878</v>
      </c>
      <c r="C52" s="1468">
        <f>-'AV-2B'!C19</f>
        <v>0</v>
      </c>
      <c r="D52" s="499">
        <f t="shared" si="1"/>
        <v>40</v>
      </c>
    </row>
    <row r="53" spans="1:4">
      <c r="A53" s="459">
        <f t="shared" si="0"/>
        <v>41</v>
      </c>
      <c r="B53" s="160"/>
      <c r="C53" s="1328"/>
      <c r="D53" s="499">
        <f t="shared" si="1"/>
        <v>41</v>
      </c>
    </row>
    <row r="54" spans="1:4" ht="32.25" thickBot="1">
      <c r="A54" s="459">
        <f t="shared" si="0"/>
        <v>42</v>
      </c>
      <c r="B54" s="1329" t="s">
        <v>829</v>
      </c>
      <c r="C54" s="1330">
        <f>SUM(C50:C52)</f>
        <v>6529.0768399999988</v>
      </c>
      <c r="D54" s="499">
        <f t="shared" si="1"/>
        <v>42</v>
      </c>
    </row>
    <row r="55" spans="1:4" ht="17.25" thickTop="1" thickBot="1">
      <c r="A55" s="459">
        <f t="shared" si="0"/>
        <v>43</v>
      </c>
      <c r="B55" s="1331"/>
      <c r="C55" s="1332"/>
      <c r="D55" s="499">
        <f t="shared" si="1"/>
        <v>43</v>
      </c>
    </row>
    <row r="58" spans="1:4" ht="18.75">
      <c r="A58" s="693">
        <v>1</v>
      </c>
      <c r="B58" s="1333" t="s">
        <v>706</v>
      </c>
    </row>
    <row r="59" spans="1:4" ht="18.75">
      <c r="A59" s="693"/>
      <c r="B59" s="4" t="s">
        <v>707</v>
      </c>
    </row>
    <row r="60" spans="1:4" ht="18.75">
      <c r="A60" s="693"/>
      <c r="B60" s="1333" t="s">
        <v>708</v>
      </c>
    </row>
    <row r="61" spans="1:4">
      <c r="A61" s="4"/>
      <c r="B61" s="1333"/>
    </row>
    <row r="62" spans="1:4">
      <c r="A62" s="4"/>
    </row>
    <row r="63" spans="1:4">
      <c r="A63" s="4"/>
    </row>
    <row r="65" spans="1:1" ht="18.75">
      <c r="A65" s="10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74" orientation="portrait" r:id="rId1"/>
  <headerFooter scaleWithDoc="0">
    <oddFooter>&amp;C&amp;"Times New Roman,Regular"&amp;10&amp;A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E28"/>
  <sheetViews>
    <sheetView zoomScale="80" zoomScaleNormal="80" zoomScalePageLayoutView="80" workbookViewId="0"/>
  </sheetViews>
  <sheetFormatPr defaultColWidth="8.7109375" defaultRowHeight="15.75"/>
  <cols>
    <col min="1" max="1" width="5.28515625" style="408" bestFit="1" customWidth="1"/>
    <col min="2" max="2" width="83.140625" style="408" bestFit="1" customWidth="1"/>
    <col min="3" max="3" width="18.5703125" style="408" customWidth="1"/>
    <col min="4" max="4" width="34.5703125" style="408" customWidth="1"/>
    <col min="5" max="5" width="5.28515625" style="600" bestFit="1" customWidth="1"/>
    <col min="6" max="16384" width="8.7109375" style="408"/>
  </cols>
  <sheetData>
    <row r="1" spans="1:5">
      <c r="A1" s="600"/>
    </row>
    <row r="2" spans="1:5">
      <c r="B2" s="1628" t="s">
        <v>18</v>
      </c>
      <c r="C2" s="1628"/>
      <c r="D2" s="1628"/>
      <c r="E2" s="1196"/>
    </row>
    <row r="3" spans="1:5">
      <c r="B3" s="1628" t="str">
        <f>"TO"&amp;Automation!$B$4&amp;"-Cycle "&amp;Automation!$B$5&amp;" Annual Transmission Formula Filing"</f>
        <v>TO5-Cycle 2 Annual Transmission Formula Filing</v>
      </c>
      <c r="C3" s="1628"/>
      <c r="D3" s="1628"/>
      <c r="E3" s="1196"/>
    </row>
    <row r="4" spans="1:5">
      <c r="B4" s="1628" t="s">
        <v>587</v>
      </c>
      <c r="C4" s="1628"/>
      <c r="D4" s="1628"/>
      <c r="E4" s="1196"/>
    </row>
    <row r="5" spans="1:5">
      <c r="B5" s="1628" t="str">
        <f>" 12 Months Ending December 31, "&amp;Automation!$B$6</f>
        <v xml:space="preserve"> 12 Months Ending December 31, 2018</v>
      </c>
      <c r="C5" s="1628"/>
      <c r="D5" s="1628"/>
    </row>
    <row r="6" spans="1:5">
      <c r="B6" s="1667">
        <v>-1000</v>
      </c>
      <c r="C6" s="1667"/>
      <c r="D6" s="1667"/>
      <c r="E6" s="681"/>
    </row>
    <row r="7" spans="1:5" ht="16.5" thickBot="1">
      <c r="A7" s="600"/>
      <c r="C7" s="600"/>
    </row>
    <row r="8" spans="1:5">
      <c r="A8" s="456" t="s">
        <v>4</v>
      </c>
      <c r="B8" s="1334"/>
      <c r="C8" s="1335"/>
      <c r="D8" s="1336"/>
      <c r="E8" s="456" t="s">
        <v>4</v>
      </c>
    </row>
    <row r="9" spans="1:5" ht="16.5" thickBot="1">
      <c r="A9" s="456" t="s">
        <v>25</v>
      </c>
      <c r="B9" s="1337" t="s">
        <v>72</v>
      </c>
      <c r="C9" s="1338" t="s">
        <v>128</v>
      </c>
      <c r="D9" s="1339" t="s">
        <v>9</v>
      </c>
      <c r="E9" s="456" t="s">
        <v>25</v>
      </c>
    </row>
    <row r="10" spans="1:5">
      <c r="A10" s="953"/>
      <c r="B10" s="1340"/>
      <c r="C10" s="458"/>
      <c r="D10" s="1341"/>
      <c r="E10" s="953"/>
    </row>
    <row r="11" spans="1:5">
      <c r="A11" s="456">
        <v>1</v>
      </c>
      <c r="B11" s="1342" t="s">
        <v>830</v>
      </c>
      <c r="C11" s="325">
        <v>0</v>
      </c>
      <c r="D11" s="491"/>
      <c r="E11" s="456">
        <f>A11</f>
        <v>1</v>
      </c>
    </row>
    <row r="12" spans="1:5">
      <c r="A12" s="456">
        <f>A11+1</f>
        <v>2</v>
      </c>
      <c r="B12" s="1342"/>
      <c r="C12" s="325"/>
      <c r="D12" s="491"/>
      <c r="E12" s="456">
        <f>E11+1</f>
        <v>2</v>
      </c>
    </row>
    <row r="13" spans="1:5">
      <c r="A13" s="456">
        <f t="shared" ref="A13:A28" si="0">A12+1</f>
        <v>3</v>
      </c>
      <c r="B13" s="1342" t="s">
        <v>978</v>
      </c>
      <c r="C13" s="1343">
        <v>0.73640000000000005</v>
      </c>
      <c r="D13" s="491"/>
      <c r="E13" s="456">
        <f t="shared" ref="E13:E28" si="1">E12+1</f>
        <v>3</v>
      </c>
    </row>
    <row r="14" spans="1:5">
      <c r="A14" s="456">
        <f t="shared" si="0"/>
        <v>4</v>
      </c>
      <c r="B14" s="1342"/>
      <c r="C14" s="1344"/>
      <c r="D14" s="491"/>
      <c r="E14" s="456">
        <f t="shared" si="1"/>
        <v>4</v>
      </c>
    </row>
    <row r="15" spans="1:5">
      <c r="A15" s="456">
        <f t="shared" si="0"/>
        <v>5</v>
      </c>
      <c r="B15" s="1342" t="s">
        <v>831</v>
      </c>
      <c r="C15" s="326">
        <f>C11*C13</f>
        <v>0</v>
      </c>
      <c r="D15" s="459" t="str">
        <f>"Line "&amp;A11&amp;" x Line "&amp;A13</f>
        <v>Line 1 x Line 3</v>
      </c>
      <c r="E15" s="456">
        <f t="shared" si="1"/>
        <v>5</v>
      </c>
    </row>
    <row r="16" spans="1:5">
      <c r="A16" s="456">
        <f t="shared" si="0"/>
        <v>6</v>
      </c>
      <c r="B16" s="1342"/>
      <c r="C16" s="1345"/>
      <c r="D16" s="459"/>
      <c r="E16" s="456">
        <f t="shared" si="1"/>
        <v>6</v>
      </c>
    </row>
    <row r="17" spans="1:5">
      <c r="A17" s="456">
        <f t="shared" si="0"/>
        <v>7</v>
      </c>
      <c r="B17" s="1342" t="s">
        <v>271</v>
      </c>
      <c r="C17" s="1346">
        <f>1/30</f>
        <v>3.3333333333333333E-2</v>
      </c>
      <c r="D17" s="459" t="s">
        <v>272</v>
      </c>
      <c r="E17" s="456">
        <f t="shared" si="1"/>
        <v>7</v>
      </c>
    </row>
    <row r="18" spans="1:5">
      <c r="A18" s="456">
        <f t="shared" si="0"/>
        <v>8</v>
      </c>
      <c r="B18" s="1342"/>
      <c r="C18" s="1347"/>
      <c r="D18" s="459"/>
      <c r="E18" s="456">
        <f t="shared" si="1"/>
        <v>8</v>
      </c>
    </row>
    <row r="19" spans="1:5" ht="16.5" thickBot="1">
      <c r="A19" s="456">
        <f t="shared" si="0"/>
        <v>9</v>
      </c>
      <c r="B19" s="1348" t="s">
        <v>273</v>
      </c>
      <c r="C19" s="541">
        <f>C15*C17</f>
        <v>0</v>
      </c>
      <c r="D19" s="459" t="str">
        <f>"Line "&amp;A15&amp;" x Line "&amp;A17</f>
        <v>Line 5 x Line 7</v>
      </c>
      <c r="E19" s="456">
        <f t="shared" si="1"/>
        <v>9</v>
      </c>
    </row>
    <row r="20" spans="1:5" ht="16.5" thickTop="1">
      <c r="A20" s="456">
        <f t="shared" si="0"/>
        <v>10</v>
      </c>
      <c r="B20" s="1342"/>
      <c r="C20" s="1349"/>
      <c r="D20" s="491"/>
      <c r="E20" s="456">
        <f t="shared" si="1"/>
        <v>10</v>
      </c>
    </row>
    <row r="21" spans="1:5">
      <c r="A21" s="456">
        <f t="shared" si="0"/>
        <v>11</v>
      </c>
      <c r="B21" s="1342" t="s">
        <v>313</v>
      </c>
      <c r="C21" s="1346">
        <v>0.27983599999999997</v>
      </c>
      <c r="D21" s="491"/>
      <c r="E21" s="456">
        <f t="shared" si="1"/>
        <v>11</v>
      </c>
    </row>
    <row r="22" spans="1:5">
      <c r="A22" s="456">
        <f t="shared" si="0"/>
        <v>12</v>
      </c>
      <c r="B22" s="1342"/>
      <c r="C22" s="1350"/>
      <c r="D22" s="491"/>
      <c r="E22" s="456">
        <f t="shared" si="1"/>
        <v>12</v>
      </c>
    </row>
    <row r="23" spans="1:5">
      <c r="A23" s="456">
        <f t="shared" si="0"/>
        <v>13</v>
      </c>
      <c r="B23" s="1342" t="s">
        <v>314</v>
      </c>
      <c r="C23" s="326">
        <f>C19*C21</f>
        <v>0</v>
      </c>
      <c r="D23" s="459" t="str">
        <f>"Line "&amp;A19&amp;" x Line "&amp;A21</f>
        <v>Line 9 x Line 11</v>
      </c>
      <c r="E23" s="456">
        <f t="shared" si="1"/>
        <v>13</v>
      </c>
    </row>
    <row r="24" spans="1:5">
      <c r="A24" s="456">
        <f t="shared" si="0"/>
        <v>14</v>
      </c>
      <c r="B24" s="1342"/>
      <c r="C24" s="1350"/>
      <c r="D24" s="491"/>
      <c r="E24" s="456">
        <f t="shared" si="1"/>
        <v>14</v>
      </c>
    </row>
    <row r="25" spans="1:5">
      <c r="A25" s="456">
        <f t="shared" si="0"/>
        <v>15</v>
      </c>
      <c r="B25" s="1342" t="s">
        <v>315</v>
      </c>
      <c r="C25" s="1351">
        <v>1.3885726029071155</v>
      </c>
      <c r="D25" s="491"/>
      <c r="E25" s="456">
        <f t="shared" si="1"/>
        <v>15</v>
      </c>
    </row>
    <row r="26" spans="1:5">
      <c r="A26" s="456">
        <f t="shared" si="0"/>
        <v>16</v>
      </c>
      <c r="B26" s="1342"/>
      <c r="C26" s="1350"/>
      <c r="D26" s="491"/>
      <c r="E26" s="456">
        <f t="shared" si="1"/>
        <v>16</v>
      </c>
    </row>
    <row r="27" spans="1:5" ht="16.5" thickBot="1">
      <c r="A27" s="456">
        <f t="shared" si="0"/>
        <v>17</v>
      </c>
      <c r="B27" s="1348" t="s">
        <v>316</v>
      </c>
      <c r="C27" s="541">
        <f>C23*C25</f>
        <v>0</v>
      </c>
      <c r="D27" s="459" t="str">
        <f>"Line "&amp;A23&amp;" x Line "&amp;A25</f>
        <v>Line 13 x Line 15</v>
      </c>
      <c r="E27" s="456">
        <f t="shared" si="1"/>
        <v>17</v>
      </c>
    </row>
    <row r="28" spans="1:5" ht="17.25" thickTop="1" thickBot="1">
      <c r="A28" s="456">
        <f t="shared" si="0"/>
        <v>18</v>
      </c>
      <c r="B28" s="1352"/>
      <c r="C28" s="1309"/>
      <c r="D28" s="488"/>
      <c r="E28" s="456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6" orientation="landscape" r:id="rId1"/>
  <headerFooter scaleWithDoc="0">
    <oddFooter>&amp;C&amp;"Times New Roman,Regular"&amp;10&amp;A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/>
  </sheetViews>
  <sheetFormatPr defaultColWidth="8.7109375" defaultRowHeight="15.75"/>
  <cols>
    <col min="1" max="1" width="5.140625" style="168" customWidth="1"/>
    <col min="2" max="2" width="83" style="19" customWidth="1"/>
    <col min="3" max="3" width="16.85546875" style="19" customWidth="1"/>
    <col min="4" max="4" width="1.5703125" style="19" customWidth="1"/>
    <col min="5" max="5" width="38.7109375" style="19" customWidth="1"/>
    <col min="6" max="6" width="5.140625" style="168" customWidth="1"/>
    <col min="7" max="16384" width="8.7109375" style="19"/>
  </cols>
  <sheetData>
    <row r="1" spans="1:6">
      <c r="A1" s="303"/>
      <c r="B1" s="110"/>
      <c r="C1" s="111"/>
      <c r="D1" s="111"/>
      <c r="E1" s="137"/>
      <c r="F1" s="303"/>
    </row>
    <row r="2" spans="1:6">
      <c r="A2" s="303"/>
      <c r="B2" s="1670" t="s">
        <v>18</v>
      </c>
      <c r="C2" s="1669"/>
      <c r="D2" s="1669"/>
      <c r="E2" s="1669"/>
      <c r="F2" s="303"/>
    </row>
    <row r="3" spans="1:6">
      <c r="A3" s="303" t="s">
        <v>10</v>
      </c>
      <c r="B3" s="1670" t="s">
        <v>317</v>
      </c>
      <c r="C3" s="1669"/>
      <c r="D3" s="1669"/>
      <c r="E3" s="1669"/>
      <c r="F3" s="303" t="s">
        <v>10</v>
      </c>
    </row>
    <row r="4" spans="1:6">
      <c r="A4" s="303"/>
      <c r="B4" s="1671" t="str">
        <f>'A. Sec.1 - Direct Maintenance'!B5</f>
        <v>Base Period &amp; True-Up Period 12 - Months Ending December 31, 2018</v>
      </c>
      <c r="C4" s="1672"/>
      <c r="D4" s="1672"/>
      <c r="E4" s="1672"/>
      <c r="F4" s="303"/>
    </row>
    <row r="5" spans="1:6">
      <c r="A5" s="303"/>
      <c r="B5" s="1668" t="s">
        <v>3</v>
      </c>
      <c r="C5" s="1669"/>
      <c r="D5" s="1669"/>
      <c r="E5" s="1669"/>
      <c r="F5" s="303"/>
    </row>
    <row r="6" spans="1:6">
      <c r="A6" s="303"/>
      <c r="B6" s="139"/>
      <c r="C6" s="97"/>
      <c r="D6" s="935"/>
      <c r="E6" s="97"/>
      <c r="F6" s="303"/>
    </row>
    <row r="7" spans="1:6">
      <c r="A7" s="740" t="s">
        <v>4</v>
      </c>
      <c r="B7" s="112"/>
      <c r="C7" s="113"/>
      <c r="D7" s="113"/>
      <c r="E7" s="137"/>
      <c r="F7" s="740" t="s">
        <v>4</v>
      </c>
    </row>
    <row r="8" spans="1:6">
      <c r="A8" s="740" t="s">
        <v>25</v>
      </c>
      <c r="B8" s="114" t="s">
        <v>10</v>
      </c>
      <c r="C8" s="866" t="s">
        <v>128</v>
      </c>
      <c r="D8" s="113"/>
      <c r="E8" s="96" t="s">
        <v>9</v>
      </c>
      <c r="F8" s="740" t="s">
        <v>25</v>
      </c>
    </row>
    <row r="9" spans="1:6">
      <c r="A9" s="303"/>
      <c r="B9" s="1516" t="s">
        <v>318</v>
      </c>
      <c r="C9" s="117"/>
      <c r="D9" s="113"/>
      <c r="E9" s="137"/>
      <c r="F9" s="303"/>
    </row>
    <row r="10" spans="1:6">
      <c r="A10" s="303"/>
      <c r="B10" s="116"/>
      <c r="C10" s="117"/>
      <c r="D10" s="113"/>
      <c r="E10" s="1472"/>
      <c r="F10" s="303"/>
    </row>
    <row r="11" spans="1:6">
      <c r="A11" s="303">
        <v>1</v>
      </c>
      <c r="B11" s="967" t="s">
        <v>319</v>
      </c>
      <c r="C11" s="117"/>
      <c r="D11" s="117"/>
      <c r="E11" s="137"/>
      <c r="F11" s="303">
        <f>A11</f>
        <v>1</v>
      </c>
    </row>
    <row r="12" spans="1:6">
      <c r="A12" s="303">
        <f>A11+1</f>
        <v>2</v>
      </c>
      <c r="B12" s="118" t="s">
        <v>124</v>
      </c>
      <c r="C12" s="1075">
        <f>C75</f>
        <v>4558369.6291265385</v>
      </c>
      <c r="D12" s="83"/>
      <c r="E12" s="108" t="str">
        <f>"Page 2; Line "&amp;A75</f>
        <v>Page 2; Line 16</v>
      </c>
      <c r="F12" s="303">
        <f>F11+1</f>
        <v>2</v>
      </c>
    </row>
    <row r="13" spans="1:6">
      <c r="A13" s="303">
        <f t="shared" ref="A13:A48" si="0">A12+1</f>
        <v>3</v>
      </c>
      <c r="B13" s="118" t="s">
        <v>13</v>
      </c>
      <c r="C13" s="636">
        <f>C76</f>
        <v>5863.0679868925545</v>
      </c>
      <c r="D13" s="943"/>
      <c r="E13" s="173" t="str">
        <f>"Page 2; Line "&amp;A76</f>
        <v>Page 2; Line 17</v>
      </c>
      <c r="F13" s="303">
        <f t="shared" ref="F13:F48" si="1">F12+1</f>
        <v>3</v>
      </c>
    </row>
    <row r="14" spans="1:6">
      <c r="A14" s="303">
        <f t="shared" si="0"/>
        <v>4</v>
      </c>
      <c r="B14" s="118" t="s">
        <v>14</v>
      </c>
      <c r="C14" s="636">
        <f>C77</f>
        <v>25019.600360902012</v>
      </c>
      <c r="D14" s="943"/>
      <c r="E14" s="173" t="str">
        <f>"Page 2; Line "&amp;A77</f>
        <v>Page 2; Line 18</v>
      </c>
      <c r="F14" s="303">
        <f t="shared" si="1"/>
        <v>4</v>
      </c>
    </row>
    <row r="15" spans="1:6">
      <c r="A15" s="303">
        <f t="shared" si="0"/>
        <v>5</v>
      </c>
      <c r="B15" s="119" t="s">
        <v>320</v>
      </c>
      <c r="C15" s="1097">
        <f>C78</f>
        <v>47895.496741946881</v>
      </c>
      <c r="D15" s="943"/>
      <c r="E15" s="173" t="str">
        <f>"Page 2; Line "&amp;A78</f>
        <v>Page 2; Line 19</v>
      </c>
      <c r="F15" s="303">
        <f t="shared" si="1"/>
        <v>5</v>
      </c>
    </row>
    <row r="16" spans="1:6">
      <c r="A16" s="303">
        <f t="shared" si="0"/>
        <v>6</v>
      </c>
      <c r="B16" s="118" t="s">
        <v>321</v>
      </c>
      <c r="C16" s="1098">
        <f>SUM(C12:C15)</f>
        <v>4637147.7942162799</v>
      </c>
      <c r="D16" s="125"/>
      <c r="E16" s="108" t="str">
        <f>"Sum Lines "&amp;A12&amp;" thru "&amp;A15</f>
        <v>Sum Lines 2 thru 5</v>
      </c>
      <c r="F16" s="303">
        <f t="shared" si="1"/>
        <v>6</v>
      </c>
    </row>
    <row r="17" spans="1:6">
      <c r="A17" s="303">
        <f t="shared" si="0"/>
        <v>7</v>
      </c>
      <c r="B17" s="109"/>
      <c r="C17" s="1099"/>
      <c r="D17" s="121"/>
      <c r="E17" s="137"/>
      <c r="F17" s="303">
        <f t="shared" si="1"/>
        <v>7</v>
      </c>
    </row>
    <row r="18" spans="1:6">
      <c r="A18" s="303">
        <f t="shared" si="0"/>
        <v>8</v>
      </c>
      <c r="B18" s="967" t="s">
        <v>322</v>
      </c>
      <c r="C18" s="1099"/>
      <c r="D18" s="121"/>
      <c r="E18" s="137"/>
      <c r="F18" s="303">
        <f t="shared" si="1"/>
        <v>8</v>
      </c>
    </row>
    <row r="19" spans="1:6">
      <c r="A19" s="303">
        <f t="shared" si="0"/>
        <v>9</v>
      </c>
      <c r="B19" s="118" t="s">
        <v>323</v>
      </c>
      <c r="C19" s="1100">
        <f>'Stmt AG'!E11</f>
        <v>950.34505384615397</v>
      </c>
      <c r="D19" s="113"/>
      <c r="E19" s="108" t="str">
        <f>"Statement AG; Line "&amp;'Stmt AG'!A11</f>
        <v>Statement AG; Line 1</v>
      </c>
      <c r="F19" s="303">
        <f t="shared" si="1"/>
        <v>9</v>
      </c>
    </row>
    <row r="20" spans="1:6">
      <c r="A20" s="303">
        <f t="shared" si="0"/>
        <v>10</v>
      </c>
      <c r="B20" s="118" t="s">
        <v>324</v>
      </c>
      <c r="C20" s="1443">
        <f>'Stmt Misc.'!E12</f>
        <v>0</v>
      </c>
      <c r="D20" s="113"/>
      <c r="E20" s="173" t="str">
        <f>"Statement Misc.; Line "&amp;'Stmt Misc.'!A12</f>
        <v>Statement Misc.; Line 3</v>
      </c>
      <c r="F20" s="303">
        <f t="shared" si="1"/>
        <v>10</v>
      </c>
    </row>
    <row r="21" spans="1:6">
      <c r="A21" s="303">
        <f t="shared" si="0"/>
        <v>11</v>
      </c>
      <c r="B21" s="118" t="s">
        <v>325</v>
      </c>
      <c r="C21" s="1101">
        <f>C19+C20</f>
        <v>950.34505384615397</v>
      </c>
      <c r="D21" s="965"/>
      <c r="E21" s="108" t="str">
        <f>"Line "&amp;A19&amp;" + Line "&amp;A20</f>
        <v>Line 9 + Line 10</v>
      </c>
      <c r="F21" s="303">
        <f t="shared" si="1"/>
        <v>11</v>
      </c>
    </row>
    <row r="22" spans="1:6">
      <c r="A22" s="303">
        <f t="shared" si="0"/>
        <v>12</v>
      </c>
      <c r="B22" s="118"/>
      <c r="C22" s="1102"/>
      <c r="D22" s="111"/>
      <c r="E22" s="137"/>
      <c r="F22" s="303">
        <f t="shared" si="1"/>
        <v>12</v>
      </c>
    </row>
    <row r="23" spans="1:6">
      <c r="A23" s="303">
        <f t="shared" si="0"/>
        <v>13</v>
      </c>
      <c r="B23" s="967" t="s">
        <v>326</v>
      </c>
      <c r="C23" s="1099"/>
      <c r="D23" s="121"/>
      <c r="E23" s="137"/>
      <c r="F23" s="303">
        <f t="shared" si="1"/>
        <v>13</v>
      </c>
    </row>
    <row r="24" spans="1:6">
      <c r="A24" s="303">
        <f t="shared" si="0"/>
        <v>14</v>
      </c>
      <c r="B24" s="109" t="s">
        <v>327</v>
      </c>
      <c r="C24" s="1103">
        <f>'Stmt AF'!I17</f>
        <v>-789049.57673542202</v>
      </c>
      <c r="D24" s="113"/>
      <c r="E24" s="108" t="str">
        <f>"Statement AF; Line "&amp;'Stmt AF'!A17</f>
        <v>Statement AF; Line 7</v>
      </c>
      <c r="F24" s="303">
        <f t="shared" si="1"/>
        <v>14</v>
      </c>
    </row>
    <row r="25" spans="1:6">
      <c r="A25" s="303">
        <f t="shared" si="0"/>
        <v>15</v>
      </c>
      <c r="B25" s="109" t="s">
        <v>328</v>
      </c>
      <c r="C25" s="1104">
        <f>'Stmt AF'!I21</f>
        <v>0</v>
      </c>
      <c r="D25" s="113"/>
      <c r="E25" s="173" t="str">
        <f>"Statement AF; Line "&amp;'Stmt AF'!A21</f>
        <v>Statement AF; Line 11</v>
      </c>
      <c r="F25" s="303">
        <f t="shared" si="1"/>
        <v>15</v>
      </c>
    </row>
    <row r="26" spans="1:6">
      <c r="A26" s="303">
        <f t="shared" si="0"/>
        <v>16</v>
      </c>
      <c r="B26" s="118" t="s">
        <v>329</v>
      </c>
      <c r="C26" s="1098">
        <f>SUM(C24:C25)</f>
        <v>-789049.57673542202</v>
      </c>
      <c r="D26" s="125"/>
      <c r="E26" s="173" t="str">
        <f>"Line "&amp;A24&amp;" + Line "&amp;A25</f>
        <v>Line 14 + Line 15</v>
      </c>
      <c r="F26" s="303">
        <f t="shared" si="1"/>
        <v>16</v>
      </c>
    </row>
    <row r="27" spans="1:6">
      <c r="A27" s="303">
        <f t="shared" si="0"/>
        <v>17</v>
      </c>
      <c r="B27" s="114"/>
      <c r="C27" s="1105"/>
      <c r="D27" s="122"/>
      <c r="E27" s="137"/>
      <c r="F27" s="303">
        <f t="shared" si="1"/>
        <v>17</v>
      </c>
    </row>
    <row r="28" spans="1:6">
      <c r="A28" s="303">
        <f t="shared" si="0"/>
        <v>18</v>
      </c>
      <c r="B28" s="967" t="s">
        <v>330</v>
      </c>
      <c r="C28" s="1105"/>
      <c r="D28" s="122"/>
      <c r="E28" s="137"/>
      <c r="F28" s="303">
        <f t="shared" si="1"/>
        <v>18</v>
      </c>
    </row>
    <row r="29" spans="1:6">
      <c r="A29" s="303">
        <f t="shared" si="0"/>
        <v>19</v>
      </c>
      <c r="B29" s="118" t="s">
        <v>331</v>
      </c>
      <c r="C29" s="1075">
        <f>'Stmt AL'!G15</f>
        <v>52122.705552521453</v>
      </c>
      <c r="D29" s="113"/>
      <c r="E29" s="108" t="str">
        <f>"Statement AL; Line "&amp;'Stmt AL'!A15</f>
        <v>Statement AL; Line 5</v>
      </c>
      <c r="F29" s="303">
        <f t="shared" si="1"/>
        <v>19</v>
      </c>
    </row>
    <row r="30" spans="1:6">
      <c r="A30" s="303">
        <f t="shared" si="0"/>
        <v>20</v>
      </c>
      <c r="B30" s="118" t="s">
        <v>332</v>
      </c>
      <c r="C30" s="636">
        <f>'Stmt AL'!G19</f>
        <v>19698.911876068967</v>
      </c>
      <c r="D30" s="113"/>
      <c r="E30" s="173" t="str">
        <f>"Statement AL; Line "&amp;'Stmt AL'!A19</f>
        <v>Statement AL; Line 9</v>
      </c>
      <c r="F30" s="303">
        <f t="shared" si="1"/>
        <v>20</v>
      </c>
    </row>
    <row r="31" spans="1:6">
      <c r="A31" s="303">
        <f t="shared" si="0"/>
        <v>21</v>
      </c>
      <c r="B31" s="119" t="s">
        <v>333</v>
      </c>
      <c r="C31" s="1097">
        <f>'Stmt AL'!E29</f>
        <v>8616.8451250358412</v>
      </c>
      <c r="D31" s="113"/>
      <c r="E31" s="173" t="str">
        <f>"Statement AL; Line "&amp;'Stmt AL'!A29</f>
        <v>Statement AL; Line 19</v>
      </c>
      <c r="F31" s="303">
        <f t="shared" si="1"/>
        <v>21</v>
      </c>
    </row>
    <row r="32" spans="1:6">
      <c r="A32" s="303">
        <f t="shared" si="0"/>
        <v>22</v>
      </c>
      <c r="B32" s="118" t="s">
        <v>631</v>
      </c>
      <c r="C32" s="1098">
        <f>SUM(C29:C31)</f>
        <v>80438.462553626276</v>
      </c>
      <c r="D32" s="125"/>
      <c r="E32" s="173" t="str">
        <f>"Sum Lines "&amp;A29&amp;" thru "&amp;A31</f>
        <v>Sum Lines 19 thru 21</v>
      </c>
      <c r="F32" s="303">
        <f t="shared" si="1"/>
        <v>22</v>
      </c>
    </row>
    <row r="33" spans="1:6">
      <c r="A33" s="303">
        <f t="shared" si="0"/>
        <v>23</v>
      </c>
      <c r="B33" s="120"/>
      <c r="C33" s="1106"/>
      <c r="D33" s="123"/>
      <c r="E33" s="137"/>
      <c r="F33" s="303">
        <f t="shared" si="1"/>
        <v>23</v>
      </c>
    </row>
    <row r="34" spans="1:6">
      <c r="A34" s="303">
        <f t="shared" si="0"/>
        <v>24</v>
      </c>
      <c r="B34" s="118" t="s">
        <v>334</v>
      </c>
      <c r="C34" s="1444">
        <f>'Stmt Misc.'!E14</f>
        <v>0</v>
      </c>
      <c r="D34" s="113"/>
      <c r="E34" s="108" t="str">
        <f>"Statement Misc.; Line "&amp;'Stmt Misc.'!A14</f>
        <v>Statement Misc.; Line 5</v>
      </c>
      <c r="F34" s="303">
        <f t="shared" si="1"/>
        <v>24</v>
      </c>
    </row>
    <row r="35" spans="1:6">
      <c r="A35" s="303">
        <f t="shared" si="0"/>
        <v>25</v>
      </c>
      <c r="B35" s="118"/>
      <c r="C35" s="1106"/>
      <c r="D35" s="123"/>
      <c r="E35" s="137"/>
      <c r="F35" s="303">
        <f t="shared" si="1"/>
        <v>25</v>
      </c>
    </row>
    <row r="36" spans="1:6" ht="16.5" thickBot="1">
      <c r="A36" s="303">
        <f t="shared" si="0"/>
        <v>26</v>
      </c>
      <c r="B36" s="118" t="s">
        <v>630</v>
      </c>
      <c r="C36" s="1107">
        <f>C16+C21+C26+C32+C34</f>
        <v>3929487.0250883303</v>
      </c>
      <c r="D36" s="125"/>
      <c r="E36" s="108" t="str">
        <f>"Sum Lines "&amp;A16&amp;", "&amp;A21&amp;", "&amp;A26&amp;", "&amp;A32&amp;", "&amp;A34</f>
        <v>Sum Lines 6, 11, 16, 22, 24</v>
      </c>
      <c r="F36" s="303">
        <f t="shared" si="1"/>
        <v>26</v>
      </c>
    </row>
    <row r="37" spans="1:6" ht="16.5" thickTop="1">
      <c r="A37" s="303">
        <f t="shared" si="0"/>
        <v>27</v>
      </c>
      <c r="B37" s="124"/>
      <c r="C37" s="1108"/>
      <c r="D37" s="125"/>
      <c r="E37" s="126"/>
      <c r="F37" s="303">
        <f t="shared" si="1"/>
        <v>27</v>
      </c>
    </row>
    <row r="38" spans="1:6">
      <c r="A38" s="303">
        <f t="shared" si="0"/>
        <v>28</v>
      </c>
      <c r="B38" s="1516" t="s">
        <v>1001</v>
      </c>
      <c r="C38" s="1108"/>
      <c r="D38" s="125"/>
      <c r="E38" s="126"/>
      <c r="F38" s="303">
        <f t="shared" si="1"/>
        <v>28</v>
      </c>
    </row>
    <row r="39" spans="1:6">
      <c r="A39" s="303">
        <f t="shared" si="0"/>
        <v>29</v>
      </c>
      <c r="B39" s="118" t="s">
        <v>958</v>
      </c>
      <c r="C39" s="1521">
        <v>0</v>
      </c>
      <c r="D39" s="1519"/>
      <c r="E39" s="173" t="s">
        <v>130</v>
      </c>
      <c r="F39" s="303">
        <f t="shared" si="1"/>
        <v>29</v>
      </c>
    </row>
    <row r="40" spans="1:6">
      <c r="A40" s="303">
        <f t="shared" si="0"/>
        <v>30</v>
      </c>
      <c r="B40" s="118" t="s">
        <v>959</v>
      </c>
      <c r="C40" s="1563">
        <v>0</v>
      </c>
      <c r="D40" s="113"/>
      <c r="E40" s="173" t="s">
        <v>130</v>
      </c>
      <c r="F40" s="303">
        <f t="shared" si="1"/>
        <v>30</v>
      </c>
    </row>
    <row r="41" spans="1:6">
      <c r="A41" s="303">
        <f t="shared" si="0"/>
        <v>31</v>
      </c>
      <c r="B41" s="109" t="s">
        <v>960</v>
      </c>
      <c r="C41" s="1520">
        <f>C39+C40</f>
        <v>0</v>
      </c>
      <c r="D41" s="125"/>
      <c r="E41" s="173" t="str">
        <f>"Line "&amp;A39&amp;" + Line "&amp;A40</f>
        <v>Line 29 + Line 30</v>
      </c>
      <c r="F41" s="303">
        <f t="shared" si="1"/>
        <v>31</v>
      </c>
    </row>
    <row r="42" spans="1:6">
      <c r="A42" s="303">
        <f t="shared" si="0"/>
        <v>32</v>
      </c>
      <c r="B42" s="120"/>
      <c r="C42" s="1108"/>
      <c r="D42" s="125"/>
      <c r="E42" s="1472"/>
      <c r="F42" s="303">
        <f t="shared" si="1"/>
        <v>32</v>
      </c>
    </row>
    <row r="43" spans="1:6">
      <c r="A43" s="303">
        <f t="shared" si="0"/>
        <v>33</v>
      </c>
      <c r="B43" s="967" t="s">
        <v>1002</v>
      </c>
      <c r="C43" s="1108"/>
      <c r="D43" s="125"/>
      <c r="E43" s="1472"/>
      <c r="F43" s="303">
        <f t="shared" si="1"/>
        <v>33</v>
      </c>
    </row>
    <row r="44" spans="1:6">
      <c r="A44" s="303">
        <f t="shared" si="0"/>
        <v>34</v>
      </c>
      <c r="B44" s="118" t="s">
        <v>961</v>
      </c>
      <c r="C44" s="1521">
        <v>0</v>
      </c>
      <c r="D44" s="113"/>
      <c r="E44" s="173" t="s">
        <v>130</v>
      </c>
      <c r="F44" s="303">
        <f t="shared" si="1"/>
        <v>34</v>
      </c>
    </row>
    <row r="45" spans="1:6">
      <c r="A45" s="303">
        <f t="shared" si="0"/>
        <v>35</v>
      </c>
      <c r="B45" s="109" t="s">
        <v>962</v>
      </c>
      <c r="C45" s="1564">
        <v>0</v>
      </c>
      <c r="D45" s="113"/>
      <c r="E45" s="173" t="s">
        <v>130</v>
      </c>
      <c r="F45" s="303">
        <f t="shared" si="1"/>
        <v>35</v>
      </c>
    </row>
    <row r="46" spans="1:6">
      <c r="A46" s="303">
        <f t="shared" si="0"/>
        <v>36</v>
      </c>
      <c r="B46" s="109" t="s">
        <v>963</v>
      </c>
      <c r="C46" s="1520">
        <f>C44+C45</f>
        <v>0</v>
      </c>
      <c r="D46" s="125"/>
      <c r="E46" s="173" t="str">
        <f>"Line "&amp;A44&amp;" + Line "&amp;A45</f>
        <v>Line 34 + Line 35</v>
      </c>
      <c r="F46" s="303">
        <f t="shared" si="1"/>
        <v>36</v>
      </c>
    </row>
    <row r="47" spans="1:6">
      <c r="A47" s="303">
        <f t="shared" si="0"/>
        <v>37</v>
      </c>
      <c r="B47" s="120"/>
      <c r="C47" s="1108"/>
      <c r="D47" s="125"/>
      <c r="E47" s="1472"/>
      <c r="F47" s="303">
        <f t="shared" si="1"/>
        <v>37</v>
      </c>
    </row>
    <row r="48" spans="1:6" ht="16.5" thickBot="1">
      <c r="A48" s="303">
        <f t="shared" si="0"/>
        <v>38</v>
      </c>
      <c r="B48" s="967" t="s">
        <v>1003</v>
      </c>
      <c r="C48" s="1522">
        <v>0</v>
      </c>
      <c r="D48" s="113"/>
      <c r="E48" s="173" t="s">
        <v>130</v>
      </c>
      <c r="F48" s="303">
        <f t="shared" si="1"/>
        <v>38</v>
      </c>
    </row>
    <row r="49" spans="1:8" ht="16.5" thickTop="1">
      <c r="A49" s="303"/>
      <c r="B49" s="124"/>
      <c r="C49" s="1108"/>
      <c r="D49" s="125"/>
      <c r="E49" s="126"/>
      <c r="F49" s="303"/>
    </row>
    <row r="50" spans="1:8">
      <c r="A50" s="303"/>
      <c r="B50" s="1479"/>
      <c r="C50" s="1480"/>
      <c r="D50" s="1480"/>
      <c r="E50" s="1480"/>
      <c r="F50" s="303"/>
    </row>
    <row r="51" spans="1:8">
      <c r="A51" s="303"/>
      <c r="B51" s="1670" t="str">
        <f>B2</f>
        <v>SAN DIEGO GAS &amp; ELECTRIC COMPANY</v>
      </c>
      <c r="C51" s="1669"/>
      <c r="D51" s="1669"/>
      <c r="E51" s="1669"/>
      <c r="F51" s="303"/>
    </row>
    <row r="52" spans="1:8">
      <c r="A52" s="303"/>
      <c r="B52" s="1670" t="str">
        <f>B3</f>
        <v xml:space="preserve">Derivation of End Use Transmission Rate Base </v>
      </c>
      <c r="C52" s="1669"/>
      <c r="D52" s="1669"/>
      <c r="E52" s="1669"/>
      <c r="F52" s="303"/>
    </row>
    <row r="53" spans="1:8">
      <c r="A53" s="303"/>
      <c r="B53" s="1671" t="str">
        <f>B4</f>
        <v>Base Period &amp; True-Up Period 12 - Months Ending December 31, 2018</v>
      </c>
      <c r="C53" s="1672"/>
      <c r="D53" s="1672"/>
      <c r="E53" s="1672"/>
      <c r="F53" s="303"/>
    </row>
    <row r="54" spans="1:8">
      <c r="A54" s="303"/>
      <c r="B54" s="1668" t="s">
        <v>3</v>
      </c>
      <c r="C54" s="1669"/>
      <c r="D54" s="1669"/>
      <c r="E54" s="1669"/>
      <c r="F54" s="303"/>
    </row>
    <row r="55" spans="1:8">
      <c r="A55" s="303"/>
      <c r="B55" s="1481"/>
      <c r="C55" s="1480"/>
      <c r="D55" s="1480"/>
      <c r="E55" s="1480"/>
      <c r="F55" s="303"/>
    </row>
    <row r="56" spans="1:8">
      <c r="A56" s="740" t="s">
        <v>4</v>
      </c>
      <c r="B56" s="1481"/>
      <c r="C56" s="1480"/>
      <c r="D56" s="1480"/>
      <c r="E56" s="1480"/>
      <c r="F56" s="303"/>
    </row>
    <row r="57" spans="1:8">
      <c r="A57" s="740" t="s">
        <v>25</v>
      </c>
      <c r="B57" s="1481"/>
      <c r="C57" s="1480"/>
      <c r="D57" s="1480"/>
      <c r="E57" s="1480"/>
      <c r="F57" s="303"/>
    </row>
    <row r="58" spans="1:8">
      <c r="A58" s="740"/>
      <c r="B58" s="1516" t="s">
        <v>953</v>
      </c>
      <c r="C58" s="1480"/>
      <c r="D58" s="1480"/>
      <c r="E58" s="1480"/>
      <c r="F58" s="303"/>
    </row>
    <row r="59" spans="1:8">
      <c r="A59" s="303"/>
      <c r="B59" s="116"/>
      <c r="C59" s="113"/>
      <c r="D59" s="113"/>
      <c r="E59" s="137"/>
      <c r="F59" s="303"/>
    </row>
    <row r="60" spans="1:8">
      <c r="A60" s="303">
        <v>1</v>
      </c>
      <c r="B60" s="967" t="s">
        <v>335</v>
      </c>
      <c r="C60" s="113"/>
      <c r="D60" s="113"/>
      <c r="E60" s="137"/>
      <c r="F60" s="303">
        <f t="shared" ref="F60:F84" si="2">A60</f>
        <v>1</v>
      </c>
    </row>
    <row r="61" spans="1:8">
      <c r="A61" s="303">
        <v>2</v>
      </c>
      <c r="B61" s="118" t="s">
        <v>124</v>
      </c>
      <c r="C61" s="1110">
        <f>'Stmt AD'!I21</f>
        <v>5678390.0500223078</v>
      </c>
      <c r="D61" s="113"/>
      <c r="E61" s="108" t="str">
        <f>"Statement AD; Line "&amp;'Stmt AD'!A21</f>
        <v>Statement AD; Line 11</v>
      </c>
      <c r="F61" s="303">
        <f t="shared" si="2"/>
        <v>2</v>
      </c>
      <c r="G61" s="169"/>
      <c r="H61" s="170"/>
    </row>
    <row r="62" spans="1:8">
      <c r="A62" s="303">
        <v>3</v>
      </c>
      <c r="B62" s="118" t="s">
        <v>336</v>
      </c>
      <c r="C62" s="1111">
        <f>'Stmt AD'!I37</f>
        <v>17866.07612325966</v>
      </c>
      <c r="D62" s="113"/>
      <c r="E62" s="173" t="str">
        <f>"Statement AD; Line "&amp;'Stmt AD'!A37</f>
        <v>Statement AD; Line 27</v>
      </c>
      <c r="F62" s="303">
        <f t="shared" si="2"/>
        <v>3</v>
      </c>
      <c r="G62" s="169"/>
      <c r="H62" s="170"/>
    </row>
    <row r="63" spans="1:8">
      <c r="A63" s="303">
        <v>4</v>
      </c>
      <c r="B63" s="118" t="s">
        <v>14</v>
      </c>
      <c r="C63" s="1111">
        <f>'Stmt AD'!I39</f>
        <v>40941.349529324259</v>
      </c>
      <c r="D63" s="113"/>
      <c r="E63" s="173" t="str">
        <f>"Statement AD; Line "&amp;'Stmt AD'!A39</f>
        <v>Statement AD; Line 29</v>
      </c>
      <c r="F63" s="303">
        <f t="shared" si="2"/>
        <v>4</v>
      </c>
      <c r="G63" s="169"/>
      <c r="H63" s="171"/>
    </row>
    <row r="64" spans="1:8">
      <c r="A64" s="303">
        <v>5</v>
      </c>
      <c r="B64" s="119" t="s">
        <v>320</v>
      </c>
      <c r="C64" s="1109">
        <f>'Stmt AD'!I41</f>
        <v>92197.606041814492</v>
      </c>
      <c r="D64" s="113"/>
      <c r="E64" s="173" t="str">
        <f>"Statement AD; Line "&amp;'Stmt AD'!A41</f>
        <v>Statement AD; Line 31</v>
      </c>
      <c r="F64" s="303">
        <f t="shared" si="2"/>
        <v>5</v>
      </c>
      <c r="G64" s="170"/>
      <c r="H64" s="170"/>
    </row>
    <row r="65" spans="1:8">
      <c r="A65" s="303">
        <v>6</v>
      </c>
      <c r="B65" s="118" t="s">
        <v>337</v>
      </c>
      <c r="C65" s="1098">
        <f>SUM(C61:C64)</f>
        <v>5829395.081716706</v>
      </c>
      <c r="D65" s="125"/>
      <c r="E65" s="173" t="str">
        <f>"Sum Lines "&amp;A61&amp;" thru "&amp;A64</f>
        <v>Sum Lines 2 thru 5</v>
      </c>
      <c r="F65" s="303">
        <f t="shared" si="2"/>
        <v>6</v>
      </c>
      <c r="G65" s="169"/>
      <c r="H65" s="170"/>
    </row>
    <row r="66" spans="1:8">
      <c r="A66" s="303">
        <v>7</v>
      </c>
      <c r="B66" s="109"/>
      <c r="C66" s="1112"/>
      <c r="D66" s="113"/>
      <c r="E66" s="137"/>
      <c r="F66" s="303">
        <f t="shared" si="2"/>
        <v>7</v>
      </c>
      <c r="G66" s="170"/>
      <c r="H66" s="170"/>
    </row>
    <row r="67" spans="1:8">
      <c r="A67" s="303">
        <v>8</v>
      </c>
      <c r="B67" s="968" t="s">
        <v>338</v>
      </c>
      <c r="C67" s="1112"/>
      <c r="D67" s="113"/>
      <c r="E67" s="137"/>
      <c r="F67" s="303">
        <f t="shared" si="2"/>
        <v>8</v>
      </c>
      <c r="G67" s="170"/>
      <c r="H67" s="170"/>
    </row>
    <row r="68" spans="1:8">
      <c r="A68" s="303">
        <v>9</v>
      </c>
      <c r="B68" s="109" t="s">
        <v>339</v>
      </c>
      <c r="C68" s="1110">
        <f>'Stmt AE'!I11</f>
        <v>1120020.4208957693</v>
      </c>
      <c r="D68" s="113"/>
      <c r="E68" s="108" t="str">
        <f>"Statement AE; Line "&amp;'Stmt AE'!A11</f>
        <v>Statement AE; Line 1</v>
      </c>
      <c r="F68" s="303">
        <f t="shared" si="2"/>
        <v>9</v>
      </c>
      <c r="G68" s="170"/>
      <c r="H68" s="170"/>
    </row>
    <row r="69" spans="1:8">
      <c r="A69" s="303">
        <v>10</v>
      </c>
      <c r="B69" s="107" t="s">
        <v>101</v>
      </c>
      <c r="C69" s="1111">
        <f>'Stmt AE'!I21</f>
        <v>12003.008136367105</v>
      </c>
      <c r="D69" s="113"/>
      <c r="E69" s="173" t="str">
        <f>"Statement AE; Line "&amp;'Stmt AE'!A21</f>
        <v>Statement AE; Line 11</v>
      </c>
      <c r="F69" s="303">
        <f t="shared" si="2"/>
        <v>10</v>
      </c>
      <c r="G69" s="170"/>
      <c r="H69" s="170"/>
    </row>
    <row r="70" spans="1:8">
      <c r="A70" s="303">
        <v>11</v>
      </c>
      <c r="B70" s="128" t="s">
        <v>340</v>
      </c>
      <c r="C70" s="1111">
        <f>'Stmt AE'!I23</f>
        <v>15921.749168422246</v>
      </c>
      <c r="D70" s="113"/>
      <c r="E70" s="173" t="str">
        <f>"Statement AE; Line "&amp;'Stmt AE'!A23</f>
        <v>Statement AE; Line 13</v>
      </c>
      <c r="F70" s="303">
        <f t="shared" si="2"/>
        <v>11</v>
      </c>
      <c r="G70" s="170"/>
      <c r="H70" s="170"/>
    </row>
    <row r="71" spans="1:8">
      <c r="A71" s="303">
        <v>12</v>
      </c>
      <c r="B71" s="128" t="s">
        <v>341</v>
      </c>
      <c r="C71" s="1109">
        <f>'Stmt AE'!I25</f>
        <v>44302.10929986761</v>
      </c>
      <c r="D71" s="113"/>
      <c r="E71" s="173" t="str">
        <f>"Statement AE; Line "&amp;'Stmt AE'!A25</f>
        <v>Statement AE; Line 15</v>
      </c>
      <c r="F71" s="303">
        <f t="shared" si="2"/>
        <v>12</v>
      </c>
      <c r="G71" s="170"/>
      <c r="H71" s="170"/>
    </row>
    <row r="72" spans="1:8">
      <c r="A72" s="303">
        <v>13</v>
      </c>
      <c r="B72" s="969" t="s">
        <v>98</v>
      </c>
      <c r="C72" s="1098">
        <f>SUM(C68:C71)</f>
        <v>1192247.2875004264</v>
      </c>
      <c r="D72" s="125"/>
      <c r="E72" s="173" t="str">
        <f>"Sum Lines "&amp;A68&amp;" thru "&amp;A71</f>
        <v>Sum Lines 9 thru 12</v>
      </c>
      <c r="F72" s="303">
        <f t="shared" si="2"/>
        <v>13</v>
      </c>
      <c r="G72" s="170"/>
      <c r="H72" s="170"/>
    </row>
    <row r="73" spans="1:8">
      <c r="A73" s="303">
        <v>14</v>
      </c>
      <c r="B73" s="969"/>
      <c r="C73" s="1105"/>
      <c r="D73" s="122"/>
      <c r="E73" s="137"/>
      <c r="F73" s="303">
        <f t="shared" si="2"/>
        <v>14</v>
      </c>
      <c r="G73" s="170"/>
      <c r="H73" s="170"/>
    </row>
    <row r="74" spans="1:8">
      <c r="A74" s="303">
        <v>15</v>
      </c>
      <c r="B74" s="967" t="s">
        <v>319</v>
      </c>
      <c r="C74" s="1105"/>
      <c r="D74" s="122"/>
      <c r="E74" s="137"/>
      <c r="F74" s="303">
        <f t="shared" si="2"/>
        <v>15</v>
      </c>
      <c r="G74" s="170"/>
      <c r="H74" s="170"/>
    </row>
    <row r="75" spans="1:8">
      <c r="A75" s="303">
        <v>16</v>
      </c>
      <c r="B75" s="118" t="s">
        <v>124</v>
      </c>
      <c r="C75" s="1113">
        <f>C61-C68</f>
        <v>4558369.6291265385</v>
      </c>
      <c r="D75" s="129"/>
      <c r="E75" s="108" t="str">
        <f>"Line "&amp;A61&amp;" Minus Line "&amp;A68</f>
        <v>Line 2 Minus Line 9</v>
      </c>
      <c r="F75" s="303">
        <f t="shared" si="2"/>
        <v>16</v>
      </c>
      <c r="G75" s="170"/>
      <c r="H75" s="170"/>
    </row>
    <row r="76" spans="1:8">
      <c r="A76" s="303">
        <v>17</v>
      </c>
      <c r="B76" s="118" t="s">
        <v>13</v>
      </c>
      <c r="C76" s="1114">
        <f>C62-C69</f>
        <v>5863.0679868925545</v>
      </c>
      <c r="D76" s="130"/>
      <c r="E76" s="173" t="str">
        <f>"Line "&amp;A62&amp;" Minus Line "&amp;A69</f>
        <v>Line 3 Minus Line 10</v>
      </c>
      <c r="F76" s="303">
        <f t="shared" si="2"/>
        <v>17</v>
      </c>
      <c r="G76" s="170"/>
      <c r="H76" s="170"/>
    </row>
    <row r="77" spans="1:8">
      <c r="A77" s="303">
        <v>18</v>
      </c>
      <c r="B77" s="118" t="s">
        <v>14</v>
      </c>
      <c r="C77" s="1114">
        <f>C63-C70</f>
        <v>25019.600360902012</v>
      </c>
      <c r="D77" s="130"/>
      <c r="E77" s="173" t="str">
        <f>"Line "&amp;A63&amp;" Minus Line "&amp;A70</f>
        <v>Line 4 Minus Line 11</v>
      </c>
      <c r="F77" s="303">
        <f t="shared" si="2"/>
        <v>18</v>
      </c>
    </row>
    <row r="78" spans="1:8">
      <c r="A78" s="303">
        <v>19</v>
      </c>
      <c r="B78" s="119" t="s">
        <v>320</v>
      </c>
      <c r="C78" s="1115">
        <f>C64-C71</f>
        <v>47895.496741946881</v>
      </c>
      <c r="D78" s="966"/>
      <c r="E78" s="173" t="str">
        <f>"Line "&amp;A64&amp;" Minus Line "&amp;A71</f>
        <v>Line 5 Minus Line 12</v>
      </c>
      <c r="F78" s="303">
        <f t="shared" si="2"/>
        <v>19</v>
      </c>
    </row>
    <row r="79" spans="1:8" ht="16.5" thickBot="1">
      <c r="A79" s="303">
        <v>20</v>
      </c>
      <c r="B79" s="109" t="s">
        <v>321</v>
      </c>
      <c r="C79" s="1116">
        <f>SUM(C75:C78)</f>
        <v>4637147.7942162799</v>
      </c>
      <c r="D79" s="125"/>
      <c r="E79" s="173" t="str">
        <f>"Sum Lines "&amp;A75&amp;" thru "&amp;A78</f>
        <v>Sum Lines 16 thru 19</v>
      </c>
      <c r="F79" s="303">
        <f t="shared" si="2"/>
        <v>20</v>
      </c>
    </row>
    <row r="80" spans="1:8" ht="16.5" thickTop="1">
      <c r="A80" s="303">
        <v>21</v>
      </c>
      <c r="B80" s="120"/>
      <c r="C80" s="125"/>
      <c r="D80" s="125"/>
      <c r="E80" s="137"/>
      <c r="F80" s="303">
        <f t="shared" si="2"/>
        <v>21</v>
      </c>
    </row>
    <row r="81" spans="1:6">
      <c r="A81" s="303">
        <v>22</v>
      </c>
      <c r="B81" s="1517" t="s">
        <v>957</v>
      </c>
      <c r="C81" s="125"/>
      <c r="D81" s="125"/>
      <c r="E81" s="140"/>
      <c r="F81" s="303">
        <f t="shared" si="2"/>
        <v>22</v>
      </c>
    </row>
    <row r="82" spans="1:6">
      <c r="A82" s="303">
        <v>23</v>
      </c>
      <c r="B82" s="118" t="s">
        <v>954</v>
      </c>
      <c r="C82" s="1521">
        <v>0</v>
      </c>
      <c r="D82" s="125"/>
      <c r="E82" s="173" t="s">
        <v>130</v>
      </c>
      <c r="F82" s="303">
        <f t="shared" si="2"/>
        <v>23</v>
      </c>
    </row>
    <row r="83" spans="1:6">
      <c r="A83" s="303">
        <v>24</v>
      </c>
      <c r="B83" s="109" t="s">
        <v>955</v>
      </c>
      <c r="C83" s="1564">
        <v>0</v>
      </c>
      <c r="D83" s="125"/>
      <c r="E83" s="173" t="s">
        <v>130</v>
      </c>
      <c r="F83" s="303">
        <f t="shared" si="2"/>
        <v>24</v>
      </c>
    </row>
    <row r="84" spans="1:6" ht="16.5" thickBot="1">
      <c r="A84" s="303">
        <v>25</v>
      </c>
      <c r="B84" s="118" t="s">
        <v>956</v>
      </c>
      <c r="C84" s="1518">
        <f>C82-C83</f>
        <v>0</v>
      </c>
      <c r="D84" s="125"/>
      <c r="E84" s="173" t="str">
        <f>"Line "&amp;A82&amp;" Minus Line "&amp;A83</f>
        <v>Line 23 Minus Line 24</v>
      </c>
      <c r="F84" s="303">
        <f t="shared" si="2"/>
        <v>25</v>
      </c>
    </row>
    <row r="85" spans="1:6" ht="16.5" thickTop="1">
      <c r="A85" s="303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H20"/>
  <sheetViews>
    <sheetView zoomScale="80" zoomScaleNormal="80" zoomScaleSheetLayoutView="70" workbookViewId="0"/>
  </sheetViews>
  <sheetFormatPr defaultColWidth="8.85546875" defaultRowHeight="15.75"/>
  <cols>
    <col min="1" max="1" width="5.28515625" style="600" customWidth="1"/>
    <col min="2" max="2" width="50.85546875" style="408" customWidth="1"/>
    <col min="3" max="3" width="21.28515625" style="408" customWidth="1"/>
    <col min="4" max="4" width="1.5703125" style="408" customWidth="1"/>
    <col min="5" max="5" width="16.85546875" style="408" customWidth="1"/>
    <col min="6" max="6" width="1.5703125" style="408" customWidth="1"/>
    <col min="7" max="7" width="34.5703125" style="408" customWidth="1"/>
    <col min="8" max="8" width="5.28515625" style="408" customWidth="1"/>
    <col min="9" max="9" width="8.85546875" style="408"/>
    <col min="10" max="10" width="20.42578125" style="408" bestFit="1" customWidth="1"/>
    <col min="11" max="16384" width="8.85546875" style="408"/>
  </cols>
  <sheetData>
    <row r="1" spans="1:8">
      <c r="A1" s="596"/>
      <c r="E1" s="684"/>
      <c r="F1" s="684"/>
      <c r="G1" s="600"/>
      <c r="H1" s="596"/>
    </row>
    <row r="2" spans="1:8">
      <c r="B2" s="1643" t="s">
        <v>18</v>
      </c>
      <c r="C2" s="1643"/>
      <c r="D2" s="1643"/>
      <c r="E2" s="1643"/>
      <c r="F2" s="1643"/>
      <c r="G2" s="1628"/>
      <c r="H2" s="600"/>
    </row>
    <row r="3" spans="1:8">
      <c r="B3" s="1643" t="s">
        <v>896</v>
      </c>
      <c r="C3" s="1643"/>
      <c r="D3" s="1643"/>
      <c r="E3" s="1673"/>
      <c r="F3" s="1673"/>
      <c r="G3" s="1673"/>
      <c r="H3" s="600"/>
    </row>
    <row r="4" spans="1:8">
      <c r="B4" s="1644" t="str">
        <f>'A. Sec.1 - Direct Maintenance'!B5</f>
        <v>Base Period &amp; True-Up Period 12 - Months Ending December 31, 2018</v>
      </c>
      <c r="C4" s="1644"/>
      <c r="D4" s="1644"/>
      <c r="E4" s="1644"/>
      <c r="F4" s="1644"/>
      <c r="G4" s="1630"/>
      <c r="H4" s="600"/>
    </row>
    <row r="5" spans="1:8">
      <c r="B5" s="1645" t="s">
        <v>3</v>
      </c>
      <c r="C5" s="1646"/>
      <c r="D5" s="1646"/>
      <c r="E5" s="1646"/>
      <c r="F5" s="1646"/>
      <c r="G5" s="1646"/>
      <c r="H5" s="600"/>
    </row>
    <row r="6" spans="1:8">
      <c r="B6" s="596"/>
      <c r="C6" s="596"/>
      <c r="D6" s="596"/>
      <c r="E6" s="596"/>
      <c r="F6" s="596"/>
      <c r="G6" s="600"/>
      <c r="H6" s="600"/>
    </row>
    <row r="7" spans="1:8">
      <c r="A7" s="600" t="s">
        <v>4</v>
      </c>
      <c r="B7" s="1440"/>
      <c r="C7" s="596" t="s">
        <v>511</v>
      </c>
      <c r="D7" s="1426"/>
      <c r="E7" s="1426"/>
      <c r="F7" s="1426"/>
      <c r="G7" s="600"/>
      <c r="H7" s="600" t="s">
        <v>4</v>
      </c>
    </row>
    <row r="8" spans="1:8">
      <c r="A8" s="456" t="s">
        <v>25</v>
      </c>
      <c r="B8" s="596"/>
      <c r="C8" s="1441" t="s">
        <v>512</v>
      </c>
      <c r="D8" s="1426"/>
      <c r="E8" s="1430" t="s">
        <v>128</v>
      </c>
      <c r="F8" s="1426"/>
      <c r="G8" s="1430" t="s">
        <v>9</v>
      </c>
      <c r="H8" s="456" t="s">
        <v>25</v>
      </c>
    </row>
    <row r="9" spans="1:8">
      <c r="C9" s="596"/>
      <c r="D9" s="596"/>
      <c r="F9" s="1426"/>
      <c r="H9" s="600"/>
    </row>
    <row r="10" spans="1:8" s="1482" customFormat="1" ht="16.5" thickBot="1">
      <c r="A10" s="600">
        <v>1</v>
      </c>
      <c r="B10" s="778" t="s">
        <v>998</v>
      </c>
      <c r="C10" s="596"/>
      <c r="D10" s="596"/>
      <c r="E10" s="1522">
        <v>0</v>
      </c>
      <c r="F10" s="1475"/>
      <c r="G10" s="600" t="s">
        <v>130</v>
      </c>
      <c r="H10" s="596">
        <f>A10</f>
        <v>1</v>
      </c>
    </row>
    <row r="11" spans="1:8" s="1482" customFormat="1" ht="16.5" thickTop="1">
      <c r="A11" s="596">
        <f t="shared" ref="A11:A16" si="0">A10+1</f>
        <v>2</v>
      </c>
      <c r="C11" s="596"/>
      <c r="D11" s="596"/>
      <c r="F11" s="1475"/>
      <c r="G11" s="1538"/>
      <c r="H11" s="303">
        <f>H10+1</f>
        <v>2</v>
      </c>
    </row>
    <row r="12" spans="1:8" ht="19.5" thickBot="1">
      <c r="A12" s="596">
        <f t="shared" si="0"/>
        <v>3</v>
      </c>
      <c r="B12" s="778" t="s">
        <v>897</v>
      </c>
      <c r="E12" s="1442">
        <v>0</v>
      </c>
      <c r="F12" s="1426"/>
      <c r="G12" s="600"/>
      <c r="H12" s="303">
        <f t="shared" ref="H12:H16" si="1">H11+1</f>
        <v>3</v>
      </c>
    </row>
    <row r="13" spans="1:8" ht="16.5" thickTop="1">
      <c r="A13" s="596">
        <f t="shared" si="0"/>
        <v>4</v>
      </c>
      <c r="F13" s="1426"/>
      <c r="G13" s="1538"/>
      <c r="H13" s="303">
        <f t="shared" si="1"/>
        <v>4</v>
      </c>
    </row>
    <row r="14" spans="1:8" ht="19.5" thickBot="1">
      <c r="A14" s="596">
        <f t="shared" si="0"/>
        <v>5</v>
      </c>
      <c r="B14" s="778" t="s">
        <v>898</v>
      </c>
      <c r="E14" s="1442">
        <v>0</v>
      </c>
      <c r="F14" s="1426"/>
      <c r="G14" s="600"/>
      <c r="H14" s="303">
        <f t="shared" si="1"/>
        <v>5</v>
      </c>
    </row>
    <row r="15" spans="1:8" s="1482" customFormat="1" ht="16.5" thickTop="1">
      <c r="A15" s="596">
        <f t="shared" si="0"/>
        <v>6</v>
      </c>
      <c r="B15" s="778"/>
      <c r="E15" s="1523"/>
      <c r="F15" s="1475"/>
      <c r="G15" s="600"/>
      <c r="H15" s="303">
        <f t="shared" si="1"/>
        <v>6</v>
      </c>
    </row>
    <row r="16" spans="1:8" s="1482" customFormat="1" ht="16.5" thickBot="1">
      <c r="A16" s="596">
        <f t="shared" si="0"/>
        <v>7</v>
      </c>
      <c r="B16" s="778" t="s">
        <v>961</v>
      </c>
      <c r="E16" s="1522">
        <v>0</v>
      </c>
      <c r="F16" s="1475"/>
      <c r="G16" s="600" t="s">
        <v>130</v>
      </c>
      <c r="H16" s="303">
        <f t="shared" si="1"/>
        <v>7</v>
      </c>
    </row>
    <row r="17" spans="1:8" ht="16.5" thickTop="1">
      <c r="H17" s="596"/>
    </row>
    <row r="18" spans="1:8">
      <c r="H18" s="596"/>
    </row>
    <row r="19" spans="1:8" ht="18.75">
      <c r="A19" s="1248">
        <v>1</v>
      </c>
      <c r="B19" s="408" t="s">
        <v>1025</v>
      </c>
      <c r="H19" s="596"/>
    </row>
    <row r="20" spans="1:8">
      <c r="B20" s="408" t="s">
        <v>899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0" tint="-0.34998626667073579"/>
    <pageSetUpPr fitToPage="1"/>
  </sheetPr>
  <dimension ref="A1:D12"/>
  <sheetViews>
    <sheetView zoomScale="80" zoomScaleNormal="80" workbookViewId="0">
      <selection activeCell="B4" sqref="B4"/>
    </sheetView>
  </sheetViews>
  <sheetFormatPr defaultColWidth="8.7109375" defaultRowHeight="15.75"/>
  <cols>
    <col min="1" max="1" width="28.85546875" style="19" customWidth="1"/>
    <col min="2" max="2" width="14.140625" style="19" customWidth="1"/>
    <col min="3" max="3" width="29.5703125" style="19" customWidth="1"/>
    <col min="4" max="4" width="17.42578125" style="19" customWidth="1"/>
    <col min="5" max="16384" width="8.7109375" style="19"/>
  </cols>
  <sheetData>
    <row r="1" spans="1:4">
      <c r="A1" s="234" t="s">
        <v>445</v>
      </c>
      <c r="B1" s="235"/>
      <c r="C1" s="235"/>
    </row>
    <row r="2" spans="1:4">
      <c r="A2" s="236" t="s">
        <v>446</v>
      </c>
      <c r="B2" s="235"/>
      <c r="C2" s="235"/>
    </row>
    <row r="3" spans="1:4">
      <c r="A3" s="235"/>
      <c r="B3" s="235"/>
      <c r="C3" s="235"/>
    </row>
    <row r="4" spans="1:4">
      <c r="A4" s="237" t="s">
        <v>312</v>
      </c>
      <c r="B4" s="235">
        <v>5</v>
      </c>
      <c r="C4" s="235"/>
    </row>
    <row r="5" spans="1:4">
      <c r="A5" s="237" t="s">
        <v>311</v>
      </c>
      <c r="B5" s="235">
        <v>2</v>
      </c>
      <c r="C5" s="235"/>
    </row>
    <row r="6" spans="1:4">
      <c r="A6" s="237" t="s">
        <v>275</v>
      </c>
      <c r="B6" s="235">
        <v>2018</v>
      </c>
      <c r="C6" s="235"/>
    </row>
    <row r="8" spans="1:4">
      <c r="A8" s="237" t="s">
        <v>447</v>
      </c>
      <c r="B8" s="238" t="s">
        <v>448</v>
      </c>
      <c r="C8" s="235" t="s">
        <v>624</v>
      </c>
      <c r="D8" s="235" t="s">
        <v>449</v>
      </c>
    </row>
    <row r="9" spans="1:4">
      <c r="A9" s="237"/>
      <c r="B9" s="239" t="s">
        <v>450</v>
      </c>
      <c r="C9" s="235" t="s">
        <v>625</v>
      </c>
      <c r="D9" s="235" t="s">
        <v>452</v>
      </c>
    </row>
    <row r="10" spans="1:4">
      <c r="A10" s="237"/>
      <c r="B10" s="240" t="s">
        <v>451</v>
      </c>
      <c r="C10" s="235" t="s">
        <v>626</v>
      </c>
      <c r="D10" s="235" t="s">
        <v>452</v>
      </c>
    </row>
    <row r="11" spans="1:4">
      <c r="A11" s="237"/>
      <c r="B11" s="235"/>
      <c r="C11" s="235"/>
      <c r="D11" s="235"/>
    </row>
    <row r="12" spans="1:4">
      <c r="A12" s="237" t="s">
        <v>453</v>
      </c>
      <c r="B12" s="241" t="s">
        <v>454</v>
      </c>
      <c r="C12" s="235" t="s">
        <v>455</v>
      </c>
      <c r="D12" s="235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28515625" style="600" customWidth="1"/>
    <col min="2" max="2" width="12.5703125" style="408" customWidth="1"/>
    <col min="3" max="3" width="20" style="408" customWidth="1"/>
    <col min="4" max="5" width="21.5703125" style="408" customWidth="1"/>
    <col min="6" max="7" width="21.5703125" style="707" customWidth="1"/>
    <col min="8" max="8" width="22.7109375" style="408" bestFit="1" customWidth="1"/>
    <col min="9" max="13" width="21.5703125" style="408" customWidth="1"/>
    <col min="14" max="14" width="5.28515625" style="600" customWidth="1"/>
    <col min="15" max="15" width="13.5703125" style="408" customWidth="1"/>
    <col min="16" max="16" width="12.5703125" style="408" customWidth="1"/>
    <col min="17" max="16384" width="9.140625" style="408"/>
  </cols>
  <sheetData>
    <row r="1" spans="1:14">
      <c r="I1" s="1203"/>
    </row>
    <row r="2" spans="1:14" s="1572" customFormat="1">
      <c r="A2" s="600"/>
      <c r="B2" s="1628" t="str">
        <f>'Summary of Cost Components'!B2:D2</f>
        <v>SAN DIEGO GAS &amp; ELECTRIC COMPANY</v>
      </c>
      <c r="C2" s="1628"/>
      <c r="D2" s="1628"/>
      <c r="E2" s="1628"/>
      <c r="F2" s="1628"/>
      <c r="G2" s="1628"/>
      <c r="H2" s="1628"/>
      <c r="I2" s="1628"/>
      <c r="J2" s="1628"/>
      <c r="K2" s="1628"/>
      <c r="L2" s="1628"/>
      <c r="M2" s="1628"/>
      <c r="N2" s="1571"/>
    </row>
    <row r="3" spans="1:14">
      <c r="B3" s="1615" t="str">
        <f>'Summary of Cost Components'!B3:D3</f>
        <v>CITIZENS' SHARE OF THE SX-PQ UNDERGROUND LINE SEGMENT</v>
      </c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</row>
    <row r="4" spans="1:14">
      <c r="B4" s="1615" t="s">
        <v>1013</v>
      </c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</row>
    <row r="5" spans="1:14">
      <c r="B5" s="1627" t="str">
        <f>"True-Up Period - January 1, "&amp;Automation!$B$6&amp;" to December 31, "&amp;Automation!$B$6</f>
        <v>True-Up Period - January 1, 2018 to December 31, 2018</v>
      </c>
      <c r="C5" s="1627"/>
      <c r="D5" s="1627"/>
      <c r="E5" s="1627"/>
      <c r="F5" s="1627"/>
      <c r="G5" s="1627"/>
      <c r="H5" s="1627"/>
      <c r="I5" s="1627"/>
      <c r="J5" s="1627"/>
      <c r="K5" s="1627"/>
      <c r="L5" s="1627"/>
      <c r="M5" s="1627"/>
      <c r="N5" s="1627"/>
    </row>
    <row r="6" spans="1:14">
      <c r="B6" s="1626" t="s">
        <v>3</v>
      </c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6"/>
      <c r="N6" s="1196"/>
    </row>
    <row r="7" spans="1:14">
      <c r="A7" s="1196"/>
      <c r="B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</row>
    <row r="8" spans="1:14">
      <c r="A8" s="600" t="s">
        <v>4</v>
      </c>
      <c r="B8" s="1135"/>
      <c r="E8" s="1136"/>
      <c r="F8" s="1137"/>
      <c r="G8" s="1137"/>
      <c r="N8" s="600" t="s">
        <v>4</v>
      </c>
    </row>
    <row r="9" spans="1:14">
      <c r="A9" s="456" t="s">
        <v>25</v>
      </c>
      <c r="B9" s="1135"/>
      <c r="E9" s="1136"/>
      <c r="F9" s="1137"/>
      <c r="G9" s="1137"/>
      <c r="N9" s="456" t="s">
        <v>25</v>
      </c>
    </row>
    <row r="10" spans="1:14">
      <c r="A10" s="600">
        <v>1</v>
      </c>
      <c r="E10" s="1136"/>
      <c r="I10" s="1219"/>
      <c r="J10" s="1219"/>
      <c r="N10" s="600">
        <v>1</v>
      </c>
    </row>
    <row r="11" spans="1:14">
      <c r="A11" s="600">
        <f t="shared" ref="A11:A31" si="0">A10+1</f>
        <v>2</v>
      </c>
      <c r="C11" s="1140" t="s">
        <v>739</v>
      </c>
      <c r="D11" s="1140" t="s">
        <v>740</v>
      </c>
      <c r="E11" s="1140" t="s">
        <v>741</v>
      </c>
      <c r="F11" s="1141" t="s">
        <v>742</v>
      </c>
      <c r="G11" s="1141" t="s">
        <v>743</v>
      </c>
      <c r="H11" s="1141" t="s">
        <v>744</v>
      </c>
      <c r="I11" s="1140" t="s">
        <v>745</v>
      </c>
      <c r="J11" s="1140" t="s">
        <v>746</v>
      </c>
      <c r="K11" s="1140" t="s">
        <v>747</v>
      </c>
      <c r="L11" s="1140" t="s">
        <v>748</v>
      </c>
      <c r="M11" s="1140" t="s">
        <v>749</v>
      </c>
      <c r="N11" s="600">
        <f t="shared" ref="N11:N31" si="1">N10+1</f>
        <v>2</v>
      </c>
    </row>
    <row r="12" spans="1:14">
      <c r="A12" s="600">
        <f t="shared" si="0"/>
        <v>3</v>
      </c>
      <c r="B12" s="714" t="s">
        <v>750</v>
      </c>
      <c r="C12" s="600"/>
      <c r="D12" s="600"/>
      <c r="E12" s="600"/>
      <c r="F12" s="833" t="str">
        <f>"= "&amp;F11&amp;"; Line "&amp;A31&amp;" / 12"</f>
        <v>= Col. 4; Line 22 / 12</v>
      </c>
      <c r="G12" s="833"/>
      <c r="H12" s="832" t="str">
        <f>"= Sum "&amp;E11&amp;" thru "&amp;G11</f>
        <v>= Sum Col. 3 thru Col. 5</v>
      </c>
      <c r="I12" s="821" t="str">
        <f>"= "&amp;D11&amp;" - "&amp;H11</f>
        <v>= Col. 2 - Col. 6</v>
      </c>
      <c r="J12" s="600"/>
      <c r="K12" s="600" t="str">
        <f>"See Footnote "&amp;A40</f>
        <v>See Footnote 6</v>
      </c>
      <c r="L12" s="600" t="str">
        <f>"See Footnote "&amp;A41</f>
        <v>See Footnote 7</v>
      </c>
      <c r="M12" s="821" t="str">
        <f>"= "&amp;K11&amp;" + "&amp;L11</f>
        <v>= Col. 9 + Col. 10</v>
      </c>
      <c r="N12" s="600">
        <f t="shared" si="1"/>
        <v>3</v>
      </c>
    </row>
    <row r="13" spans="1:14">
      <c r="A13" s="600">
        <f t="shared" si="0"/>
        <v>4</v>
      </c>
      <c r="B13" s="714"/>
      <c r="C13" s="600"/>
      <c r="D13" s="600"/>
      <c r="E13" s="600"/>
      <c r="F13" s="833"/>
      <c r="G13" s="833"/>
      <c r="H13" s="832"/>
      <c r="I13" s="821"/>
      <c r="J13" s="600"/>
      <c r="K13" s="600"/>
      <c r="L13" s="600"/>
      <c r="M13" s="821"/>
      <c r="N13" s="600">
        <f t="shared" si="1"/>
        <v>4</v>
      </c>
    </row>
    <row r="14" spans="1:14">
      <c r="A14" s="600">
        <f t="shared" si="0"/>
        <v>5</v>
      </c>
      <c r="C14" s="1140"/>
      <c r="H14" s="1142"/>
      <c r="K14" s="1196" t="s">
        <v>751</v>
      </c>
      <c r="M14" s="1196" t="s">
        <v>751</v>
      </c>
      <c r="N14" s="600">
        <f t="shared" si="1"/>
        <v>5</v>
      </c>
    </row>
    <row r="15" spans="1:14">
      <c r="A15" s="600">
        <f t="shared" si="0"/>
        <v>6</v>
      </c>
      <c r="C15" s="1140"/>
      <c r="F15" s="1142"/>
      <c r="G15" s="1142"/>
      <c r="H15" s="1142"/>
      <c r="I15" s="1196" t="s">
        <v>752</v>
      </c>
      <c r="J15" s="1196"/>
      <c r="K15" s="1196" t="s">
        <v>753</v>
      </c>
      <c r="M15" s="1196" t="s">
        <v>753</v>
      </c>
      <c r="N15" s="600">
        <f t="shared" si="1"/>
        <v>6</v>
      </c>
    </row>
    <row r="16" spans="1:14">
      <c r="A16" s="600">
        <f t="shared" si="0"/>
        <v>7</v>
      </c>
      <c r="C16" s="1196"/>
      <c r="D16" s="1196" t="s">
        <v>752</v>
      </c>
      <c r="E16" s="1142" t="s">
        <v>752</v>
      </c>
      <c r="F16" s="1142" t="s">
        <v>754</v>
      </c>
      <c r="G16" s="1142"/>
      <c r="H16" s="1142" t="s">
        <v>755</v>
      </c>
      <c r="I16" s="1196" t="s">
        <v>753</v>
      </c>
      <c r="J16" s="1196" t="s">
        <v>752</v>
      </c>
      <c r="K16" s="1196" t="s">
        <v>756</v>
      </c>
      <c r="M16" s="1196" t="s">
        <v>756</v>
      </c>
      <c r="N16" s="600">
        <f t="shared" si="1"/>
        <v>7</v>
      </c>
    </row>
    <row r="17" spans="1:17">
      <c r="A17" s="600">
        <f t="shared" si="0"/>
        <v>8</v>
      </c>
      <c r="C17" s="1196"/>
      <c r="D17" s="1196" t="s">
        <v>757</v>
      </c>
      <c r="E17" s="1142" t="s">
        <v>757</v>
      </c>
      <c r="F17" s="1142" t="s">
        <v>757</v>
      </c>
      <c r="G17" s="1142" t="s">
        <v>758</v>
      </c>
      <c r="H17" s="1142" t="s">
        <v>757</v>
      </c>
      <c r="I17" s="1196" t="s">
        <v>756</v>
      </c>
      <c r="J17" s="1196" t="s">
        <v>759</v>
      </c>
      <c r="K17" s="1196" t="s">
        <v>760</v>
      </c>
      <c r="L17" s="1196"/>
      <c r="M17" s="1196" t="s">
        <v>760</v>
      </c>
      <c r="N17" s="600">
        <f t="shared" si="1"/>
        <v>8</v>
      </c>
    </row>
    <row r="18" spans="1:17" ht="18.75">
      <c r="A18" s="600">
        <f t="shared" si="0"/>
        <v>9</v>
      </c>
      <c r="B18" s="1143" t="s">
        <v>23</v>
      </c>
      <c r="C18" s="1143" t="s">
        <v>761</v>
      </c>
      <c r="D18" s="844" t="s">
        <v>818</v>
      </c>
      <c r="E18" s="1137" t="s">
        <v>762</v>
      </c>
      <c r="F18" s="1137" t="s">
        <v>763</v>
      </c>
      <c r="G18" s="1137" t="s">
        <v>819</v>
      </c>
      <c r="H18" s="1137" t="s">
        <v>764</v>
      </c>
      <c r="I18" s="844" t="s">
        <v>760</v>
      </c>
      <c r="J18" s="844" t="s">
        <v>765</v>
      </c>
      <c r="K18" s="844" t="s">
        <v>766</v>
      </c>
      <c r="L18" s="844" t="s">
        <v>759</v>
      </c>
      <c r="M18" s="844" t="s">
        <v>767</v>
      </c>
      <c r="N18" s="600">
        <f t="shared" si="1"/>
        <v>9</v>
      </c>
    </row>
    <row r="19" spans="1:17">
      <c r="A19" s="600">
        <f t="shared" si="0"/>
        <v>10</v>
      </c>
      <c r="B19" s="1145" t="s">
        <v>768</v>
      </c>
      <c r="C19" s="1146" t="str">
        <f>RIGHT(B5,4)</f>
        <v>2018</v>
      </c>
      <c r="D19" s="786">
        <v>0</v>
      </c>
      <c r="E19" s="1446">
        <v>0</v>
      </c>
      <c r="F19" s="1446">
        <f>-'D1. Sec.4 - PY Invoice Summary'!$C$42-'D1. Sec.4 - PY Invoice Summary'!$C$44</f>
        <v>0</v>
      </c>
      <c r="G19" s="1446">
        <f>-'D1. Sec.4 - PY Invoice Summary'!$C$46</f>
        <v>0</v>
      </c>
      <c r="H19" s="1147">
        <f>SUM(E19:G19)</f>
        <v>0</v>
      </c>
      <c r="I19" s="793">
        <f>D19-H19</f>
        <v>0</v>
      </c>
      <c r="J19" s="1220">
        <v>3.5999999999999999E-3</v>
      </c>
      <c r="K19" s="689">
        <f>I19</f>
        <v>0</v>
      </c>
      <c r="L19" s="1221">
        <f>(I19/2)*J19</f>
        <v>0</v>
      </c>
      <c r="M19" s="1221">
        <f t="shared" ref="M19:M30" si="2">K19+L19</f>
        <v>0</v>
      </c>
      <c r="N19" s="600">
        <f t="shared" si="1"/>
        <v>10</v>
      </c>
      <c r="O19" s="301"/>
    </row>
    <row r="20" spans="1:17">
      <c r="A20" s="600">
        <f t="shared" si="0"/>
        <v>11</v>
      </c>
      <c r="B20" s="1148" t="s">
        <v>769</v>
      </c>
      <c r="C20" s="1146" t="str">
        <f>C19</f>
        <v>2018</v>
      </c>
      <c r="D20" s="1222">
        <f>$D$19</f>
        <v>0</v>
      </c>
      <c r="E20" s="825">
        <f>$E$19</f>
        <v>0</v>
      </c>
      <c r="F20" s="825">
        <f>$F$19</f>
        <v>0</v>
      </c>
      <c r="G20" s="825">
        <f>$G$19</f>
        <v>0</v>
      </c>
      <c r="H20" s="1150">
        <f>SUM(E20:G20)</f>
        <v>0</v>
      </c>
      <c r="I20" s="825">
        <f t="shared" ref="I20:I30" si="3">D20-H20</f>
        <v>0</v>
      </c>
      <c r="J20" s="1220">
        <v>3.3E-3</v>
      </c>
      <c r="K20" s="1223">
        <f>M19+I20</f>
        <v>0</v>
      </c>
      <c r="L20" s="1224">
        <f t="shared" ref="L20:L30" si="4">(M19+K20)/2*J20</f>
        <v>0</v>
      </c>
      <c r="M20" s="1224">
        <f t="shared" si="2"/>
        <v>0</v>
      </c>
      <c r="N20" s="600">
        <f t="shared" si="1"/>
        <v>11</v>
      </c>
      <c r="O20" s="842"/>
    </row>
    <row r="21" spans="1:17">
      <c r="A21" s="600">
        <f t="shared" si="0"/>
        <v>12</v>
      </c>
      <c r="B21" s="1148" t="s">
        <v>770</v>
      </c>
      <c r="C21" s="1146" t="str">
        <f>C19</f>
        <v>2018</v>
      </c>
      <c r="D21" s="1222">
        <f t="shared" ref="D21:D30" si="5">$D$19</f>
        <v>0</v>
      </c>
      <c r="E21" s="825">
        <f t="shared" ref="E21:E30" si="6">$E$19</f>
        <v>0</v>
      </c>
      <c r="F21" s="825">
        <f t="shared" ref="F21:F30" si="7">$F$19</f>
        <v>0</v>
      </c>
      <c r="G21" s="825">
        <f t="shared" ref="G21:G30" si="8">$G$19</f>
        <v>0</v>
      </c>
      <c r="H21" s="1150">
        <f t="shared" ref="H21:H29" si="9">SUM(E21:G21)</f>
        <v>0</v>
      </c>
      <c r="I21" s="825">
        <f t="shared" si="3"/>
        <v>0</v>
      </c>
      <c r="J21" s="1220">
        <v>3.5999999999999999E-3</v>
      </c>
      <c r="K21" s="1223">
        <f t="shared" ref="K21:K30" si="10">M20+I21</f>
        <v>0</v>
      </c>
      <c r="L21" s="1224">
        <f>(M20+K21)/2*J21</f>
        <v>0</v>
      </c>
      <c r="M21" s="1224">
        <f t="shared" si="2"/>
        <v>0</v>
      </c>
      <c r="N21" s="600">
        <f t="shared" si="1"/>
        <v>12</v>
      </c>
      <c r="O21" s="842"/>
    </row>
    <row r="22" spans="1:17">
      <c r="A22" s="600">
        <f t="shared" si="0"/>
        <v>13</v>
      </c>
      <c r="B22" s="1145" t="s">
        <v>771</v>
      </c>
      <c r="C22" s="1146" t="str">
        <f>C19</f>
        <v>2018</v>
      </c>
      <c r="D22" s="1222">
        <f t="shared" si="5"/>
        <v>0</v>
      </c>
      <c r="E22" s="825">
        <f t="shared" si="6"/>
        <v>0</v>
      </c>
      <c r="F22" s="825">
        <f t="shared" si="7"/>
        <v>0</v>
      </c>
      <c r="G22" s="825">
        <f t="shared" si="8"/>
        <v>0</v>
      </c>
      <c r="H22" s="1150">
        <f t="shared" si="9"/>
        <v>0</v>
      </c>
      <c r="I22" s="825">
        <f>D22-H22</f>
        <v>0</v>
      </c>
      <c r="J22" s="1220">
        <v>3.7000000000000002E-3</v>
      </c>
      <c r="K22" s="1223">
        <f t="shared" si="10"/>
        <v>0</v>
      </c>
      <c r="L22" s="1224">
        <f>(M21+K22)/2*J22</f>
        <v>0</v>
      </c>
      <c r="M22" s="1224">
        <f t="shared" si="2"/>
        <v>0</v>
      </c>
      <c r="N22" s="600">
        <f t="shared" si="1"/>
        <v>13</v>
      </c>
      <c r="O22" s="842"/>
      <c r="Q22" s="1225"/>
    </row>
    <row r="23" spans="1:17">
      <c r="A23" s="600">
        <f t="shared" si="0"/>
        <v>14</v>
      </c>
      <c r="B23" s="1148" t="s">
        <v>772</v>
      </c>
      <c r="C23" s="1146" t="str">
        <f>C19</f>
        <v>2018</v>
      </c>
      <c r="D23" s="1222">
        <f t="shared" si="5"/>
        <v>0</v>
      </c>
      <c r="E23" s="825">
        <f t="shared" si="6"/>
        <v>0</v>
      </c>
      <c r="F23" s="825">
        <f t="shared" si="7"/>
        <v>0</v>
      </c>
      <c r="G23" s="825">
        <f t="shared" si="8"/>
        <v>0</v>
      </c>
      <c r="H23" s="1150">
        <f t="shared" si="9"/>
        <v>0</v>
      </c>
      <c r="I23" s="825">
        <f t="shared" si="3"/>
        <v>0</v>
      </c>
      <c r="J23" s="1220">
        <v>3.8E-3</v>
      </c>
      <c r="K23" s="1223">
        <f t="shared" si="10"/>
        <v>0</v>
      </c>
      <c r="L23" s="1224">
        <f t="shared" si="4"/>
        <v>0</v>
      </c>
      <c r="M23" s="1224">
        <f t="shared" si="2"/>
        <v>0</v>
      </c>
      <c r="N23" s="600">
        <f t="shared" si="1"/>
        <v>14</v>
      </c>
      <c r="O23" s="842"/>
    </row>
    <row r="24" spans="1:17">
      <c r="A24" s="600">
        <f t="shared" si="0"/>
        <v>15</v>
      </c>
      <c r="B24" s="1148" t="s">
        <v>773</v>
      </c>
      <c r="C24" s="1146" t="str">
        <f>C19</f>
        <v>2018</v>
      </c>
      <c r="D24" s="1222">
        <f t="shared" si="5"/>
        <v>0</v>
      </c>
      <c r="E24" s="825">
        <f t="shared" si="6"/>
        <v>0</v>
      </c>
      <c r="F24" s="825">
        <f t="shared" si="7"/>
        <v>0</v>
      </c>
      <c r="G24" s="825">
        <f t="shared" si="8"/>
        <v>0</v>
      </c>
      <c r="H24" s="1150">
        <f t="shared" si="9"/>
        <v>0</v>
      </c>
      <c r="I24" s="825">
        <f t="shared" si="3"/>
        <v>0</v>
      </c>
      <c r="J24" s="1220">
        <v>3.7000000000000002E-3</v>
      </c>
      <c r="K24" s="1223">
        <f t="shared" si="10"/>
        <v>0</v>
      </c>
      <c r="L24" s="1224">
        <f>(M23+K24)/2*J24</f>
        <v>0</v>
      </c>
      <c r="M24" s="1224">
        <f t="shared" si="2"/>
        <v>0</v>
      </c>
      <c r="N24" s="600">
        <f t="shared" si="1"/>
        <v>15</v>
      </c>
      <c r="O24" s="842"/>
    </row>
    <row r="25" spans="1:17">
      <c r="A25" s="600">
        <f t="shared" si="0"/>
        <v>16</v>
      </c>
      <c r="B25" s="1145" t="s">
        <v>774</v>
      </c>
      <c r="C25" s="1146" t="str">
        <f>C19</f>
        <v>2018</v>
      </c>
      <c r="D25" s="1222">
        <f t="shared" si="5"/>
        <v>0</v>
      </c>
      <c r="E25" s="825">
        <f t="shared" si="6"/>
        <v>0</v>
      </c>
      <c r="F25" s="825">
        <f t="shared" si="7"/>
        <v>0</v>
      </c>
      <c r="G25" s="825">
        <f t="shared" si="8"/>
        <v>0</v>
      </c>
      <c r="H25" s="1150">
        <f t="shared" si="9"/>
        <v>0</v>
      </c>
      <c r="I25" s="825">
        <f t="shared" si="3"/>
        <v>0</v>
      </c>
      <c r="J25" s="1220">
        <v>4.0000000000000001E-3</v>
      </c>
      <c r="K25" s="1223">
        <f t="shared" si="10"/>
        <v>0</v>
      </c>
      <c r="L25" s="1224">
        <f t="shared" si="4"/>
        <v>0</v>
      </c>
      <c r="M25" s="1224">
        <f t="shared" si="2"/>
        <v>0</v>
      </c>
      <c r="N25" s="600">
        <f t="shared" si="1"/>
        <v>16</v>
      </c>
      <c r="O25" s="842"/>
    </row>
    <row r="26" spans="1:17">
      <c r="A26" s="600">
        <f t="shared" si="0"/>
        <v>17</v>
      </c>
      <c r="B26" s="1148" t="s">
        <v>776</v>
      </c>
      <c r="C26" s="1146" t="str">
        <f>C19</f>
        <v>2018</v>
      </c>
      <c r="D26" s="1222">
        <f t="shared" si="5"/>
        <v>0</v>
      </c>
      <c r="E26" s="825">
        <f t="shared" si="6"/>
        <v>0</v>
      </c>
      <c r="F26" s="825">
        <f t="shared" si="7"/>
        <v>0</v>
      </c>
      <c r="G26" s="825">
        <f t="shared" si="8"/>
        <v>0</v>
      </c>
      <c r="H26" s="1150">
        <f t="shared" si="9"/>
        <v>0</v>
      </c>
      <c r="I26" s="825">
        <f t="shared" si="3"/>
        <v>0</v>
      </c>
      <c r="J26" s="1220">
        <v>4.0000000000000001E-3</v>
      </c>
      <c r="K26" s="1223">
        <f t="shared" si="10"/>
        <v>0</v>
      </c>
      <c r="L26" s="1224">
        <f t="shared" si="4"/>
        <v>0</v>
      </c>
      <c r="M26" s="1224">
        <f t="shared" si="2"/>
        <v>0</v>
      </c>
      <c r="N26" s="600">
        <f t="shared" si="1"/>
        <v>17</v>
      </c>
      <c r="O26" s="842"/>
    </row>
    <row r="27" spans="1:17">
      <c r="A27" s="600">
        <f t="shared" si="0"/>
        <v>18</v>
      </c>
      <c r="B27" s="1148" t="s">
        <v>777</v>
      </c>
      <c r="C27" s="1146" t="str">
        <f>C19</f>
        <v>2018</v>
      </c>
      <c r="D27" s="1222">
        <f t="shared" si="5"/>
        <v>0</v>
      </c>
      <c r="E27" s="825">
        <f t="shared" si="6"/>
        <v>0</v>
      </c>
      <c r="F27" s="825">
        <f t="shared" si="7"/>
        <v>0</v>
      </c>
      <c r="G27" s="825">
        <f t="shared" si="8"/>
        <v>0</v>
      </c>
      <c r="H27" s="1150">
        <f t="shared" si="9"/>
        <v>0</v>
      </c>
      <c r="I27" s="825">
        <f t="shared" si="3"/>
        <v>0</v>
      </c>
      <c r="J27" s="1220">
        <v>3.8999999999999998E-3</v>
      </c>
      <c r="K27" s="1223">
        <f t="shared" si="10"/>
        <v>0</v>
      </c>
      <c r="L27" s="1224">
        <f t="shared" si="4"/>
        <v>0</v>
      </c>
      <c r="M27" s="1224">
        <f t="shared" si="2"/>
        <v>0</v>
      </c>
      <c r="N27" s="600">
        <f t="shared" si="1"/>
        <v>18</v>
      </c>
      <c r="O27" s="842"/>
    </row>
    <row r="28" spans="1:17">
      <c r="A28" s="600">
        <f t="shared" si="0"/>
        <v>19</v>
      </c>
      <c r="B28" s="1145" t="s">
        <v>778</v>
      </c>
      <c r="C28" s="1146" t="str">
        <f>C19</f>
        <v>2018</v>
      </c>
      <c r="D28" s="1222">
        <f t="shared" si="5"/>
        <v>0</v>
      </c>
      <c r="E28" s="825">
        <f t="shared" si="6"/>
        <v>0</v>
      </c>
      <c r="F28" s="825">
        <f t="shared" si="7"/>
        <v>0</v>
      </c>
      <c r="G28" s="825">
        <f t="shared" si="8"/>
        <v>0</v>
      </c>
      <c r="H28" s="1150">
        <f t="shared" si="9"/>
        <v>0</v>
      </c>
      <c r="I28" s="825">
        <f t="shared" si="3"/>
        <v>0</v>
      </c>
      <c r="J28" s="1220">
        <v>4.1999999999999997E-3</v>
      </c>
      <c r="K28" s="1223">
        <f t="shared" si="10"/>
        <v>0</v>
      </c>
      <c r="L28" s="1224">
        <f t="shared" si="4"/>
        <v>0</v>
      </c>
      <c r="M28" s="1224">
        <f t="shared" si="2"/>
        <v>0</v>
      </c>
      <c r="N28" s="600">
        <f t="shared" si="1"/>
        <v>19</v>
      </c>
      <c r="O28" s="842"/>
    </row>
    <row r="29" spans="1:17">
      <c r="A29" s="600">
        <f t="shared" si="0"/>
        <v>20</v>
      </c>
      <c r="B29" s="1145" t="s">
        <v>779</v>
      </c>
      <c r="C29" s="1146" t="str">
        <f>C19</f>
        <v>2018</v>
      </c>
      <c r="D29" s="1222">
        <f t="shared" si="5"/>
        <v>0</v>
      </c>
      <c r="E29" s="825">
        <f t="shared" si="6"/>
        <v>0</v>
      </c>
      <c r="F29" s="825">
        <f t="shared" si="7"/>
        <v>0</v>
      </c>
      <c r="G29" s="825">
        <f t="shared" si="8"/>
        <v>0</v>
      </c>
      <c r="H29" s="1150">
        <f t="shared" si="9"/>
        <v>0</v>
      </c>
      <c r="I29" s="825">
        <f t="shared" si="3"/>
        <v>0</v>
      </c>
      <c r="J29" s="1220">
        <v>4.1000000000000003E-3</v>
      </c>
      <c r="K29" s="1223">
        <f t="shared" si="10"/>
        <v>0</v>
      </c>
      <c r="L29" s="1224">
        <f t="shared" si="4"/>
        <v>0</v>
      </c>
      <c r="M29" s="1224">
        <f t="shared" si="2"/>
        <v>0</v>
      </c>
      <c r="N29" s="600">
        <f t="shared" si="1"/>
        <v>20</v>
      </c>
      <c r="O29" s="842"/>
    </row>
    <row r="30" spans="1:17">
      <c r="A30" s="600">
        <f t="shared" si="0"/>
        <v>21</v>
      </c>
      <c r="B30" s="1152" t="s">
        <v>780</v>
      </c>
      <c r="C30" s="1153" t="str">
        <f>C19</f>
        <v>2018</v>
      </c>
      <c r="D30" s="1156">
        <f t="shared" si="5"/>
        <v>0</v>
      </c>
      <c r="E30" s="1011">
        <f t="shared" si="6"/>
        <v>0</v>
      </c>
      <c r="F30" s="1011">
        <f t="shared" si="7"/>
        <v>0</v>
      </c>
      <c r="G30" s="1011">
        <f t="shared" si="8"/>
        <v>0</v>
      </c>
      <c r="H30" s="1156">
        <f>SUM(E30:G30)</f>
        <v>0</v>
      </c>
      <c r="I30" s="1011">
        <f t="shared" si="3"/>
        <v>0</v>
      </c>
      <c r="J30" s="1226">
        <v>4.1999999999999997E-3</v>
      </c>
      <c r="K30" s="1227">
        <f t="shared" si="10"/>
        <v>0</v>
      </c>
      <c r="L30" s="1228">
        <f t="shared" si="4"/>
        <v>0</v>
      </c>
      <c r="M30" s="1156">
        <f t="shared" si="2"/>
        <v>0</v>
      </c>
      <c r="N30" s="600">
        <f t="shared" si="1"/>
        <v>21</v>
      </c>
      <c r="O30" s="842"/>
    </row>
    <row r="31" spans="1:17" ht="16.5" thickBot="1">
      <c r="A31" s="600">
        <f t="shared" si="0"/>
        <v>22</v>
      </c>
      <c r="D31" s="1229">
        <f t="shared" ref="D31:I31" si="11">SUM(D19:D30)</f>
        <v>0</v>
      </c>
      <c r="E31" s="1229">
        <f t="shared" si="11"/>
        <v>0</v>
      </c>
      <c r="F31" s="1229">
        <f t="shared" si="11"/>
        <v>0</v>
      </c>
      <c r="G31" s="1229">
        <f t="shared" si="11"/>
        <v>0</v>
      </c>
      <c r="H31" s="1229">
        <f t="shared" si="11"/>
        <v>0</v>
      </c>
      <c r="I31" s="1229">
        <f t="shared" si="11"/>
        <v>0</v>
      </c>
      <c r="J31" s="1230"/>
      <c r="K31" s="1231"/>
      <c r="L31" s="1229">
        <f>SUM(L19:L30)</f>
        <v>0</v>
      </c>
      <c r="M31" s="1231"/>
      <c r="N31" s="600">
        <f t="shared" si="1"/>
        <v>22</v>
      </c>
    </row>
    <row r="32" spans="1:17" ht="16.5" thickTop="1">
      <c r="D32" s="1232"/>
      <c r="E32" s="1232"/>
      <c r="F32" s="1232"/>
      <c r="G32" s="1232"/>
      <c r="H32" s="1232"/>
      <c r="I32" s="1232"/>
      <c r="J32" s="1233"/>
      <c r="K32" s="1233"/>
      <c r="L32" s="1232"/>
      <c r="M32" s="1233"/>
    </row>
    <row r="33" spans="1:17">
      <c r="B33" s="1234"/>
      <c r="F33" s="1235"/>
      <c r="G33" s="1235"/>
    </row>
    <row r="34" spans="1:17" ht="18.75">
      <c r="A34" s="1159">
        <v>1</v>
      </c>
      <c r="B34" s="408" t="s">
        <v>1027</v>
      </c>
      <c r="F34" s="1235"/>
      <c r="G34" s="1235"/>
      <c r="H34" s="707"/>
      <c r="I34" s="707"/>
      <c r="J34" s="707"/>
      <c r="K34" s="707"/>
      <c r="L34" s="707"/>
      <c r="M34" s="707"/>
      <c r="N34" s="833"/>
      <c r="O34" s="707"/>
      <c r="P34" s="707"/>
      <c r="Q34" s="707"/>
    </row>
    <row r="35" spans="1:17" ht="18.75">
      <c r="A35" s="1159">
        <v>2</v>
      </c>
      <c r="B35" s="408" t="s">
        <v>1028</v>
      </c>
      <c r="F35" s="831"/>
      <c r="G35" s="831"/>
      <c r="H35" s="831"/>
      <c r="I35" s="707"/>
      <c r="J35" s="707"/>
      <c r="K35" s="707"/>
      <c r="L35" s="707"/>
      <c r="M35" s="707"/>
      <c r="N35" s="833"/>
      <c r="O35" s="707"/>
      <c r="P35" s="707"/>
      <c r="Q35" s="707"/>
    </row>
    <row r="36" spans="1:17" ht="18.75">
      <c r="A36" s="1159">
        <v>3</v>
      </c>
      <c r="B36" s="408" t="s">
        <v>820</v>
      </c>
      <c r="H36" s="707"/>
      <c r="I36" s="707"/>
      <c r="J36" s="707"/>
      <c r="K36" s="707"/>
      <c r="L36" s="707"/>
      <c r="M36" s="707"/>
      <c r="N36" s="833"/>
      <c r="O36" s="707"/>
      <c r="P36" s="707"/>
      <c r="Q36" s="707"/>
    </row>
    <row r="37" spans="1:17" ht="18.75">
      <c r="A37" s="1159">
        <v>4</v>
      </c>
      <c r="B37" s="707" t="s">
        <v>821</v>
      </c>
      <c r="C37" s="707"/>
      <c r="D37" s="707"/>
      <c r="E37" s="707"/>
      <c r="H37" s="707"/>
      <c r="I37" s="707"/>
      <c r="J37" s="707"/>
      <c r="K37" s="707"/>
    </row>
    <row r="38" spans="1:17" ht="18.75">
      <c r="A38" s="1159"/>
      <c r="B38" s="707" t="s">
        <v>781</v>
      </c>
      <c r="C38" s="707"/>
      <c r="D38" s="707"/>
      <c r="E38" s="707"/>
      <c r="H38" s="707"/>
      <c r="I38" s="707"/>
      <c r="J38" s="707"/>
      <c r="K38" s="707"/>
    </row>
    <row r="39" spans="1:17" ht="18.75">
      <c r="A39" s="1159">
        <v>5</v>
      </c>
      <c r="B39" s="408" t="s">
        <v>782</v>
      </c>
      <c r="C39" s="1203"/>
    </row>
    <row r="40" spans="1:17" ht="18.75">
      <c r="A40" s="1159">
        <v>6</v>
      </c>
      <c r="B40" s="408" t="s">
        <v>783</v>
      </c>
    </row>
    <row r="41" spans="1:17" ht="18.75">
      <c r="A41" s="1159">
        <v>7</v>
      </c>
      <c r="B41" s="408" t="s">
        <v>784</v>
      </c>
    </row>
  </sheetData>
  <mergeCells count="5">
    <mergeCell ref="B6:M6"/>
    <mergeCell ref="B4:N4"/>
    <mergeCell ref="B5:N5"/>
    <mergeCell ref="B2:M2"/>
    <mergeCell ref="B3:N3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53"/>
  <sheetViews>
    <sheetView zoomScale="80" zoomScaleNormal="80" workbookViewId="0"/>
  </sheetViews>
  <sheetFormatPr defaultColWidth="8.7109375" defaultRowHeight="15.75"/>
  <cols>
    <col min="1" max="1" width="5.140625" style="600" customWidth="1"/>
    <col min="2" max="2" width="69.140625" style="4" customWidth="1"/>
    <col min="3" max="3" width="14.85546875" style="4" customWidth="1"/>
    <col min="4" max="4" width="50.85546875" style="4" bestFit="1" customWidth="1"/>
    <col min="5" max="5" width="5.140625" style="600" customWidth="1"/>
    <col min="6" max="16384" width="8.7109375" style="4"/>
  </cols>
  <sheetData>
    <row r="1" spans="1:7">
      <c r="A1" s="972"/>
      <c r="B1" s="1193"/>
      <c r="C1" s="1193"/>
      <c r="D1" s="1193"/>
      <c r="E1" s="972"/>
    </row>
    <row r="2" spans="1:7">
      <c r="A2" s="972"/>
      <c r="B2" s="1615" t="str">
        <f>'Summary of Cost Components'!B2:D2</f>
        <v>SAN DIEGO GAS &amp; ELECTRIC COMPANY</v>
      </c>
      <c r="C2" s="1615"/>
      <c r="D2" s="1615"/>
      <c r="E2" s="972"/>
    </row>
    <row r="3" spans="1:7">
      <c r="B3" s="1615" t="s">
        <v>1008</v>
      </c>
      <c r="C3" s="1615"/>
      <c r="D3" s="1615"/>
      <c r="E3" s="1198"/>
    </row>
    <row r="4" spans="1:7">
      <c r="B4" s="1615" t="s">
        <v>285</v>
      </c>
      <c r="C4" s="1615"/>
      <c r="D4" s="1615"/>
      <c r="E4" s="1198"/>
    </row>
    <row r="5" spans="1:7">
      <c r="A5" s="972"/>
      <c r="B5" s="1614" t="str">
        <f>"Rate Effective Period June 1, "&amp;Automation!B6+1 &amp;" to December 31, "&amp;Automation!B6+1</f>
        <v>Rate Effective Period June 1, 2019 to December 31, 2019</v>
      </c>
      <c r="C5" s="1614"/>
      <c r="D5" s="1614"/>
      <c r="E5" s="972"/>
    </row>
    <row r="6" spans="1:7">
      <c r="B6" s="1616" t="s">
        <v>3</v>
      </c>
      <c r="C6" s="1615"/>
      <c r="D6" s="1615"/>
      <c r="E6" s="1198"/>
    </row>
    <row r="7" spans="1:7" ht="16.5" thickBot="1">
      <c r="A7" s="972"/>
      <c r="B7" s="1193"/>
      <c r="C7" s="1207"/>
      <c r="D7" s="1207"/>
      <c r="E7" s="972"/>
    </row>
    <row r="8" spans="1:7">
      <c r="A8" s="973" t="s">
        <v>4</v>
      </c>
      <c r="B8" s="917"/>
      <c r="C8" s="918"/>
      <c r="D8" s="919"/>
      <c r="E8" s="974" t="s">
        <v>4</v>
      </c>
    </row>
    <row r="9" spans="1:7">
      <c r="A9" s="973" t="s">
        <v>25</v>
      </c>
      <c r="B9" s="1412" t="s">
        <v>833</v>
      </c>
      <c r="C9" s="1413" t="s">
        <v>128</v>
      </c>
      <c r="D9" s="145" t="s">
        <v>9</v>
      </c>
      <c r="E9" s="974" t="s">
        <v>25</v>
      </c>
    </row>
    <row r="10" spans="1:7">
      <c r="A10" s="973"/>
      <c r="B10" s="143"/>
      <c r="C10" s="86"/>
      <c r="D10" s="146"/>
      <c r="E10" s="974"/>
    </row>
    <row r="11" spans="1:7">
      <c r="A11" s="973">
        <v>1</v>
      </c>
      <c r="B11" s="1414" t="s">
        <v>286</v>
      </c>
      <c r="C11" s="1470">
        <v>0</v>
      </c>
      <c r="D11" s="1236" t="str">
        <f>"Cycle "&amp;Automation!B5-1&amp;"; Summary of Cost Components; Line 1"</f>
        <v>Cycle 1; Summary of Cost Components; Line 1</v>
      </c>
      <c r="E11" s="974">
        <f>A11</f>
        <v>1</v>
      </c>
      <c r="G11" s="1208"/>
    </row>
    <row r="12" spans="1:7">
      <c r="A12" s="973">
        <f>A11+1</f>
        <v>2</v>
      </c>
      <c r="B12" s="99"/>
      <c r="C12" s="1410"/>
      <c r="D12" s="142"/>
      <c r="E12" s="974">
        <f>E11+1</f>
        <v>2</v>
      </c>
    </row>
    <row r="13" spans="1:7">
      <c r="A13" s="973">
        <f t="shared" ref="A13:A28" si="0">A12+1</f>
        <v>3</v>
      </c>
      <c r="B13" s="1414" t="s">
        <v>287</v>
      </c>
      <c r="C13" s="1121">
        <v>798.74361343968144</v>
      </c>
      <c r="D13" s="147" t="str">
        <f>"Cycle "&amp;Automation!B5-1&amp;"; Summary of Cost Components; Line 3"</f>
        <v>Cycle 1; Summary of Cost Components; Line 3</v>
      </c>
      <c r="E13" s="974">
        <f t="shared" ref="E13:E28" si="1">E12+1</f>
        <v>3</v>
      </c>
      <c r="G13" s="1209"/>
    </row>
    <row r="14" spans="1:7">
      <c r="A14" s="973">
        <f t="shared" si="0"/>
        <v>4</v>
      </c>
      <c r="B14" s="99"/>
      <c r="C14" s="1410"/>
      <c r="D14" s="148"/>
      <c r="E14" s="974">
        <f t="shared" si="1"/>
        <v>4</v>
      </c>
    </row>
    <row r="15" spans="1:7">
      <c r="A15" s="973">
        <f t="shared" si="0"/>
        <v>5</v>
      </c>
      <c r="B15" s="1414" t="s">
        <v>288</v>
      </c>
      <c r="C15" s="1417">
        <v>0</v>
      </c>
      <c r="D15" s="1118" t="str">
        <f>"Cycle "&amp;Automation!B5-1&amp;"; Summary of Cost Components; Line 5"</f>
        <v>Cycle 1; Summary of Cost Components; Line 5</v>
      </c>
      <c r="E15" s="974">
        <f t="shared" si="1"/>
        <v>5</v>
      </c>
      <c r="G15" s="1209"/>
    </row>
    <row r="16" spans="1:7">
      <c r="A16" s="973">
        <f t="shared" si="0"/>
        <v>6</v>
      </c>
      <c r="B16" s="89"/>
      <c r="C16" s="1410"/>
      <c r="D16" s="149"/>
      <c r="E16" s="974">
        <f t="shared" si="1"/>
        <v>6</v>
      </c>
    </row>
    <row r="17" spans="1:9">
      <c r="A17" s="973">
        <f t="shared" si="0"/>
        <v>7</v>
      </c>
      <c r="B17" s="1415" t="s">
        <v>869</v>
      </c>
      <c r="C17" s="1410">
        <f>C11+C13+C15</f>
        <v>798.74361343968144</v>
      </c>
      <c r="D17" s="152" t="str">
        <f>"Sum Lines "&amp;A11&amp;", "&amp;A13&amp;", "&amp;A15</f>
        <v>Sum Lines 1, 3, 5</v>
      </c>
      <c r="E17" s="974">
        <f t="shared" si="1"/>
        <v>7</v>
      </c>
    </row>
    <row r="18" spans="1:9">
      <c r="A18" s="973">
        <f t="shared" si="0"/>
        <v>8</v>
      </c>
      <c r="B18" s="89"/>
      <c r="C18" s="1410"/>
      <c r="D18" s="1425"/>
      <c r="E18" s="974">
        <f t="shared" si="1"/>
        <v>8</v>
      </c>
    </row>
    <row r="19" spans="1:9">
      <c r="A19" s="973">
        <f t="shared" si="0"/>
        <v>9</v>
      </c>
      <c r="B19" s="1484" t="s">
        <v>608</v>
      </c>
      <c r="C19" s="1121">
        <v>0</v>
      </c>
      <c r="D19" s="1118" t="str">
        <f>"Cycle "&amp;Automation!B5-1&amp;"; Summary of Cost Components; Line 9"</f>
        <v>Cycle 1; Summary of Cost Components; Line 9</v>
      </c>
      <c r="E19" s="974">
        <f t="shared" si="1"/>
        <v>9</v>
      </c>
    </row>
    <row r="20" spans="1:9">
      <c r="A20" s="973">
        <f t="shared" si="0"/>
        <v>10</v>
      </c>
      <c r="B20" s="1414"/>
      <c r="C20" s="1410"/>
      <c r="D20" s="150"/>
      <c r="E20" s="974">
        <f t="shared" si="1"/>
        <v>10</v>
      </c>
    </row>
    <row r="21" spans="1:9">
      <c r="A21" s="973">
        <f t="shared" si="0"/>
        <v>11</v>
      </c>
      <c r="B21" s="1414" t="s">
        <v>289</v>
      </c>
      <c r="C21" s="1471">
        <v>0</v>
      </c>
      <c r="D21" s="1118" t="str">
        <f>"Cycle "&amp;Automation!B5-1&amp;"; Summary of Cost Components; Line 11"</f>
        <v>Cycle 1; Summary of Cost Components; Line 11</v>
      </c>
      <c r="E21" s="974">
        <f t="shared" si="1"/>
        <v>11</v>
      </c>
      <c r="G21" s="1208"/>
    </row>
    <row r="22" spans="1:9">
      <c r="A22" s="973">
        <f t="shared" si="0"/>
        <v>12</v>
      </c>
      <c r="B22" s="89"/>
      <c r="C22" s="1411"/>
      <c r="D22" s="151"/>
      <c r="E22" s="974">
        <f t="shared" si="1"/>
        <v>12</v>
      </c>
    </row>
    <row r="23" spans="1:9">
      <c r="A23" s="973">
        <f t="shared" si="0"/>
        <v>13</v>
      </c>
      <c r="B23" s="89" t="s">
        <v>834</v>
      </c>
      <c r="C23" s="325">
        <f>C17+C19+C21</f>
        <v>798.74361343968144</v>
      </c>
      <c r="D23" s="152" t="str">
        <f>"Sum Lines "&amp;A17&amp;", "&amp;A19&amp;", "&amp;A21</f>
        <v>Sum Lines 7, 9, 11</v>
      </c>
      <c r="E23" s="974">
        <f t="shared" si="1"/>
        <v>13</v>
      </c>
    </row>
    <row r="24" spans="1:9">
      <c r="A24" s="973">
        <f t="shared" si="0"/>
        <v>14</v>
      </c>
      <c r="B24" s="89"/>
      <c r="C24" s="1019"/>
      <c r="D24" s="151"/>
      <c r="E24" s="974">
        <f t="shared" si="1"/>
        <v>14</v>
      </c>
    </row>
    <row r="25" spans="1:9">
      <c r="A25" s="973">
        <f t="shared" si="0"/>
        <v>15</v>
      </c>
      <c r="B25" s="1414" t="s">
        <v>835</v>
      </c>
      <c r="C25" s="1416">
        <v>0</v>
      </c>
      <c r="D25" s="1118" t="s">
        <v>866</v>
      </c>
      <c r="E25" s="974">
        <f t="shared" si="1"/>
        <v>15</v>
      </c>
      <c r="G25" s="1209"/>
    </row>
    <row r="26" spans="1:9">
      <c r="A26" s="973">
        <f t="shared" si="0"/>
        <v>16</v>
      </c>
      <c r="B26" s="98"/>
      <c r="C26" s="1023"/>
      <c r="D26" s="151"/>
      <c r="E26" s="974">
        <f t="shared" si="1"/>
        <v>16</v>
      </c>
    </row>
    <row r="27" spans="1:9" ht="16.5" thickBot="1">
      <c r="A27" s="973">
        <f t="shared" si="0"/>
        <v>17</v>
      </c>
      <c r="B27" s="1415" t="s">
        <v>836</v>
      </c>
      <c r="C27" s="1024">
        <f>C23+C25</f>
        <v>798.74361343968144</v>
      </c>
      <c r="D27" s="69" t="str">
        <f>"Line "&amp;A23&amp;" + Line "&amp;A25</f>
        <v>Line 13 + Line 15</v>
      </c>
      <c r="E27" s="974">
        <f t="shared" si="1"/>
        <v>17</v>
      </c>
      <c r="H27" s="1208"/>
      <c r="I27" s="1210"/>
    </row>
    <row r="28" spans="1:9" ht="17.25" thickTop="1" thickBot="1">
      <c r="A28" s="973">
        <f t="shared" si="0"/>
        <v>18</v>
      </c>
      <c r="B28" s="87"/>
      <c r="C28" s="87"/>
      <c r="D28" s="154"/>
      <c r="E28" s="974">
        <f t="shared" si="1"/>
        <v>18</v>
      </c>
    </row>
    <row r="30" spans="1:9" ht="16.5" thickBot="1">
      <c r="A30" s="972"/>
      <c r="B30" s="1129"/>
      <c r="C30" s="1130"/>
      <c r="D30" s="1130"/>
      <c r="E30" s="972"/>
    </row>
    <row r="31" spans="1:9">
      <c r="A31" s="973" t="s">
        <v>4</v>
      </c>
      <c r="B31" s="85"/>
      <c r="C31" s="85"/>
      <c r="D31" s="142"/>
      <c r="E31" s="974" t="s">
        <v>4</v>
      </c>
    </row>
    <row r="32" spans="1:9">
      <c r="A32" s="973" t="s">
        <v>25</v>
      </c>
      <c r="B32" s="1412" t="s">
        <v>837</v>
      </c>
      <c r="C32" s="1413" t="str">
        <f>C9</f>
        <v>Amounts</v>
      </c>
      <c r="D32" s="145" t="str">
        <f>D9</f>
        <v>Reference</v>
      </c>
      <c r="E32" s="974" t="s">
        <v>25</v>
      </c>
    </row>
    <row r="33" spans="1:5">
      <c r="A33" s="973">
        <f>A28+1</f>
        <v>19</v>
      </c>
      <c r="B33" s="84"/>
      <c r="C33" s="86"/>
      <c r="D33" s="146"/>
      <c r="E33" s="974">
        <f>E28+1</f>
        <v>19</v>
      </c>
    </row>
    <row r="34" spans="1:5">
      <c r="A34" s="973">
        <f>A33+1</f>
        <v>20</v>
      </c>
      <c r="B34" s="1452" t="str">
        <f>B11</f>
        <v>Section 1 - Direct Maintenance Expense Cost Component</v>
      </c>
      <c r="C34" s="1364">
        <f>C11/12</f>
        <v>0</v>
      </c>
      <c r="D34" s="147" t="str">
        <f>"Line "&amp;A11&amp;" / "&amp;C50&amp;" Months"</f>
        <v>Line 1 / 12 Months</v>
      </c>
      <c r="E34" s="974">
        <f>E33+1</f>
        <v>20</v>
      </c>
    </row>
    <row r="35" spans="1:5">
      <c r="A35" s="973">
        <f t="shared" ref="A35:A53" si="2">A34+1</f>
        <v>21</v>
      </c>
      <c r="B35" s="1211"/>
      <c r="C35" s="33"/>
      <c r="D35" s="141"/>
      <c r="E35" s="974">
        <f t="shared" ref="E35:E53" si="3">E34+1</f>
        <v>21</v>
      </c>
    </row>
    <row r="36" spans="1:5">
      <c r="A36" s="973">
        <f t="shared" si="2"/>
        <v>22</v>
      </c>
      <c r="B36" s="1452" t="str">
        <f>B13</f>
        <v>Section 2 - Non-Direct Expense Cost Component</v>
      </c>
      <c r="C36" s="1448">
        <f>C13/12</f>
        <v>66.561967786640125</v>
      </c>
      <c r="D36" s="147" t="str">
        <f>"Line "&amp;A13&amp;" / "&amp;C50&amp;" Months"</f>
        <v>Line 3 / 12 Months</v>
      </c>
      <c r="E36" s="974">
        <f t="shared" si="3"/>
        <v>22</v>
      </c>
    </row>
    <row r="37" spans="1:5">
      <c r="A37" s="973">
        <f t="shared" si="2"/>
        <v>23</v>
      </c>
      <c r="B37" s="1211"/>
      <c r="C37" s="1366"/>
      <c r="D37" s="155"/>
      <c r="E37" s="974">
        <f t="shared" si="3"/>
        <v>23</v>
      </c>
    </row>
    <row r="38" spans="1:5">
      <c r="A38" s="973">
        <f t="shared" si="2"/>
        <v>24</v>
      </c>
      <c r="B38" s="1452" t="str">
        <f>B15</f>
        <v>Section 3 - Cost Component Containing Other Specific Expenses</v>
      </c>
      <c r="C38" s="1418">
        <f>C15/12</f>
        <v>0</v>
      </c>
      <c r="D38" s="147" t="str">
        <f>"Line "&amp;A15&amp;" / "&amp;C50&amp;" Months"</f>
        <v>Line 5 / 12 Months</v>
      </c>
      <c r="E38" s="974">
        <f t="shared" si="3"/>
        <v>24</v>
      </c>
    </row>
    <row r="39" spans="1:5">
      <c r="A39" s="973">
        <f t="shared" si="2"/>
        <v>25</v>
      </c>
      <c r="B39" s="144"/>
      <c r="C39" s="1365"/>
      <c r="D39" s="147"/>
      <c r="E39" s="974">
        <f t="shared" si="3"/>
        <v>25</v>
      </c>
    </row>
    <row r="40" spans="1:5">
      <c r="A40" s="973">
        <f t="shared" si="2"/>
        <v>26</v>
      </c>
      <c r="B40" s="1415" t="s">
        <v>870</v>
      </c>
      <c r="C40" s="1580">
        <f>C34+C36+C38</f>
        <v>66.561967786640125</v>
      </c>
      <c r="D40" s="152" t="str">
        <f>"Sum Lines "&amp;A34&amp;", "&amp;A36&amp;", "&amp;A38</f>
        <v>Sum Lines 20, 22, 24</v>
      </c>
      <c r="E40" s="974">
        <f t="shared" si="3"/>
        <v>26</v>
      </c>
    </row>
    <row r="41" spans="1:5">
      <c r="A41" s="973">
        <f t="shared" si="2"/>
        <v>27</v>
      </c>
      <c r="B41" s="84"/>
      <c r="C41" s="1366"/>
      <c r="D41" s="148"/>
      <c r="E41" s="974">
        <f t="shared" si="3"/>
        <v>27</v>
      </c>
    </row>
    <row r="42" spans="1:5">
      <c r="A42" s="973">
        <f t="shared" si="2"/>
        <v>28</v>
      </c>
      <c r="B42" s="1452" t="str">
        <f>LEFT(B19,45)</f>
        <v>Section 4 - True-Up Adjustment Cost Component</v>
      </c>
      <c r="C42" s="1365">
        <f>C19/12</f>
        <v>0</v>
      </c>
      <c r="D42" s="147" t="str">
        <f>"Line "&amp;A19&amp;" / "&amp;C4913&amp;" Months"</f>
        <v>Line 9 /  Months</v>
      </c>
      <c r="E42" s="974">
        <f t="shared" si="3"/>
        <v>28</v>
      </c>
    </row>
    <row r="43" spans="1:5">
      <c r="A43" s="973">
        <f t="shared" si="2"/>
        <v>29</v>
      </c>
      <c r="B43" s="1452"/>
      <c r="C43" s="1366"/>
      <c r="D43" s="156"/>
      <c r="E43" s="974">
        <f t="shared" si="3"/>
        <v>29</v>
      </c>
    </row>
    <row r="44" spans="1:5">
      <c r="A44" s="973">
        <f t="shared" si="2"/>
        <v>30</v>
      </c>
      <c r="B44" s="1452" t="str">
        <f>B21</f>
        <v>Section 5 - Interest True-Up Adjustment Cost Component</v>
      </c>
      <c r="C44" s="1365">
        <f>C21/12</f>
        <v>0</v>
      </c>
      <c r="D44" s="151" t="str">
        <f>"Line "&amp;A21&amp;" / "&amp;C50&amp;" Months"</f>
        <v>Line 11 / 12 Months</v>
      </c>
      <c r="E44" s="974">
        <f t="shared" si="3"/>
        <v>30</v>
      </c>
    </row>
    <row r="45" spans="1:5">
      <c r="A45" s="973">
        <f t="shared" si="2"/>
        <v>31</v>
      </c>
      <c r="B45" s="144"/>
      <c r="C45" s="1367"/>
      <c r="D45" s="153"/>
      <c r="E45" s="974">
        <f t="shared" si="3"/>
        <v>31</v>
      </c>
    </row>
    <row r="46" spans="1:5">
      <c r="A46" s="973">
        <f t="shared" si="2"/>
        <v>32</v>
      </c>
      <c r="B46" s="1414" t="str">
        <f>B25</f>
        <v>Other Adjustments</v>
      </c>
      <c r="C46" s="1368">
        <f>C25/12</f>
        <v>0</v>
      </c>
      <c r="D46" s="151" t="str">
        <f>"Line "&amp;A25&amp;" / "&amp;C50&amp;" Months"</f>
        <v>Line 15 / 12 Months</v>
      </c>
      <c r="E46" s="974">
        <f t="shared" si="3"/>
        <v>32</v>
      </c>
    </row>
    <row r="47" spans="1:5">
      <c r="A47" s="973">
        <f t="shared" si="2"/>
        <v>33</v>
      </c>
      <c r="B47" s="89"/>
      <c r="C47" s="1369"/>
      <c r="D47" s="1363"/>
      <c r="E47" s="974">
        <f t="shared" si="3"/>
        <v>33</v>
      </c>
    </row>
    <row r="48" spans="1:5" ht="16.5" thickBot="1">
      <c r="A48" s="973">
        <f t="shared" si="2"/>
        <v>34</v>
      </c>
      <c r="B48" s="89" t="s">
        <v>838</v>
      </c>
      <c r="C48" s="1455">
        <f>C40+C42+C44+C46</f>
        <v>66.561967786640125</v>
      </c>
      <c r="D48" s="152" t="str">
        <f>"Sum Lines "&amp;A40&amp;", "&amp;A42&amp;", "&amp;A44&amp;", "&amp;A46</f>
        <v>Sum Lines 26, 28, 30, 32</v>
      </c>
      <c r="E48" s="974">
        <f t="shared" si="3"/>
        <v>34</v>
      </c>
    </row>
    <row r="49" spans="1:5" ht="16.5" thickTop="1">
      <c r="A49" s="973">
        <f t="shared" si="2"/>
        <v>35</v>
      </c>
      <c r="B49" s="84"/>
      <c r="C49" s="32"/>
      <c r="D49" s="157"/>
      <c r="E49" s="974">
        <f t="shared" si="3"/>
        <v>35</v>
      </c>
    </row>
    <row r="50" spans="1:5">
      <c r="A50" s="973">
        <f t="shared" si="2"/>
        <v>36</v>
      </c>
      <c r="B50" s="1211" t="s">
        <v>726</v>
      </c>
      <c r="C50" s="939">
        <v>12</v>
      </c>
      <c r="D50" s="157"/>
      <c r="E50" s="974">
        <f t="shared" si="3"/>
        <v>36</v>
      </c>
    </row>
    <row r="51" spans="1:5">
      <c r="A51" s="973">
        <f t="shared" si="2"/>
        <v>37</v>
      </c>
      <c r="B51" s="84"/>
      <c r="C51" s="32"/>
      <c r="D51" s="158"/>
      <c r="E51" s="974">
        <f t="shared" si="3"/>
        <v>37</v>
      </c>
    </row>
    <row r="52" spans="1:5" ht="16.5" thickBot="1">
      <c r="A52" s="973">
        <f t="shared" si="2"/>
        <v>38</v>
      </c>
      <c r="B52" s="1415" t="str">
        <f>B27</f>
        <v>Total Annual Costs</v>
      </c>
      <c r="C52" s="1017">
        <f>C48*C50</f>
        <v>798.74361343968144</v>
      </c>
      <c r="D52" s="151" t="str">
        <f>"Line "&amp;A48&amp;" x Line "&amp;A50</f>
        <v>Line 34 x Line 36</v>
      </c>
      <c r="E52" s="974">
        <f t="shared" si="3"/>
        <v>38</v>
      </c>
    </row>
    <row r="53" spans="1:5" ht="17.25" thickTop="1" thickBot="1">
      <c r="A53" s="973">
        <f t="shared" si="2"/>
        <v>39</v>
      </c>
      <c r="B53" s="88"/>
      <c r="C53" s="31"/>
      <c r="D53" s="159"/>
      <c r="E53" s="974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Invoice Summary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6"/>
  <sheetViews>
    <sheetView zoomScale="80" zoomScaleNormal="80" zoomScaleSheetLayoutView="70" workbookViewId="0"/>
  </sheetViews>
  <sheetFormatPr defaultColWidth="9.140625" defaultRowHeight="15.75"/>
  <cols>
    <col min="1" max="1" width="5.28515625" style="600" customWidth="1"/>
    <col min="2" max="3" width="19.5703125" style="408" customWidth="1"/>
    <col min="4" max="5" width="20.85546875" style="408" customWidth="1"/>
    <col min="6" max="6" width="35.5703125" style="707" customWidth="1"/>
    <col min="7" max="7" width="20.85546875" style="408" customWidth="1"/>
    <col min="8" max="8" width="35.28515625" style="408" customWidth="1"/>
    <col min="9" max="9" width="5.28515625" style="600" customWidth="1"/>
    <col min="10" max="10" width="8.7109375" style="408" customWidth="1"/>
    <col min="11" max="11" width="9" style="408" customWidth="1"/>
    <col min="12" max="12" width="14" style="408" customWidth="1"/>
    <col min="13" max="13" width="13.140625" style="408" customWidth="1"/>
    <col min="14" max="14" width="12.85546875" style="408" customWidth="1"/>
    <col min="15" max="15" width="13.5703125" style="408" customWidth="1"/>
    <col min="16" max="16" width="12.5703125" style="408" customWidth="1"/>
    <col min="17" max="16384" width="9.140625" style="408"/>
  </cols>
  <sheetData>
    <row r="1" spans="1:13">
      <c r="M1" s="1233"/>
    </row>
    <row r="2" spans="1:13" s="1572" customFormat="1">
      <c r="A2" s="600"/>
      <c r="B2" s="1628" t="str">
        <f>'Summary of Cost Components'!B2:D2</f>
        <v>SAN DIEGO GAS &amp; ELECTRIC COMPANY</v>
      </c>
      <c r="C2" s="1628"/>
      <c r="D2" s="1628"/>
      <c r="E2" s="1628"/>
      <c r="F2" s="1628"/>
      <c r="G2" s="1628"/>
      <c r="H2" s="1628"/>
      <c r="I2" s="600"/>
      <c r="M2" s="1233"/>
    </row>
    <row r="3" spans="1:13">
      <c r="B3" s="1628" t="str">
        <f>'Summary of Cost Components'!B3:D3</f>
        <v>CITIZENS' SHARE OF THE SX-PQ UNDERGROUND LINE SEGMENT</v>
      </c>
      <c r="C3" s="1628"/>
      <c r="D3" s="1628"/>
      <c r="E3" s="1628"/>
      <c r="F3" s="1628"/>
      <c r="G3" s="1628"/>
      <c r="H3" s="1628"/>
      <c r="I3" s="1196"/>
      <c r="J3" s="1196"/>
      <c r="M3" s="1233"/>
    </row>
    <row r="4" spans="1:13">
      <c r="B4" s="1629" t="str">
        <f>"Derivation of Interest on the 12-Month True-Up Adjustment Applicable to Citizens Cycle "&amp;Automation!B5-1</f>
        <v>Derivation of Interest on the 12-Month True-Up Adjustment Applicable to Citizens Cycle 1</v>
      </c>
      <c r="C4" s="1629"/>
      <c r="D4" s="1629"/>
      <c r="E4" s="1629"/>
      <c r="F4" s="1629"/>
      <c r="G4" s="1629"/>
      <c r="H4" s="1629"/>
      <c r="I4" s="1196"/>
      <c r="J4" s="1196"/>
      <c r="M4" s="1233"/>
    </row>
    <row r="5" spans="1:13">
      <c r="B5" s="1630" t="str">
        <f>'D. Sec.4 - TU'!B5:N5</f>
        <v>True-Up Period - January 1, 2018 to December 31, 2018</v>
      </c>
      <c r="C5" s="1630"/>
      <c r="D5" s="1630"/>
      <c r="E5" s="1630"/>
      <c r="F5" s="1630"/>
      <c r="G5" s="1630"/>
      <c r="H5" s="1630"/>
      <c r="I5" s="1196"/>
      <c r="J5" s="1196"/>
      <c r="M5" s="1233"/>
    </row>
    <row r="6" spans="1:13">
      <c r="B6" s="1626" t="s">
        <v>3</v>
      </c>
      <c r="C6" s="1626"/>
      <c r="D6" s="1626"/>
      <c r="E6" s="1626"/>
      <c r="F6" s="1626"/>
      <c r="G6" s="1626"/>
      <c r="H6" s="1626"/>
      <c r="I6" s="1196"/>
      <c r="J6" s="1196"/>
    </row>
    <row r="7" spans="1:13">
      <c r="A7" s="1196"/>
      <c r="B7" s="1196"/>
      <c r="C7" s="1196"/>
      <c r="D7" s="1196"/>
      <c r="E7" s="1196"/>
      <c r="F7" s="1196"/>
      <c r="G7" s="1196"/>
      <c r="H7" s="1196"/>
      <c r="I7" s="1196"/>
      <c r="J7" s="1196"/>
    </row>
    <row r="8" spans="1:13">
      <c r="A8" s="600" t="s">
        <v>4</v>
      </c>
      <c r="B8" s="1196"/>
      <c r="C8" s="1196"/>
      <c r="D8" s="1196"/>
      <c r="E8" s="1196"/>
      <c r="F8" s="1196"/>
      <c r="G8" s="1196"/>
      <c r="H8" s="1196"/>
      <c r="I8" s="600" t="s">
        <v>4</v>
      </c>
      <c r="J8" s="1196"/>
    </row>
    <row r="9" spans="1:13">
      <c r="A9" s="456" t="s">
        <v>25</v>
      </c>
      <c r="E9" s="1219"/>
      <c r="F9" s="408"/>
      <c r="I9" s="456" t="s">
        <v>25</v>
      </c>
      <c r="J9" s="804"/>
    </row>
    <row r="10" spans="1:13">
      <c r="A10" s="804"/>
      <c r="E10" s="1219"/>
      <c r="F10" s="408"/>
      <c r="I10" s="804"/>
      <c r="J10" s="804"/>
    </row>
    <row r="11" spans="1:13">
      <c r="A11" s="600">
        <v>1</v>
      </c>
      <c r="C11" s="1140" t="s">
        <v>739</v>
      </c>
      <c r="D11" s="1140" t="s">
        <v>740</v>
      </c>
      <c r="E11" s="1140" t="s">
        <v>741</v>
      </c>
      <c r="F11" s="1140" t="s">
        <v>742</v>
      </c>
      <c r="G11" s="1140" t="s">
        <v>743</v>
      </c>
      <c r="H11" s="1140" t="s">
        <v>744</v>
      </c>
      <c r="I11" s="600">
        <f>A11</f>
        <v>1</v>
      </c>
      <c r="J11" s="600"/>
    </row>
    <row r="12" spans="1:13">
      <c r="A12" s="600">
        <f>A11+1</f>
        <v>2</v>
      </c>
      <c r="B12" s="714" t="s">
        <v>750</v>
      </c>
      <c r="C12" s="1140"/>
      <c r="D12" s="600"/>
      <c r="E12" s="600" t="str">
        <f>"See Footnote "&amp;A33</f>
        <v>See Footnote 2</v>
      </c>
      <c r="F12" s="600" t="str">
        <f>"See Footnote "&amp;A34</f>
        <v>See Footnote 3</v>
      </c>
      <c r="G12" s="821" t="str">
        <f>"See Footnote "&amp;A35</f>
        <v>See Footnote 4</v>
      </c>
      <c r="H12" s="821" t="str">
        <f>"= "&amp;F11&amp;" + "&amp;G11</f>
        <v>= Col. 4 + Col. 5</v>
      </c>
      <c r="I12" s="600">
        <f>I11+1</f>
        <v>2</v>
      </c>
      <c r="J12" s="600"/>
    </row>
    <row r="13" spans="1:13">
      <c r="A13" s="600">
        <f t="shared" ref="A13:A29" si="0">A12+1</f>
        <v>3</v>
      </c>
      <c r="C13" s="1140"/>
      <c r="D13" s="1140"/>
      <c r="E13" s="1140"/>
      <c r="F13" s="1196"/>
      <c r="G13" s="1140"/>
      <c r="H13" s="1140"/>
      <c r="I13" s="600">
        <f t="shared" ref="I13:I29" si="1">I12+1</f>
        <v>3</v>
      </c>
      <c r="J13" s="600"/>
    </row>
    <row r="14" spans="1:13">
      <c r="A14" s="600">
        <f t="shared" si="0"/>
        <v>4</v>
      </c>
      <c r="C14" s="1196"/>
      <c r="D14" s="1196" t="s">
        <v>785</v>
      </c>
      <c r="E14" s="1196" t="s">
        <v>752</v>
      </c>
      <c r="F14" s="1196" t="s">
        <v>786</v>
      </c>
      <c r="H14" s="1196" t="s">
        <v>786</v>
      </c>
      <c r="I14" s="600">
        <f t="shared" si="1"/>
        <v>4</v>
      </c>
      <c r="J14" s="600"/>
    </row>
    <row r="15" spans="1:13">
      <c r="A15" s="600">
        <f t="shared" si="0"/>
        <v>5</v>
      </c>
      <c r="C15" s="1196"/>
      <c r="D15" s="1196" t="s">
        <v>775</v>
      </c>
      <c r="E15" s="1196" t="s">
        <v>759</v>
      </c>
      <c r="F15" s="1196" t="s">
        <v>787</v>
      </c>
      <c r="G15" s="1196"/>
      <c r="H15" s="1196" t="s">
        <v>787</v>
      </c>
      <c r="I15" s="600">
        <f t="shared" si="1"/>
        <v>5</v>
      </c>
      <c r="J15" s="600"/>
    </row>
    <row r="16" spans="1:13" ht="18.75">
      <c r="A16" s="600">
        <f t="shared" si="0"/>
        <v>6</v>
      </c>
      <c r="B16" s="1143" t="s">
        <v>23</v>
      </c>
      <c r="C16" s="1143" t="s">
        <v>761</v>
      </c>
      <c r="D16" s="844" t="s">
        <v>788</v>
      </c>
      <c r="E16" s="844" t="s">
        <v>736</v>
      </c>
      <c r="F16" s="844" t="s">
        <v>766</v>
      </c>
      <c r="G16" s="844" t="s">
        <v>759</v>
      </c>
      <c r="H16" s="844" t="s">
        <v>767</v>
      </c>
      <c r="I16" s="600">
        <f t="shared" si="1"/>
        <v>6</v>
      </c>
      <c r="J16" s="600"/>
    </row>
    <row r="17" spans="1:10">
      <c r="A17" s="600">
        <f t="shared" si="0"/>
        <v>7</v>
      </c>
      <c r="B17" s="1145" t="s">
        <v>768</v>
      </c>
      <c r="C17" s="1146" t="str">
        <f>RIGHT(B5,4)</f>
        <v>2018</v>
      </c>
      <c r="D17" s="1483">
        <f>'D1. Sec.4 - PY Invoice Summary'!C19</f>
        <v>0</v>
      </c>
      <c r="E17" s="1237">
        <f>'D. Sec.4 - TU'!J19</f>
        <v>3.5999999999999999E-3</v>
      </c>
      <c r="F17" s="852">
        <f>D17</f>
        <v>0</v>
      </c>
      <c r="G17" s="852">
        <f>((F17))*E17</f>
        <v>0</v>
      </c>
      <c r="H17" s="852">
        <f>F17+G17</f>
        <v>0</v>
      </c>
      <c r="I17" s="600">
        <f t="shared" si="1"/>
        <v>7</v>
      </c>
      <c r="J17" s="600"/>
    </row>
    <row r="18" spans="1:10">
      <c r="A18" s="600">
        <f t="shared" si="0"/>
        <v>8</v>
      </c>
      <c r="B18" s="1148" t="s">
        <v>769</v>
      </c>
      <c r="C18" s="1146" t="str">
        <f>$C$17</f>
        <v>2018</v>
      </c>
      <c r="D18" s="1161"/>
      <c r="E18" s="1237">
        <f>'D. Sec.4 - TU'!J20</f>
        <v>3.3E-3</v>
      </c>
      <c r="F18" s="1222">
        <f>H17</f>
        <v>0</v>
      </c>
      <c r="G18" s="1222">
        <f>((H17+F18)/2)*E18</f>
        <v>0</v>
      </c>
      <c r="H18" s="1222">
        <f t="shared" ref="H18:H28" si="2">F18+G18</f>
        <v>0</v>
      </c>
      <c r="I18" s="600">
        <f t="shared" si="1"/>
        <v>8</v>
      </c>
      <c r="J18" s="600"/>
    </row>
    <row r="19" spans="1:10">
      <c r="A19" s="600">
        <f t="shared" si="0"/>
        <v>9</v>
      </c>
      <c r="B19" s="1148" t="s">
        <v>789</v>
      </c>
      <c r="C19" s="1146" t="str">
        <f t="shared" ref="C19:C28" si="3">$C$17</f>
        <v>2018</v>
      </c>
      <c r="D19" s="1161"/>
      <c r="E19" s="1237">
        <f>'D. Sec.4 - TU'!J21</f>
        <v>3.5999999999999999E-3</v>
      </c>
      <c r="F19" s="1222">
        <f t="shared" ref="F19:F28" si="4">H18</f>
        <v>0</v>
      </c>
      <c r="G19" s="1222">
        <f t="shared" ref="G19:G28" si="5">((H18+F19)/2)*E19</f>
        <v>0</v>
      </c>
      <c r="H19" s="1222">
        <f t="shared" si="2"/>
        <v>0</v>
      </c>
      <c r="I19" s="600">
        <f t="shared" si="1"/>
        <v>9</v>
      </c>
      <c r="J19" s="600"/>
    </row>
    <row r="20" spans="1:10">
      <c r="A20" s="600">
        <f t="shared" si="0"/>
        <v>10</v>
      </c>
      <c r="B20" s="1145" t="s">
        <v>790</v>
      </c>
      <c r="C20" s="1146" t="str">
        <f t="shared" si="3"/>
        <v>2018</v>
      </c>
      <c r="D20" s="1161"/>
      <c r="E20" s="1237">
        <f>'D. Sec.4 - TU'!J22</f>
        <v>3.7000000000000002E-3</v>
      </c>
      <c r="F20" s="1222">
        <f t="shared" si="4"/>
        <v>0</v>
      </c>
      <c r="G20" s="1222">
        <f t="shared" si="5"/>
        <v>0</v>
      </c>
      <c r="H20" s="1222">
        <f t="shared" si="2"/>
        <v>0</v>
      </c>
      <c r="I20" s="600">
        <f t="shared" si="1"/>
        <v>10</v>
      </c>
      <c r="J20" s="600"/>
    </row>
    <row r="21" spans="1:10">
      <c r="A21" s="600">
        <f t="shared" si="0"/>
        <v>11</v>
      </c>
      <c r="B21" s="1148" t="s">
        <v>39</v>
      </c>
      <c r="C21" s="1146" t="str">
        <f t="shared" si="3"/>
        <v>2018</v>
      </c>
      <c r="D21" s="1161"/>
      <c r="E21" s="1237">
        <f>'D. Sec.4 - TU'!J23</f>
        <v>3.8E-3</v>
      </c>
      <c r="F21" s="1222">
        <f t="shared" si="4"/>
        <v>0</v>
      </c>
      <c r="G21" s="1222">
        <f t="shared" si="5"/>
        <v>0</v>
      </c>
      <c r="H21" s="1222">
        <f t="shared" si="2"/>
        <v>0</v>
      </c>
      <c r="I21" s="600">
        <f t="shared" si="1"/>
        <v>11</v>
      </c>
      <c r="J21" s="600"/>
    </row>
    <row r="22" spans="1:10">
      <c r="A22" s="600">
        <f t="shared" si="0"/>
        <v>12</v>
      </c>
      <c r="B22" s="1148" t="s">
        <v>791</v>
      </c>
      <c r="C22" s="1146" t="str">
        <f t="shared" si="3"/>
        <v>2018</v>
      </c>
      <c r="D22" s="1161"/>
      <c r="E22" s="1237">
        <f>'D. Sec.4 - TU'!J24</f>
        <v>3.7000000000000002E-3</v>
      </c>
      <c r="F22" s="1222">
        <f t="shared" si="4"/>
        <v>0</v>
      </c>
      <c r="G22" s="1222">
        <f t="shared" si="5"/>
        <v>0</v>
      </c>
      <c r="H22" s="1222">
        <f t="shared" si="2"/>
        <v>0</v>
      </c>
      <c r="I22" s="600">
        <f t="shared" si="1"/>
        <v>12</v>
      </c>
      <c r="J22" s="600"/>
    </row>
    <row r="23" spans="1:10">
      <c r="A23" s="600">
        <f t="shared" si="0"/>
        <v>13</v>
      </c>
      <c r="B23" s="1145" t="s">
        <v>792</v>
      </c>
      <c r="C23" s="1146" t="str">
        <f t="shared" si="3"/>
        <v>2018</v>
      </c>
      <c r="D23" s="1161"/>
      <c r="E23" s="1237">
        <f>'D. Sec.4 - TU'!J25</f>
        <v>4.0000000000000001E-3</v>
      </c>
      <c r="F23" s="1222">
        <f t="shared" si="4"/>
        <v>0</v>
      </c>
      <c r="G23" s="1222">
        <f t="shared" si="5"/>
        <v>0</v>
      </c>
      <c r="H23" s="1222">
        <f t="shared" si="2"/>
        <v>0</v>
      </c>
      <c r="I23" s="600">
        <f t="shared" si="1"/>
        <v>13</v>
      </c>
      <c r="J23" s="600"/>
    </row>
    <row r="24" spans="1:10">
      <c r="A24" s="600">
        <f t="shared" si="0"/>
        <v>14</v>
      </c>
      <c r="B24" s="1148" t="s">
        <v>793</v>
      </c>
      <c r="C24" s="1146" t="str">
        <f t="shared" si="3"/>
        <v>2018</v>
      </c>
      <c r="D24" s="1161"/>
      <c r="E24" s="1237">
        <f>'D. Sec.4 - TU'!J26</f>
        <v>4.0000000000000001E-3</v>
      </c>
      <c r="F24" s="1222">
        <f t="shared" si="4"/>
        <v>0</v>
      </c>
      <c r="G24" s="1222">
        <f t="shared" si="5"/>
        <v>0</v>
      </c>
      <c r="H24" s="1222">
        <f t="shared" si="2"/>
        <v>0</v>
      </c>
      <c r="I24" s="600">
        <f t="shared" si="1"/>
        <v>14</v>
      </c>
      <c r="J24" s="600"/>
    </row>
    <row r="25" spans="1:10">
      <c r="A25" s="600">
        <f t="shared" si="0"/>
        <v>15</v>
      </c>
      <c r="B25" s="1148" t="s">
        <v>794</v>
      </c>
      <c r="C25" s="1146" t="str">
        <f t="shared" si="3"/>
        <v>2018</v>
      </c>
      <c r="D25" s="1161"/>
      <c r="E25" s="1237">
        <f>'D. Sec.4 - TU'!J27</f>
        <v>3.8999999999999998E-3</v>
      </c>
      <c r="F25" s="1222">
        <f t="shared" si="4"/>
        <v>0</v>
      </c>
      <c r="G25" s="1222">
        <f t="shared" si="5"/>
        <v>0</v>
      </c>
      <c r="H25" s="1222">
        <f t="shared" si="2"/>
        <v>0</v>
      </c>
      <c r="I25" s="600">
        <f t="shared" si="1"/>
        <v>15</v>
      </c>
      <c r="J25" s="600"/>
    </row>
    <row r="26" spans="1:10">
      <c r="A26" s="600">
        <f t="shared" si="0"/>
        <v>16</v>
      </c>
      <c r="B26" s="1145" t="s">
        <v>795</v>
      </c>
      <c r="C26" s="1146" t="str">
        <f t="shared" si="3"/>
        <v>2018</v>
      </c>
      <c r="D26" s="1161"/>
      <c r="E26" s="1237">
        <f>'D. Sec.4 - TU'!J28</f>
        <v>4.1999999999999997E-3</v>
      </c>
      <c r="F26" s="1222">
        <f t="shared" si="4"/>
        <v>0</v>
      </c>
      <c r="G26" s="1222">
        <f t="shared" si="5"/>
        <v>0</v>
      </c>
      <c r="H26" s="1222">
        <f t="shared" si="2"/>
        <v>0</v>
      </c>
      <c r="I26" s="600">
        <f t="shared" si="1"/>
        <v>16</v>
      </c>
      <c r="J26" s="600"/>
    </row>
    <row r="27" spans="1:10">
      <c r="A27" s="600">
        <f t="shared" si="0"/>
        <v>17</v>
      </c>
      <c r="B27" s="1145" t="s">
        <v>796</v>
      </c>
      <c r="C27" s="1146" t="str">
        <f t="shared" si="3"/>
        <v>2018</v>
      </c>
      <c r="D27" s="1161"/>
      <c r="E27" s="1237">
        <f>'D. Sec.4 - TU'!J29</f>
        <v>4.1000000000000003E-3</v>
      </c>
      <c r="F27" s="1222">
        <f t="shared" si="4"/>
        <v>0</v>
      </c>
      <c r="G27" s="1222">
        <f t="shared" si="5"/>
        <v>0</v>
      </c>
      <c r="H27" s="1222">
        <f t="shared" si="2"/>
        <v>0</v>
      </c>
      <c r="I27" s="600">
        <f t="shared" si="1"/>
        <v>17</v>
      </c>
      <c r="J27" s="600"/>
    </row>
    <row r="28" spans="1:10">
      <c r="A28" s="600">
        <f t="shared" si="0"/>
        <v>18</v>
      </c>
      <c r="B28" s="1152" t="s">
        <v>797</v>
      </c>
      <c r="C28" s="1153" t="str">
        <f t="shared" si="3"/>
        <v>2018</v>
      </c>
      <c r="D28" s="1162"/>
      <c r="E28" s="1238">
        <f>'D. Sec.4 - TU'!J30</f>
        <v>4.1999999999999997E-3</v>
      </c>
      <c r="F28" s="1156">
        <f t="shared" si="4"/>
        <v>0</v>
      </c>
      <c r="G28" s="1156">
        <f t="shared" si="5"/>
        <v>0</v>
      </c>
      <c r="H28" s="1156">
        <f t="shared" si="2"/>
        <v>0</v>
      </c>
      <c r="I28" s="600">
        <f t="shared" si="1"/>
        <v>18</v>
      </c>
      <c r="J28" s="600"/>
    </row>
    <row r="29" spans="1:10" ht="16.5" thickBot="1">
      <c r="A29" s="600">
        <f t="shared" si="0"/>
        <v>19</v>
      </c>
      <c r="B29" s="1163"/>
      <c r="C29" s="1146"/>
      <c r="D29" s="1161"/>
      <c r="E29" s="1239"/>
      <c r="F29" s="1240"/>
      <c r="G29" s="1241">
        <f>SUM(G17:G28)</f>
        <v>0</v>
      </c>
      <c r="H29" s="1240"/>
      <c r="I29" s="600">
        <f t="shared" si="1"/>
        <v>19</v>
      </c>
      <c r="J29" s="600"/>
    </row>
    <row r="30" spans="1:10" ht="16.5" thickTop="1">
      <c r="B30" s="1163"/>
      <c r="C30" s="1146"/>
      <c r="D30" s="1161"/>
      <c r="E30" s="1239"/>
      <c r="F30" s="1240"/>
      <c r="G30" s="1242"/>
      <c r="H30" s="1240"/>
      <c r="J30" s="600"/>
    </row>
    <row r="31" spans="1:10">
      <c r="B31" s="1148"/>
      <c r="C31" s="1146"/>
      <c r="D31" s="1243"/>
      <c r="E31" s="1161"/>
      <c r="F31" s="1244"/>
      <c r="G31" s="1239"/>
      <c r="H31" s="1245"/>
      <c r="I31" s="1246"/>
      <c r="J31" s="1247"/>
    </row>
    <row r="32" spans="1:10" ht="18.75">
      <c r="A32" s="1159">
        <v>1</v>
      </c>
      <c r="B32" s="1148" t="s">
        <v>798</v>
      </c>
      <c r="C32" s="1146"/>
      <c r="D32" s="1243"/>
      <c r="E32" s="1161"/>
      <c r="F32" s="1244"/>
      <c r="G32" s="1239"/>
      <c r="H32" s="1245"/>
      <c r="I32" s="1246"/>
      <c r="J32" s="1247"/>
    </row>
    <row r="33" spans="1:10" ht="18.75">
      <c r="A33" s="1248">
        <v>2</v>
      </c>
      <c r="B33" s="1148" t="s">
        <v>782</v>
      </c>
      <c r="C33" s="1146"/>
      <c r="D33" s="1243"/>
      <c r="E33" s="1161"/>
      <c r="F33" s="1244"/>
      <c r="G33" s="1239"/>
      <c r="H33" s="1245"/>
      <c r="I33" s="1246"/>
      <c r="J33" s="1247"/>
    </row>
    <row r="34" spans="1:10" ht="18.75">
      <c r="A34" s="1159">
        <v>3</v>
      </c>
      <c r="B34" s="408" t="s">
        <v>799</v>
      </c>
      <c r="C34" s="1146"/>
      <c r="D34" s="1243"/>
      <c r="E34" s="1161"/>
      <c r="F34" s="1244"/>
      <c r="G34" s="1239"/>
      <c r="H34" s="1245"/>
      <c r="I34" s="1246"/>
      <c r="J34" s="1247"/>
    </row>
    <row r="35" spans="1:10" ht="18.75">
      <c r="A35" s="1159">
        <v>4</v>
      </c>
      <c r="B35" s="408" t="s">
        <v>800</v>
      </c>
    </row>
    <row r="36" spans="1:10">
      <c r="B36" s="408" t="s">
        <v>801</v>
      </c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(BP)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8"/>
  <sheetViews>
    <sheetView zoomScale="80" zoomScaleNormal="80" zoomScaleSheetLayoutView="70" workbookViewId="0"/>
  </sheetViews>
  <sheetFormatPr defaultColWidth="9.140625" defaultRowHeight="15.75"/>
  <cols>
    <col min="1" max="1" width="5.140625" style="235" customWidth="1"/>
    <col min="2" max="3" width="21.42578125" style="235" customWidth="1"/>
    <col min="4" max="5" width="22" style="235" customWidth="1"/>
    <col min="6" max="6" width="22" style="1134" customWidth="1"/>
    <col min="7" max="9" width="22" style="235" customWidth="1"/>
    <col min="10" max="10" width="5.28515625" style="168" customWidth="1"/>
    <col min="11" max="11" width="14" style="235" customWidth="1"/>
    <col min="12" max="12" width="13.140625" style="235" customWidth="1"/>
    <col min="13" max="13" width="12.85546875" style="235" customWidth="1"/>
    <col min="14" max="14" width="13.5703125" style="235" customWidth="1"/>
    <col min="15" max="15" width="12.5703125" style="235" customWidth="1"/>
    <col min="16" max="16384" width="9.140625" style="235"/>
  </cols>
  <sheetData>
    <row r="1" spans="1:10">
      <c r="A1" s="1133"/>
      <c r="B1" s="1168"/>
      <c r="C1" s="1169"/>
      <c r="D1" s="1170"/>
      <c r="E1" s="1171"/>
      <c r="F1" s="1172"/>
      <c r="G1" s="1173"/>
      <c r="H1" s="1174"/>
      <c r="I1" s="1174"/>
      <c r="J1" s="1175"/>
    </row>
    <row r="2" spans="1:10">
      <c r="A2" s="1573"/>
      <c r="B2" s="1631" t="str">
        <f>'Summary of Cost Components'!B2:D2</f>
        <v>SAN DIEGO GAS &amp; ELECTRIC COMPANY</v>
      </c>
      <c r="C2" s="1631"/>
      <c r="D2" s="1631"/>
      <c r="E2" s="1631"/>
      <c r="F2" s="1631"/>
      <c r="G2" s="1631"/>
      <c r="H2" s="1631"/>
      <c r="I2" s="1631"/>
      <c r="J2" s="1175"/>
    </row>
    <row r="3" spans="1:10">
      <c r="B3" s="1631" t="str">
        <f>'Summary of Cost Components'!B3:D3</f>
        <v>CITIZENS' SHARE OF THE SX-PQ UNDERGROUND LINE SEGMENT</v>
      </c>
      <c r="C3" s="1631"/>
      <c r="D3" s="1631"/>
      <c r="E3" s="1631"/>
      <c r="F3" s="1631"/>
      <c r="G3" s="1631"/>
      <c r="H3" s="1631"/>
      <c r="I3" s="1631"/>
      <c r="J3" s="1133"/>
    </row>
    <row r="4" spans="1:10">
      <c r="B4" s="1632" t="str">
        <f>'E. Sec.5 - Interest TU (BP)'!B4:H4</f>
        <v>Derivation of Interest on the 12-Month True-Up Adjustment Applicable to Citizens Cycle 1</v>
      </c>
      <c r="C4" s="1632"/>
      <c r="D4" s="1632"/>
      <c r="E4" s="1632"/>
      <c r="F4" s="1632"/>
      <c r="G4" s="1632"/>
      <c r="H4" s="1632"/>
      <c r="I4" s="1632"/>
      <c r="J4" s="1133"/>
    </row>
    <row r="5" spans="1:10">
      <c r="B5" s="1632" t="str">
        <f>'D. Sec.4 - TU'!B5:N5</f>
        <v>True-Up Period - January 1, 2018 to December 31, 2018</v>
      </c>
      <c r="C5" s="1632"/>
      <c r="D5" s="1632"/>
      <c r="E5" s="1632"/>
      <c r="F5" s="1632"/>
      <c r="G5" s="1632"/>
      <c r="H5" s="1632"/>
      <c r="I5" s="1632"/>
      <c r="J5" s="1133"/>
    </row>
    <row r="6" spans="1:10">
      <c r="B6" s="1633" t="s">
        <v>3</v>
      </c>
      <c r="C6" s="1633"/>
      <c r="D6" s="1633"/>
      <c r="E6" s="1633"/>
      <c r="F6" s="1633"/>
      <c r="G6" s="1633"/>
      <c r="H6" s="1633"/>
      <c r="I6" s="1633"/>
      <c r="J6" s="1133"/>
    </row>
    <row r="7" spans="1:10">
      <c r="A7" s="1133"/>
      <c r="B7" s="1133"/>
      <c r="C7" s="1133"/>
      <c r="D7" s="1133"/>
      <c r="E7" s="1133"/>
      <c r="F7" s="1133"/>
      <c r="G7" s="1133"/>
      <c r="H7" s="1133"/>
      <c r="I7" s="1133"/>
      <c r="J7" s="1133"/>
    </row>
    <row r="8" spans="1:10">
      <c r="A8" s="600" t="s">
        <v>4</v>
      </c>
      <c r="B8" s="1148"/>
      <c r="C8" s="1146"/>
      <c r="D8" s="1165"/>
      <c r="E8" s="1161"/>
      <c r="F8" s="1166"/>
      <c r="G8" s="1164"/>
      <c r="H8" s="1167"/>
      <c r="I8" s="1167"/>
      <c r="J8" s="600" t="s">
        <v>4</v>
      </c>
    </row>
    <row r="9" spans="1:10">
      <c r="A9" s="456" t="s">
        <v>25</v>
      </c>
      <c r="B9" s="1148"/>
      <c r="C9" s="1146"/>
      <c r="D9" s="1165"/>
      <c r="E9" s="1161"/>
      <c r="F9" s="1166"/>
      <c r="G9" s="1164"/>
      <c r="H9" s="1167"/>
      <c r="I9" s="1167"/>
      <c r="J9" s="456" t="s">
        <v>25</v>
      </c>
    </row>
    <row r="10" spans="1:10">
      <c r="B10" s="1148"/>
      <c r="C10" s="1146"/>
      <c r="D10" s="1165"/>
      <c r="E10" s="1161"/>
      <c r="F10" s="1166"/>
      <c r="G10" s="1164"/>
      <c r="H10" s="1167"/>
      <c r="I10" s="1167"/>
    </row>
    <row r="11" spans="1:10">
      <c r="A11" s="168">
        <v>1</v>
      </c>
      <c r="C11" s="1140" t="s">
        <v>739</v>
      </c>
      <c r="D11" s="1140" t="s">
        <v>740</v>
      </c>
      <c r="E11" s="1140" t="s">
        <v>741</v>
      </c>
      <c r="F11" s="1140" t="s">
        <v>742</v>
      </c>
      <c r="G11" s="1140" t="s">
        <v>743</v>
      </c>
      <c r="H11" s="1140" t="s">
        <v>744</v>
      </c>
      <c r="I11" s="1140" t="s">
        <v>745</v>
      </c>
      <c r="J11" s="168">
        <f>A11</f>
        <v>1</v>
      </c>
    </row>
    <row r="12" spans="1:10">
      <c r="A12" s="168">
        <f>A11+1</f>
        <v>2</v>
      </c>
      <c r="C12" s="1140"/>
      <c r="D12" s="600"/>
      <c r="E12" s="600" t="str">
        <f>"See Footnote "&amp;A34</f>
        <v>See Footnote 2</v>
      </c>
      <c r="F12" s="600" t="str">
        <f>"See Footnote "&amp;A36</f>
        <v>See Footnote 3</v>
      </c>
      <c r="G12" s="821" t="str">
        <f>"= - ("&amp;F11&amp;" + "&amp;H11&amp;")"</f>
        <v>= - (Col. 4 + Col. 6)</v>
      </c>
      <c r="H12" s="821" t="str">
        <f>"= "&amp;D11&amp;" x "&amp;E11</f>
        <v>= Col. 2 x Col. 3</v>
      </c>
      <c r="I12" s="821" t="str">
        <f>"= "&amp;E11&amp;" - "&amp;G11</f>
        <v>= Col. 3 - Col. 5</v>
      </c>
      <c r="J12" s="168">
        <f>J11+1</f>
        <v>2</v>
      </c>
    </row>
    <row r="13" spans="1:10">
      <c r="A13" s="168">
        <f t="shared" ref="A13:A30" si="0">A12+1</f>
        <v>3</v>
      </c>
      <c r="C13" s="1140"/>
      <c r="D13" s="600"/>
      <c r="E13" s="600"/>
      <c r="F13" s="1133"/>
      <c r="G13" s="1134"/>
      <c r="I13" s="1140"/>
      <c r="J13" s="168">
        <f t="shared" ref="J13:J30" si="1">J12+1</f>
        <v>3</v>
      </c>
    </row>
    <row r="14" spans="1:10">
      <c r="A14" s="168">
        <f t="shared" si="0"/>
        <v>4</v>
      </c>
      <c r="B14" s="1148"/>
      <c r="C14" s="1146"/>
      <c r="D14" s="1132" t="s">
        <v>752</v>
      </c>
      <c r="E14" s="1175" t="s">
        <v>23</v>
      </c>
      <c r="F14" s="1133"/>
      <c r="G14" s="1134"/>
      <c r="I14" s="1176" t="s">
        <v>23</v>
      </c>
      <c r="J14" s="168">
        <f t="shared" si="1"/>
        <v>4</v>
      </c>
    </row>
    <row r="15" spans="1:10">
      <c r="A15" s="168">
        <f t="shared" si="0"/>
        <v>5</v>
      </c>
      <c r="C15" s="1146"/>
      <c r="D15" s="1132" t="s">
        <v>759</v>
      </c>
      <c r="E15" s="1175" t="s">
        <v>802</v>
      </c>
      <c r="F15" s="1133"/>
      <c r="G15" s="1134"/>
      <c r="I15" s="1176" t="s">
        <v>803</v>
      </c>
      <c r="J15" s="168">
        <f t="shared" si="1"/>
        <v>5</v>
      </c>
    </row>
    <row r="16" spans="1:10" ht="18.75">
      <c r="A16" s="168">
        <f t="shared" si="0"/>
        <v>6</v>
      </c>
      <c r="B16" s="1143" t="s">
        <v>23</v>
      </c>
      <c r="C16" s="1143" t="s">
        <v>761</v>
      </c>
      <c r="D16" s="844" t="s">
        <v>804</v>
      </c>
      <c r="E16" s="1177" t="s">
        <v>26</v>
      </c>
      <c r="F16" s="1144" t="s">
        <v>805</v>
      </c>
      <c r="G16" s="1137" t="s">
        <v>806</v>
      </c>
      <c r="H16" s="1137" t="s">
        <v>759</v>
      </c>
      <c r="I16" s="1140" t="s">
        <v>26</v>
      </c>
      <c r="J16" s="168">
        <f t="shared" si="1"/>
        <v>6</v>
      </c>
    </row>
    <row r="17" spans="1:13">
      <c r="A17" s="168">
        <f t="shared" si="0"/>
        <v>7</v>
      </c>
      <c r="B17" s="1145" t="s">
        <v>768</v>
      </c>
      <c r="C17" s="1178">
        <f>Automation!B6+1</f>
        <v>2019</v>
      </c>
      <c r="D17" s="1179">
        <f>AVERAGE('D. Sec.4 - TU'!J19:J30)</f>
        <v>3.8416666666666668E-3</v>
      </c>
      <c r="E17" s="1180">
        <f>'E. Sec.5 - Interest TU (BP)'!H28</f>
        <v>0</v>
      </c>
      <c r="F17" s="1131">
        <f>-E17/(((1+D17)^12-1)/(D17*(1+D17)^12))</f>
        <v>0</v>
      </c>
      <c r="G17" s="1131">
        <f>-(F17+H17)</f>
        <v>0</v>
      </c>
      <c r="H17" s="1131">
        <f>E17*D17</f>
        <v>0</v>
      </c>
      <c r="I17" s="1181">
        <f t="shared" ref="I17:I28" si="2">E17-G17</f>
        <v>0</v>
      </c>
      <c r="J17" s="168">
        <f t="shared" si="1"/>
        <v>7</v>
      </c>
    </row>
    <row r="18" spans="1:13">
      <c r="A18" s="168">
        <f t="shared" si="0"/>
        <v>8</v>
      </c>
      <c r="B18" s="1145" t="s">
        <v>769</v>
      </c>
      <c r="C18" s="1178">
        <f>$C$17</f>
        <v>2019</v>
      </c>
      <c r="D18" s="1182">
        <f t="shared" ref="D18:D28" si="3">$D$17</f>
        <v>3.8416666666666668E-3</v>
      </c>
      <c r="E18" s="1149">
        <f t="shared" ref="E18:E28" si="4">I17</f>
        <v>0</v>
      </c>
      <c r="F18" s="1139">
        <f>-E17/(((1+D17)^12-1)/(D17*(1+D17)^12))</f>
        <v>0</v>
      </c>
      <c r="G18" s="1139">
        <f t="shared" ref="G18:G28" si="5">-(F18+H18)</f>
        <v>0</v>
      </c>
      <c r="H18" s="1139">
        <f t="shared" ref="H18:H28" si="6">E18*D18</f>
        <v>0</v>
      </c>
      <c r="I18" s="1183">
        <f t="shared" si="2"/>
        <v>0</v>
      </c>
      <c r="J18" s="168">
        <f t="shared" si="1"/>
        <v>8</v>
      </c>
      <c r="L18" s="1184"/>
    </row>
    <row r="19" spans="1:13">
      <c r="A19" s="168">
        <f t="shared" si="0"/>
        <v>9</v>
      </c>
      <c r="B19" s="1145" t="s">
        <v>789</v>
      </c>
      <c r="C19" s="1178">
        <f t="shared" ref="C19:C28" si="7">$C$17</f>
        <v>2019</v>
      </c>
      <c r="D19" s="1182">
        <f t="shared" si="3"/>
        <v>3.8416666666666668E-3</v>
      </c>
      <c r="E19" s="1149">
        <f t="shared" si="4"/>
        <v>0</v>
      </c>
      <c r="F19" s="1139">
        <f>-E17/(((1+D17)^12-1)/(D17*(1+D17)^12))</f>
        <v>0</v>
      </c>
      <c r="G19" s="1139">
        <f t="shared" si="5"/>
        <v>0</v>
      </c>
      <c r="H19" s="1139">
        <f t="shared" si="6"/>
        <v>0</v>
      </c>
      <c r="I19" s="1183">
        <f t="shared" si="2"/>
        <v>0</v>
      </c>
      <c r="J19" s="168">
        <f t="shared" si="1"/>
        <v>9</v>
      </c>
    </row>
    <row r="20" spans="1:13">
      <c r="A20" s="168">
        <f t="shared" si="0"/>
        <v>10</v>
      </c>
      <c r="B20" s="1145" t="s">
        <v>790</v>
      </c>
      <c r="C20" s="1178">
        <f t="shared" si="7"/>
        <v>2019</v>
      </c>
      <c r="D20" s="1182">
        <f t="shared" si="3"/>
        <v>3.8416666666666668E-3</v>
      </c>
      <c r="E20" s="1149">
        <f t="shared" si="4"/>
        <v>0</v>
      </c>
      <c r="F20" s="1139">
        <f>-E17/(((1+D17)^12-1)/(D17*(1+D17)^12))</f>
        <v>0</v>
      </c>
      <c r="G20" s="1139">
        <f t="shared" si="5"/>
        <v>0</v>
      </c>
      <c r="H20" s="1139">
        <f t="shared" si="6"/>
        <v>0</v>
      </c>
      <c r="I20" s="1183">
        <f t="shared" si="2"/>
        <v>0</v>
      </c>
      <c r="J20" s="168">
        <f t="shared" si="1"/>
        <v>10</v>
      </c>
    </row>
    <row r="21" spans="1:13">
      <c r="A21" s="168">
        <f t="shared" si="0"/>
        <v>11</v>
      </c>
      <c r="B21" s="1145" t="s">
        <v>39</v>
      </c>
      <c r="C21" s="1178">
        <f t="shared" si="7"/>
        <v>2019</v>
      </c>
      <c r="D21" s="1182">
        <f t="shared" si="3"/>
        <v>3.8416666666666668E-3</v>
      </c>
      <c r="E21" s="1149">
        <f t="shared" si="4"/>
        <v>0</v>
      </c>
      <c r="F21" s="1139">
        <f>-E17/(((1+D17)^12-1)/(D17*(1+D17)^12))</f>
        <v>0</v>
      </c>
      <c r="G21" s="1139">
        <f t="shared" si="5"/>
        <v>0</v>
      </c>
      <c r="H21" s="1139">
        <f t="shared" si="6"/>
        <v>0</v>
      </c>
      <c r="I21" s="1183">
        <f t="shared" si="2"/>
        <v>0</v>
      </c>
      <c r="J21" s="168">
        <f t="shared" si="1"/>
        <v>11</v>
      </c>
    </row>
    <row r="22" spans="1:13">
      <c r="A22" s="168">
        <f t="shared" si="0"/>
        <v>12</v>
      </c>
      <c r="B22" s="1145" t="s">
        <v>807</v>
      </c>
      <c r="C22" s="1178">
        <f t="shared" si="7"/>
        <v>2019</v>
      </c>
      <c r="D22" s="1182">
        <f t="shared" si="3"/>
        <v>3.8416666666666668E-3</v>
      </c>
      <c r="E22" s="1149">
        <f t="shared" si="4"/>
        <v>0</v>
      </c>
      <c r="F22" s="1139">
        <f>-E17/(((1+D17)^12-1)/(D17*(1+D17)^12))</f>
        <v>0</v>
      </c>
      <c r="G22" s="1139">
        <f t="shared" si="5"/>
        <v>0</v>
      </c>
      <c r="H22" s="1139">
        <f t="shared" si="6"/>
        <v>0</v>
      </c>
      <c r="I22" s="1183">
        <f t="shared" si="2"/>
        <v>0</v>
      </c>
      <c r="J22" s="168">
        <f t="shared" si="1"/>
        <v>12</v>
      </c>
    </row>
    <row r="23" spans="1:13">
      <c r="A23" s="168">
        <f t="shared" si="0"/>
        <v>13</v>
      </c>
      <c r="B23" s="1145" t="s">
        <v>792</v>
      </c>
      <c r="C23" s="1178">
        <f t="shared" si="7"/>
        <v>2019</v>
      </c>
      <c r="D23" s="1182">
        <f t="shared" si="3"/>
        <v>3.8416666666666668E-3</v>
      </c>
      <c r="E23" s="1149">
        <f t="shared" si="4"/>
        <v>0</v>
      </c>
      <c r="F23" s="1139">
        <f>-E17/(((1+D17)^12-1)/(D17*(1+D17)^12))</f>
        <v>0</v>
      </c>
      <c r="G23" s="1139">
        <f t="shared" si="5"/>
        <v>0</v>
      </c>
      <c r="H23" s="1139">
        <f t="shared" si="6"/>
        <v>0</v>
      </c>
      <c r="I23" s="1183">
        <f t="shared" si="2"/>
        <v>0</v>
      </c>
      <c r="J23" s="168">
        <f t="shared" si="1"/>
        <v>13</v>
      </c>
    </row>
    <row r="24" spans="1:13">
      <c r="A24" s="168">
        <f t="shared" si="0"/>
        <v>14</v>
      </c>
      <c r="B24" s="1145" t="s">
        <v>793</v>
      </c>
      <c r="C24" s="1178">
        <f t="shared" si="7"/>
        <v>2019</v>
      </c>
      <c r="D24" s="1182">
        <f t="shared" si="3"/>
        <v>3.8416666666666668E-3</v>
      </c>
      <c r="E24" s="1149">
        <f t="shared" si="4"/>
        <v>0</v>
      </c>
      <c r="F24" s="1139">
        <f>-E17/(((1+D17)^12-1)/(D17*(1+D17)^12))</f>
        <v>0</v>
      </c>
      <c r="G24" s="1139">
        <f t="shared" si="5"/>
        <v>0</v>
      </c>
      <c r="H24" s="1139">
        <f t="shared" si="6"/>
        <v>0</v>
      </c>
      <c r="I24" s="1183">
        <f t="shared" si="2"/>
        <v>0</v>
      </c>
      <c r="J24" s="168">
        <f t="shared" si="1"/>
        <v>14</v>
      </c>
    </row>
    <row r="25" spans="1:13">
      <c r="A25" s="168">
        <f t="shared" si="0"/>
        <v>15</v>
      </c>
      <c r="B25" s="1145" t="s">
        <v>794</v>
      </c>
      <c r="C25" s="1178">
        <f t="shared" si="7"/>
        <v>2019</v>
      </c>
      <c r="D25" s="1182">
        <f t="shared" si="3"/>
        <v>3.8416666666666668E-3</v>
      </c>
      <c r="E25" s="1149">
        <f t="shared" si="4"/>
        <v>0</v>
      </c>
      <c r="F25" s="1139">
        <f>-E17/(((1+D17)^12-1)/(D17*(1+D17)^12))</f>
        <v>0</v>
      </c>
      <c r="G25" s="1139">
        <f t="shared" si="5"/>
        <v>0</v>
      </c>
      <c r="H25" s="1139">
        <f t="shared" si="6"/>
        <v>0</v>
      </c>
      <c r="I25" s="1183">
        <f t="shared" si="2"/>
        <v>0</v>
      </c>
      <c r="J25" s="168">
        <f t="shared" si="1"/>
        <v>15</v>
      </c>
      <c r="K25" s="1185"/>
    </row>
    <row r="26" spans="1:13">
      <c r="A26" s="168">
        <f t="shared" si="0"/>
        <v>16</v>
      </c>
      <c r="B26" s="1145" t="s">
        <v>795</v>
      </c>
      <c r="C26" s="1178">
        <f t="shared" si="7"/>
        <v>2019</v>
      </c>
      <c r="D26" s="1182">
        <f t="shared" si="3"/>
        <v>3.8416666666666668E-3</v>
      </c>
      <c r="E26" s="1149">
        <f t="shared" si="4"/>
        <v>0</v>
      </c>
      <c r="F26" s="1139">
        <f>-E17/(((1+D17)^12-1)/(D17*(1+D17)^12))</f>
        <v>0</v>
      </c>
      <c r="G26" s="1139">
        <f t="shared" si="5"/>
        <v>0</v>
      </c>
      <c r="H26" s="1139">
        <f t="shared" si="6"/>
        <v>0</v>
      </c>
      <c r="I26" s="1183">
        <f t="shared" si="2"/>
        <v>0</v>
      </c>
      <c r="J26" s="168">
        <f t="shared" si="1"/>
        <v>16</v>
      </c>
      <c r="K26" s="1185"/>
      <c r="M26" s="1151"/>
    </row>
    <row r="27" spans="1:13">
      <c r="A27" s="168">
        <f t="shared" si="0"/>
        <v>17</v>
      </c>
      <c r="B27" s="1145" t="s">
        <v>796</v>
      </c>
      <c r="C27" s="1178">
        <f t="shared" si="7"/>
        <v>2019</v>
      </c>
      <c r="D27" s="1182">
        <f t="shared" si="3"/>
        <v>3.8416666666666668E-3</v>
      </c>
      <c r="E27" s="1149">
        <f t="shared" si="4"/>
        <v>0</v>
      </c>
      <c r="F27" s="1139">
        <f>-E17/(((1+D17)^12-1)/(D17*(1+D17)^12))</f>
        <v>0</v>
      </c>
      <c r="G27" s="1139">
        <f t="shared" si="5"/>
        <v>0</v>
      </c>
      <c r="H27" s="1139">
        <f t="shared" si="6"/>
        <v>0</v>
      </c>
      <c r="I27" s="1183">
        <f t="shared" si="2"/>
        <v>0</v>
      </c>
      <c r="J27" s="168">
        <f t="shared" si="1"/>
        <v>17</v>
      </c>
      <c r="K27" s="1185"/>
    </row>
    <row r="28" spans="1:13">
      <c r="A28" s="168">
        <f t="shared" si="0"/>
        <v>18</v>
      </c>
      <c r="B28" s="1186" t="s">
        <v>797</v>
      </c>
      <c r="C28" s="1187">
        <f t="shared" si="7"/>
        <v>2019</v>
      </c>
      <c r="D28" s="1188">
        <f t="shared" si="3"/>
        <v>3.8416666666666668E-3</v>
      </c>
      <c r="E28" s="1154">
        <f t="shared" si="4"/>
        <v>0</v>
      </c>
      <c r="F28" s="1155">
        <f>-E17/(((1+D17)^12-1)/(D17*(1+D17)^12))</f>
        <v>0</v>
      </c>
      <c r="G28" s="1155">
        <f t="shared" si="5"/>
        <v>0</v>
      </c>
      <c r="H28" s="1155">
        <f t="shared" si="6"/>
        <v>0</v>
      </c>
      <c r="I28" s="1189">
        <f t="shared" si="2"/>
        <v>0</v>
      </c>
      <c r="J28" s="168">
        <f t="shared" si="1"/>
        <v>18</v>
      </c>
    </row>
    <row r="29" spans="1:13" ht="18.75">
      <c r="A29" s="168">
        <f t="shared" si="0"/>
        <v>19</v>
      </c>
      <c r="B29" s="423" t="s">
        <v>1015</v>
      </c>
      <c r="C29" s="1178"/>
      <c r="D29" s="1182"/>
      <c r="E29" s="1574"/>
      <c r="F29" s="1575"/>
      <c r="G29" s="1575"/>
      <c r="H29" s="1575">
        <f>'E. Sec.5 - Interest TU (BP)'!G29</f>
        <v>0</v>
      </c>
      <c r="I29" s="1576"/>
      <c r="J29" s="168">
        <f t="shared" si="1"/>
        <v>19</v>
      </c>
    </row>
    <row r="30" spans="1:13" ht="16.5" thickBot="1">
      <c r="A30" s="168">
        <f t="shared" si="0"/>
        <v>20</v>
      </c>
      <c r="B30" s="1168" t="s">
        <v>1014</v>
      </c>
      <c r="C30" s="1146"/>
      <c r="D30" s="1165"/>
      <c r="E30" s="1190"/>
      <c r="F30" s="1158"/>
      <c r="G30" s="1134"/>
      <c r="H30" s="1157">
        <f>SUM(H17:H29)</f>
        <v>0</v>
      </c>
      <c r="I30" s="1191"/>
      <c r="J30" s="168">
        <f t="shared" si="1"/>
        <v>20</v>
      </c>
    </row>
    <row r="31" spans="1:13" ht="16.5" thickTop="1">
      <c r="A31" s="168"/>
      <c r="F31" s="1160"/>
      <c r="G31" s="1138"/>
    </row>
    <row r="32" spans="1:13">
      <c r="A32" s="168"/>
      <c r="F32" s="1160"/>
      <c r="G32" s="1138"/>
    </row>
    <row r="33" spans="1:7" ht="18.75">
      <c r="A33" s="1159">
        <v>1</v>
      </c>
      <c r="B33" s="235" t="s">
        <v>812</v>
      </c>
      <c r="F33" s="1160"/>
      <c r="G33" s="1138"/>
    </row>
    <row r="34" spans="1:7" ht="18.75">
      <c r="A34" s="1159">
        <v>2</v>
      </c>
      <c r="B34" s="235" t="s">
        <v>808</v>
      </c>
    </row>
    <row r="35" spans="1:7" ht="18.75">
      <c r="A35" s="1159"/>
      <c r="B35" s="235" t="s">
        <v>809</v>
      </c>
    </row>
    <row r="36" spans="1:7" ht="18.75">
      <c r="A36" s="1159">
        <v>3</v>
      </c>
      <c r="B36" s="235" t="s">
        <v>810</v>
      </c>
    </row>
    <row r="37" spans="1:7">
      <c r="B37" s="235" t="s">
        <v>811</v>
      </c>
    </row>
    <row r="38" spans="1:7" ht="18.75">
      <c r="A38" s="1159">
        <v>4</v>
      </c>
      <c r="B38" s="235" t="str">
        <f>"Total Base Period Interest comes from Section 5; Page Interest TU (BP); Col. 5; Line "&amp;'E. Sec.5 - Interest TU (BP)'!A29</f>
        <v>Total Base Period Interest comes from Section 5; Page Interest TU (BP); Col. 5; Line 19</v>
      </c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68" orientation="landscape" r:id="rId1"/>
  <headerFooter scaleWithDoc="0">
    <oddFooter>&amp;C&amp;"Times New Roman,Regular"&amp;10Section 5
Interest TU (CY)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01E9874956914B94004C508DE2E4D9" ma:contentTypeVersion="8" ma:contentTypeDescription="Create a new document." ma:contentTypeScope="" ma:versionID="253f632d8696f0cacf1cb73b608da53f">
  <xsd:schema xmlns:xsd="http://www.w3.org/2001/XMLSchema" xmlns:xs="http://www.w3.org/2001/XMLSchema" xmlns:p="http://schemas.microsoft.com/office/2006/metadata/properties" xmlns:ns2="611df3b5-f36d-424c-bb71-433a1d6cf1da" targetNamespace="http://schemas.microsoft.com/office/2006/metadata/properties" ma:root="true" ma:fieldsID="b663e510b1b2b15da18f4daf401f1fda" ns2:_="">
    <xsd:import namespace="611df3b5-f36d-424c-bb71-433a1d6cf1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1df3b5-f36d-424c-bb71-433a1d6cf1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11BA89-ED55-4C3F-975A-5A56332A7399}">
  <ds:schemaRefs>
    <ds:schemaRef ds:uri="http://schemas.microsoft.com/office/2006/documentManagement/types"/>
    <ds:schemaRef ds:uri="http://purl.org/dc/terms/"/>
    <ds:schemaRef ds:uri="611df3b5-f36d-424c-bb71-433a1d6cf1da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A2A754-6BF6-4D0B-813F-5BAAAEE520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1df3b5-f36d-424c-bb71-433a1d6cf1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57</vt:i4>
      </vt:variant>
    </vt:vector>
  </HeadingPairs>
  <TitlesOfParts>
    <vt:vector size="116" baseType="lpstr">
      <vt:lpstr>App.XII Upload Template</vt:lpstr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PY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'AD-7'!Print_Area</vt:lpstr>
      <vt:lpstr>'AD-8'!Print_Area</vt:lpstr>
      <vt:lpstr>'AD-9'!Print_Area</vt:lpstr>
      <vt:lpstr>'AE-1'!Print_Area</vt:lpstr>
      <vt:lpstr>'AE-1A'!Print_Area</vt:lpstr>
      <vt:lpstr>'AE-1B'!Print_Area</vt:lpstr>
      <vt:lpstr>'AE-1C'!Print_Area</vt:lpstr>
      <vt:lpstr>'AE-2'!Print_Area</vt:lpstr>
      <vt:lpstr>'AE-3'!Print_Area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PY Invoice Summary'!Print_Area</vt:lpstr>
      <vt:lpstr>'E. Sec.5 - Interest TU (BP)'!Print_Area</vt:lpstr>
      <vt:lpstr>'E1. Sec.5 - Interest TU (CY)'!Print_Area</vt:lpstr>
      <vt:lpstr>'Stmt AD'!Print_Area</vt:lpstr>
      <vt:lpstr>'Stmt AE'!Print_Area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AL'!Print_Area</vt:lpstr>
      <vt:lpstr>'Stmt AR'!Print_Area</vt:lpstr>
      <vt:lpstr>'Stmt AV'!Print_Area</vt:lpstr>
      <vt:lpstr>'Stmt Misc.'!Print_Area</vt:lpstr>
      <vt:lpstr>'Summary of Cost Components'!Print_Area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sward</dc:creator>
  <cp:lastModifiedBy>Penn, Christopher R</cp:lastModifiedBy>
  <cp:lastPrinted>2019-03-21T00:30:15Z</cp:lastPrinted>
  <dcterms:created xsi:type="dcterms:W3CDTF">2016-08-29T13:22:03Z</dcterms:created>
  <dcterms:modified xsi:type="dcterms:W3CDTF">2019-10-11T20:39:03Z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0x0101008101E9874956914B94004C508DE2E4D9</vt:lpwstr>
  </property>
  <property fmtid="{D5CDD505-2E9C-101B-9397-08002B2CF9AE}" pid="4" name="Order">
    <vt:r8>76800</vt:r8>
  </property>
</Properties>
</file>