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1/Citizens/SX-PQ/Cycle 4 Annual Filing/SX-PQ Cycle 4 Oct Filing/Cost Adj Workpapers/"/>
    </mc:Choice>
  </mc:AlternateContent>
  <xr:revisionPtr revIDLastSave="0" documentId="8_{2BD0E122-934E-433B-9829-10524AF9F14B}" xr6:coauthVersionLast="47" xr6:coauthVersionMax="47" xr10:uidLastSave="{00000000-0000-0000-0000-000000000000}"/>
  <bookViews>
    <workbookView xWindow="38280" yWindow="3990" windowWidth="20730" windowHeight="11160" xr2:uid="{A1AA674E-836A-4CFE-B14F-C8BAAC5651C2}"/>
  </bookViews>
  <sheets>
    <sheet name="Pg1 Appendix XII C2 Cost Adj" sheetId="1" r:id="rId1"/>
    <sheet name="Pg2 Appendix XII C2 Comparison" sheetId="16" r:id="rId2"/>
    <sheet name="Pg3 Revised Appendix XII C2" sheetId="15" r:id="rId3"/>
    <sheet name="Pg4 As Filed Appendix XII C2" sheetId="14" r:id="rId4"/>
    <sheet name="Pg5 Rev B.Sec.2-Non-Direct Exp" sheetId="13" r:id="rId5"/>
    <sheet name="Pg6 Revised Stmt AH" sheetId="19" r:id="rId6"/>
    <sheet name="Pg6.1 Revised AH-2" sheetId="20" r:id="rId7"/>
    <sheet name="Pg6.2 Revised AH-3" sheetId="18" r:id="rId8"/>
    <sheet name="Pg7 Revised Stmt AL" sheetId="17" r:id="rId9"/>
    <sheet name="Pg8 Revised Stmt AV" sheetId="11" r:id="rId10"/>
    <sheet name="Pg9 Revised AV-4" sheetId="21" r:id="rId11"/>
    <sheet name="Pg10 Appendix XII C2 Int Calc" sheetId="2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13" l="1"/>
  <c r="H14" i="18"/>
  <c r="C30" i="21"/>
  <c r="C29" i="21"/>
  <c r="E24" i="17"/>
  <c r="E22" i="17"/>
  <c r="E37" i="19"/>
  <c r="E44" i="19"/>
  <c r="E41" i="19"/>
  <c r="E40" i="19"/>
  <c r="E39" i="19"/>
  <c r="E38" i="19"/>
  <c r="E36" i="19"/>
  <c r="E35" i="19"/>
  <c r="E34" i="19"/>
  <c r="E33" i="19"/>
  <c r="E31" i="19"/>
  <c r="E27" i="19"/>
  <c r="E25" i="19"/>
  <c r="E24" i="19"/>
  <c r="E23" i="19"/>
  <c r="E22" i="19"/>
  <c r="E21" i="19"/>
  <c r="E20" i="19"/>
  <c r="E19" i="19"/>
  <c r="E18" i="19"/>
  <c r="E17" i="19"/>
  <c r="E15" i="19"/>
  <c r="E51" i="16" l="1"/>
  <c r="C51" i="16"/>
  <c r="C47" i="16"/>
  <c r="C26" i="16"/>
  <c r="C29" i="22" l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28" i="22"/>
  <c r="C27" i="22"/>
  <c r="C26" i="22"/>
  <c r="C25" i="22"/>
  <c r="C24" i="22"/>
  <c r="C23" i="22"/>
  <c r="C22" i="22"/>
  <c r="C21" i="22"/>
  <c r="C20" i="22"/>
  <c r="C19" i="22"/>
  <c r="I13" i="22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12" i="22"/>
  <c r="A12" i="22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I11" i="22"/>
  <c r="A11" i="22"/>
  <c r="G13" i="1" l="1"/>
  <c r="G14" i="1" s="1"/>
  <c r="G12" i="1"/>
  <c r="A12" i="1"/>
  <c r="A13" i="1" s="1"/>
  <c r="A14" i="1" s="1"/>
  <c r="A15" i="1" s="1"/>
  <c r="A16" i="1" s="1"/>
  <c r="A17" i="1" s="1"/>
  <c r="F86" i="21" l="1"/>
  <c r="C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C80" i="21"/>
  <c r="C15" i="21" s="1"/>
  <c r="E86" i="13" s="1"/>
  <c r="F65" i="21"/>
  <c r="C79" i="21"/>
  <c r="C14" i="21" s="1"/>
  <c r="E84" i="13" s="1"/>
  <c r="F64" i="21"/>
  <c r="C78" i="21"/>
  <c r="C13" i="21" s="1"/>
  <c r="F63" i="21"/>
  <c r="C77" i="21"/>
  <c r="F62" i="21"/>
  <c r="B54" i="21"/>
  <c r="B53" i="21"/>
  <c r="C46" i="21"/>
  <c r="C41" i="21"/>
  <c r="E15" i="21"/>
  <c r="E14" i="21"/>
  <c r="E13" i="21"/>
  <c r="E12" i="21"/>
  <c r="A12" i="21"/>
  <c r="F11" i="21"/>
  <c r="F12" i="21" s="1"/>
  <c r="F13" i="21" s="1"/>
  <c r="F14" i="21" s="1"/>
  <c r="F15" i="21" s="1"/>
  <c r="F16" i="21" s="1"/>
  <c r="F17" i="21" s="1"/>
  <c r="F18" i="21" s="1"/>
  <c r="F19" i="21" s="1"/>
  <c r="F20" i="21" s="1"/>
  <c r="F21" i="21" s="1"/>
  <c r="F22" i="21" s="1"/>
  <c r="F23" i="21" s="1"/>
  <c r="F24" i="21" s="1"/>
  <c r="F25" i="21" s="1"/>
  <c r="F26" i="21" s="1"/>
  <c r="F27" i="21" s="1"/>
  <c r="F28" i="21" s="1"/>
  <c r="F29" i="21" s="1"/>
  <c r="F30" i="21" s="1"/>
  <c r="F31" i="21" s="1"/>
  <c r="F32" i="21" s="1"/>
  <c r="F33" i="21" s="1"/>
  <c r="F34" i="21" s="1"/>
  <c r="F35" i="21" s="1"/>
  <c r="F36" i="21" s="1"/>
  <c r="F37" i="21" s="1"/>
  <c r="F38" i="21" s="1"/>
  <c r="F39" i="21" s="1"/>
  <c r="F40" i="21" s="1"/>
  <c r="F41" i="21" s="1"/>
  <c r="F42" i="21" s="1"/>
  <c r="F43" i="21" s="1"/>
  <c r="F44" i="21" s="1"/>
  <c r="F45" i="21" s="1"/>
  <c r="F46" i="21" s="1"/>
  <c r="F47" i="21" s="1"/>
  <c r="F48" i="21" s="1"/>
  <c r="B55" i="21"/>
  <c r="K56" i="18"/>
  <c r="K57" i="18"/>
  <c r="A56" i="18"/>
  <c r="A57" i="18"/>
  <c r="K75" i="20"/>
  <c r="K76" i="20" s="1"/>
  <c r="A75" i="20"/>
  <c r="A76" i="20"/>
  <c r="C21" i="21" l="1"/>
  <c r="C26" i="21"/>
  <c r="C74" i="21"/>
  <c r="C81" i="21"/>
  <c r="C12" i="21"/>
  <c r="C16" i="21" s="1"/>
  <c r="E48" i="13" s="1"/>
  <c r="A13" i="21"/>
  <c r="A14" i="21" s="1"/>
  <c r="A15" i="21" s="1"/>
  <c r="A16" i="21" s="1"/>
  <c r="C67" i="21"/>
  <c r="A17" i="21" l="1"/>
  <c r="A18" i="21" s="1"/>
  <c r="A19" i="21" s="1"/>
  <c r="E16" i="21"/>
  <c r="A20" i="21" l="1"/>
  <c r="A21" i="21" s="1"/>
  <c r="A22" i="21" l="1"/>
  <c r="A23" i="21" s="1"/>
  <c r="A24" i="21" s="1"/>
  <c r="E21" i="21"/>
  <c r="A25" i="21" l="1"/>
  <c r="A26" i="21" s="1"/>
  <c r="A27" i="21" l="1"/>
  <c r="A28" i="21" s="1"/>
  <c r="A29" i="21" s="1"/>
  <c r="E26" i="21"/>
  <c r="A30" i="21" l="1"/>
  <c r="A31" i="21" s="1"/>
  <c r="A32" i="21" s="1"/>
  <c r="A33" i="21" l="1"/>
  <c r="A34" i="21" s="1"/>
  <c r="A35" i="21" s="1"/>
  <c r="A36" i="21" s="1"/>
  <c r="A37" i="21" s="1"/>
  <c r="A38" i="21" s="1"/>
  <c r="A39" i="21" s="1"/>
  <c r="E36" i="21"/>
  <c r="E32" i="21"/>
  <c r="A40" i="21" l="1"/>
  <c r="A41" i="21" s="1"/>
  <c r="A42" i="21" s="1"/>
  <c r="A43" i="21" s="1"/>
  <c r="A44" i="21" s="1"/>
  <c r="A45" i="21" l="1"/>
  <c r="A46" i="21" s="1"/>
  <c r="A47" i="21" s="1"/>
  <c r="A48" i="21" s="1"/>
  <c r="E41" i="21"/>
  <c r="E46" i="21" l="1"/>
  <c r="A50" i="13" l="1"/>
  <c r="A51" i="13" s="1"/>
  <c r="A49" i="13"/>
  <c r="H48" i="13"/>
  <c r="H49" i="13" s="1"/>
  <c r="H50" i="13" s="1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E63" i="13"/>
  <c r="E16" i="13" s="1"/>
  <c r="B43" i="13"/>
  <c r="B41" i="13"/>
  <c r="A12" i="13"/>
  <c r="H11" i="13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B42" i="13"/>
  <c r="B40" i="13"/>
  <c r="B39" i="13"/>
  <c r="B52" i="15"/>
  <c r="C46" i="15"/>
  <c r="B46" i="15"/>
  <c r="B44" i="15"/>
  <c r="B42" i="15"/>
  <c r="B38" i="15"/>
  <c r="B36" i="15"/>
  <c r="E34" i="15"/>
  <c r="B34" i="15"/>
  <c r="E32" i="15"/>
  <c r="C32" i="15"/>
  <c r="F12" i="15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A12" i="15"/>
  <c r="A13" i="15" s="1"/>
  <c r="F11" i="15"/>
  <c r="B52" i="14"/>
  <c r="C46" i="14"/>
  <c r="B46" i="14"/>
  <c r="B44" i="14"/>
  <c r="B42" i="14"/>
  <c r="B38" i="14"/>
  <c r="B36" i="14"/>
  <c r="D34" i="14"/>
  <c r="B34" i="14"/>
  <c r="D32" i="14"/>
  <c r="C32" i="14"/>
  <c r="C44" i="14"/>
  <c r="C42" i="14"/>
  <c r="E14" i="16"/>
  <c r="A13" i="14"/>
  <c r="E12" i="14"/>
  <c r="E13" i="14" s="1"/>
  <c r="E14" i="14" s="1"/>
  <c r="E15" i="14" s="1"/>
  <c r="E16" i="14" s="1"/>
  <c r="E17" i="14" s="1"/>
  <c r="E18" i="14" s="1"/>
  <c r="E19" i="14" s="1"/>
  <c r="E20" i="14" s="1"/>
  <c r="E21" i="14" s="1"/>
  <c r="E22" i="14" s="1"/>
  <c r="E23" i="14" s="1"/>
  <c r="E24" i="14" s="1"/>
  <c r="E25" i="14" s="1"/>
  <c r="E26" i="14" s="1"/>
  <c r="E27" i="14" s="1"/>
  <c r="E28" i="14" s="1"/>
  <c r="E33" i="14" s="1"/>
  <c r="E34" i="14" s="1"/>
  <c r="E35" i="14" s="1"/>
  <c r="E36" i="14" s="1"/>
  <c r="E37" i="14" s="1"/>
  <c r="E38" i="14" s="1"/>
  <c r="E39" i="14" s="1"/>
  <c r="E40" i="14" s="1"/>
  <c r="E41" i="14" s="1"/>
  <c r="E42" i="14" s="1"/>
  <c r="E43" i="14" s="1"/>
  <c r="E44" i="14" s="1"/>
  <c r="E45" i="14" s="1"/>
  <c r="E46" i="14" s="1"/>
  <c r="E47" i="14" s="1"/>
  <c r="E48" i="14" s="1"/>
  <c r="E49" i="14" s="1"/>
  <c r="E50" i="14" s="1"/>
  <c r="E51" i="14" s="1"/>
  <c r="E52" i="14" s="1"/>
  <c r="E53" i="14" s="1"/>
  <c r="A12" i="14"/>
  <c r="E11" i="14"/>
  <c r="C42" i="15" l="1"/>
  <c r="C43" i="16" s="1"/>
  <c r="C20" i="16"/>
  <c r="C38" i="15"/>
  <c r="C39" i="16" s="1"/>
  <c r="C16" i="16"/>
  <c r="C44" i="15"/>
  <c r="C45" i="16" s="1"/>
  <c r="C22" i="16"/>
  <c r="C12" i="16"/>
  <c r="C17" i="14"/>
  <c r="C23" i="14" s="1"/>
  <c r="C27" i="14" s="1"/>
  <c r="E12" i="16"/>
  <c r="C38" i="14"/>
  <c r="E16" i="16"/>
  <c r="C36" i="14"/>
  <c r="E68" i="13"/>
  <c r="E18" i="13" s="1"/>
  <c r="E88" i="13"/>
  <c r="A52" i="13"/>
  <c r="A53" i="13" s="1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E36" i="15"/>
  <c r="A14" i="15"/>
  <c r="A15" i="15" s="1"/>
  <c r="C34" i="15"/>
  <c r="A14" i="14"/>
  <c r="A15" i="14" s="1"/>
  <c r="C34" i="14"/>
  <c r="D36" i="14"/>
  <c r="C35" i="16" l="1"/>
  <c r="C40" i="14"/>
  <c r="C48" i="14" s="1"/>
  <c r="C52" i="14" s="1"/>
  <c r="G12" i="13"/>
  <c r="A54" i="13"/>
  <c r="A55" i="13" s="1"/>
  <c r="A56" i="13" s="1"/>
  <c r="A25" i="13"/>
  <c r="A26" i="13" s="1"/>
  <c r="A27" i="13" s="1"/>
  <c r="A28" i="13" s="1"/>
  <c r="G26" i="13"/>
  <c r="G24" i="13"/>
  <c r="A16" i="15"/>
  <c r="A17" i="15" s="1"/>
  <c r="E38" i="15"/>
  <c r="A16" i="14"/>
  <c r="A17" i="14" s="1"/>
  <c r="D38" i="14"/>
  <c r="G33" i="13" l="1"/>
  <c r="A29" i="13"/>
  <c r="A30" i="13" s="1"/>
  <c r="A31" i="13" s="1"/>
  <c r="G28" i="13"/>
  <c r="A57" i="13"/>
  <c r="A58" i="13" s="1"/>
  <c r="A18" i="15"/>
  <c r="A19" i="15" s="1"/>
  <c r="A18" i="14"/>
  <c r="A19" i="14" s="1"/>
  <c r="A32" i="13" l="1"/>
  <c r="A33" i="13" s="1"/>
  <c r="A34" i="13" s="1"/>
  <c r="A35" i="13" s="1"/>
  <c r="G35" i="13"/>
  <c r="G14" i="13"/>
  <c r="A59" i="13"/>
  <c r="A60" i="13" s="1"/>
  <c r="A61" i="13" s="1"/>
  <c r="A20" i="15"/>
  <c r="A21" i="15" s="1"/>
  <c r="E42" i="15"/>
  <c r="A20" i="14"/>
  <c r="A21" i="14" s="1"/>
  <c r="D42" i="14"/>
  <c r="A62" i="13" l="1"/>
  <c r="A63" i="13" s="1"/>
  <c r="A22" i="15"/>
  <c r="A23" i="15" s="1"/>
  <c r="E44" i="15"/>
  <c r="A22" i="14"/>
  <c r="A23" i="14" s="1"/>
  <c r="D44" i="14"/>
  <c r="A64" i="13" l="1"/>
  <c r="A65" i="13" s="1"/>
  <c r="A66" i="13" s="1"/>
  <c r="G16" i="13"/>
  <c r="A24" i="15"/>
  <c r="A25" i="15" s="1"/>
  <c r="A24" i="14"/>
  <c r="A25" i="14" s="1"/>
  <c r="A67" i="13" l="1"/>
  <c r="A68" i="13" s="1"/>
  <c r="E46" i="15"/>
  <c r="A26" i="15"/>
  <c r="A27" i="15" s="1"/>
  <c r="A28" i="15" s="1"/>
  <c r="A33" i="15" s="1"/>
  <c r="A34" i="15" s="1"/>
  <c r="D46" i="14"/>
  <c r="A26" i="14"/>
  <c r="A27" i="14" s="1"/>
  <c r="A28" i="14" s="1"/>
  <c r="A33" i="14" s="1"/>
  <c r="A34" i="14" s="1"/>
  <c r="G18" i="13" l="1"/>
  <c r="A69" i="13"/>
  <c r="A70" i="13" s="1"/>
  <c r="A71" i="13" s="1"/>
  <c r="A72" i="13" s="1"/>
  <c r="A35" i="15"/>
  <c r="A36" i="15" s="1"/>
  <c r="A37" i="15" s="1"/>
  <c r="A38" i="15" s="1"/>
  <c r="A39" i="15" s="1"/>
  <c r="A40" i="15" s="1"/>
  <c r="A35" i="14"/>
  <c r="A36" i="14" s="1"/>
  <c r="A37" i="14" s="1"/>
  <c r="A38" i="14" s="1"/>
  <c r="A39" i="14" s="1"/>
  <c r="A40" i="14" s="1"/>
  <c r="A73" i="13" l="1"/>
  <c r="A74" i="13" s="1"/>
  <c r="A75" i="13" s="1"/>
  <c r="E40" i="15"/>
  <c r="A41" i="15"/>
  <c r="A42" i="15" s="1"/>
  <c r="A43" i="15" s="1"/>
  <c r="A44" i="15" s="1"/>
  <c r="A45" i="15" s="1"/>
  <c r="A46" i="15" s="1"/>
  <c r="A47" i="15" s="1"/>
  <c r="A48" i="15" s="1"/>
  <c r="A41" i="14"/>
  <c r="A42" i="14" s="1"/>
  <c r="A43" i="14" s="1"/>
  <c r="A44" i="14" s="1"/>
  <c r="A45" i="14" s="1"/>
  <c r="A46" i="14" s="1"/>
  <c r="A47" i="14" s="1"/>
  <c r="A48" i="14" s="1"/>
  <c r="D40" i="14"/>
  <c r="A76" i="13" l="1"/>
  <c r="A77" i="13" s="1"/>
  <c r="E48" i="15"/>
  <c r="A49" i="15"/>
  <c r="A50" i="15" s="1"/>
  <c r="A51" i="15" s="1"/>
  <c r="A52" i="15" s="1"/>
  <c r="A53" i="15" s="1"/>
  <c r="E52" i="15"/>
  <c r="A49" i="14"/>
  <c r="A50" i="14" s="1"/>
  <c r="A51" i="14" s="1"/>
  <c r="A52" i="14" s="1"/>
  <c r="A53" i="14" s="1"/>
  <c r="D52" i="14"/>
  <c r="D48" i="14"/>
  <c r="A78" i="13" l="1"/>
  <c r="A79" i="13" s="1"/>
  <c r="A80" i="13" l="1"/>
  <c r="A81" i="13" s="1"/>
  <c r="A82" i="13" l="1"/>
  <c r="A83" i="13" s="1"/>
  <c r="A84" i="13" s="1"/>
  <c r="G20" i="13"/>
  <c r="A85" i="13" l="1"/>
  <c r="A86" i="13" s="1"/>
  <c r="A87" i="13" s="1"/>
  <c r="A88" i="13" s="1"/>
  <c r="A89" i="13" l="1"/>
  <c r="A90" i="13" s="1"/>
  <c r="A91" i="13" s="1"/>
  <c r="A92" i="13" s="1"/>
  <c r="A93" i="13" l="1"/>
  <c r="A94" i="13" s="1"/>
  <c r="A95" i="13" s="1"/>
  <c r="A96" i="13" s="1"/>
  <c r="A97" i="13" l="1"/>
  <c r="A98" i="13" s="1"/>
  <c r="G22" i="13" s="1"/>
  <c r="G146" i="11" l="1"/>
  <c r="B146" i="11"/>
  <c r="B145" i="11"/>
  <c r="G144" i="11"/>
  <c r="G143" i="11"/>
  <c r="B143" i="11"/>
  <c r="B142" i="11"/>
  <c r="G134" i="11"/>
  <c r="B134" i="11"/>
  <c r="B131" i="11"/>
  <c r="B130" i="11"/>
  <c r="J128" i="11"/>
  <c r="J129" i="11" s="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26" i="11"/>
  <c r="J127" i="11" s="1"/>
  <c r="A126" i="11"/>
  <c r="A127" i="11" s="1"/>
  <c r="A128" i="11" s="1"/>
  <c r="A129" i="11" s="1"/>
  <c r="A130" i="11" s="1"/>
  <c r="I142" i="11" s="1"/>
  <c r="G98" i="11"/>
  <c r="A82" i="11"/>
  <c r="A83" i="11" s="1"/>
  <c r="A84" i="11" s="1"/>
  <c r="A85" i="11" s="1"/>
  <c r="J81" i="11"/>
  <c r="J82" i="11" s="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A81" i="11"/>
  <c r="B74" i="11"/>
  <c r="D63" i="11"/>
  <c r="C63" i="11"/>
  <c r="G62" i="11"/>
  <c r="G61" i="11"/>
  <c r="G65" i="11" s="1"/>
  <c r="G130" i="11" s="1"/>
  <c r="G60" i="11"/>
  <c r="G63" i="11" s="1"/>
  <c r="G153" i="11" s="1"/>
  <c r="E49" i="11"/>
  <c r="C48" i="11"/>
  <c r="G39" i="11"/>
  <c r="C49" i="11" s="1"/>
  <c r="G32" i="11"/>
  <c r="E48" i="11" s="1"/>
  <c r="G25" i="11"/>
  <c r="G27" i="11" s="1"/>
  <c r="E47" i="11" s="1"/>
  <c r="G17" i="11"/>
  <c r="C47" i="11" s="1"/>
  <c r="J12" i="1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A12" i="11"/>
  <c r="A13" i="11" s="1"/>
  <c r="A14" i="11" s="1"/>
  <c r="A15" i="11" s="1"/>
  <c r="A16" i="11" s="1"/>
  <c r="A17" i="11" s="1"/>
  <c r="A18" i="11" s="1"/>
  <c r="A19" i="11" s="1"/>
  <c r="A20" i="11" s="1"/>
  <c r="J11" i="11"/>
  <c r="B119" i="11"/>
  <c r="E27" i="17"/>
  <c r="G19" i="17"/>
  <c r="E73" i="13" s="1"/>
  <c r="G15" i="17"/>
  <c r="E72" i="13" s="1"/>
  <c r="A13" i="17"/>
  <c r="A12" i="17"/>
  <c r="J11" i="17"/>
  <c r="J12" i="17" s="1"/>
  <c r="J13" i="17" s="1"/>
  <c r="J14" i="17" s="1"/>
  <c r="J15" i="17" s="1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E47" i="18"/>
  <c r="E44" i="18"/>
  <c r="E37" i="18"/>
  <c r="E50" i="18" s="1"/>
  <c r="F28" i="18"/>
  <c r="H28" i="18" s="1"/>
  <c r="I28" i="18" s="1"/>
  <c r="H26" i="18"/>
  <c r="E26" i="18"/>
  <c r="E30" i="18" s="1"/>
  <c r="D26" i="18"/>
  <c r="D30" i="18" s="1"/>
  <c r="F24" i="18"/>
  <c r="I24" i="18" s="1"/>
  <c r="F23" i="18"/>
  <c r="I23" i="18" s="1"/>
  <c r="F22" i="18"/>
  <c r="I22" i="18" s="1"/>
  <c r="F21" i="18"/>
  <c r="I21" i="18" s="1"/>
  <c r="F20" i="18"/>
  <c r="I20" i="18" s="1"/>
  <c r="F19" i="18"/>
  <c r="I19" i="18" s="1"/>
  <c r="F18" i="18"/>
  <c r="I18" i="18" s="1"/>
  <c r="F17" i="18"/>
  <c r="I17" i="18" s="1"/>
  <c r="F16" i="18"/>
  <c r="I16" i="18" s="1"/>
  <c r="F15" i="18"/>
  <c r="I15" i="18" s="1"/>
  <c r="F14" i="18"/>
  <c r="I14" i="18" s="1"/>
  <c r="F13" i="18"/>
  <c r="I13" i="18" s="1"/>
  <c r="F12" i="18"/>
  <c r="I12" i="18" s="1"/>
  <c r="A12" i="18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K11" i="18"/>
  <c r="K12" i="18" s="1"/>
  <c r="K13" i="18" s="1"/>
  <c r="K14" i="18" s="1"/>
  <c r="K15" i="18" s="1"/>
  <c r="K16" i="18" s="1"/>
  <c r="K17" i="18" s="1"/>
  <c r="K18" i="18" s="1"/>
  <c r="K19" i="18" s="1"/>
  <c r="K20" i="18" s="1"/>
  <c r="K21" i="18" s="1"/>
  <c r="K22" i="18" s="1"/>
  <c r="K23" i="18" s="1"/>
  <c r="K24" i="18" s="1"/>
  <c r="K25" i="18" s="1"/>
  <c r="K26" i="18" s="1"/>
  <c r="K27" i="18" s="1"/>
  <c r="K28" i="18" s="1"/>
  <c r="K29" i="18" s="1"/>
  <c r="K30" i="18" s="1"/>
  <c r="K31" i="18" s="1"/>
  <c r="K32" i="18" s="1"/>
  <c r="K33" i="18" s="1"/>
  <c r="K34" i="18" s="1"/>
  <c r="K35" i="18" s="1"/>
  <c r="K36" i="18" s="1"/>
  <c r="K37" i="18" s="1"/>
  <c r="K38" i="18" s="1"/>
  <c r="K39" i="18" s="1"/>
  <c r="K40" i="18" s="1"/>
  <c r="K41" i="18" s="1"/>
  <c r="K42" i="18" s="1"/>
  <c r="K43" i="18" s="1"/>
  <c r="K44" i="18" s="1"/>
  <c r="K45" i="18" s="1"/>
  <c r="K46" i="18" s="1"/>
  <c r="K47" i="18" s="1"/>
  <c r="K48" i="18" s="1"/>
  <c r="K49" i="18" s="1"/>
  <c r="K50" i="18" s="1"/>
  <c r="K51" i="18" s="1"/>
  <c r="K52" i="18" s="1"/>
  <c r="K53" i="18" s="1"/>
  <c r="K54" i="18" s="1"/>
  <c r="K55" i="18" s="1"/>
  <c r="F11" i="18"/>
  <c r="I11" i="18" s="1"/>
  <c r="E61" i="20"/>
  <c r="E66" i="20" s="1"/>
  <c r="F45" i="20"/>
  <c r="H41" i="20"/>
  <c r="D41" i="20"/>
  <c r="F39" i="20"/>
  <c r="I39" i="20" s="1"/>
  <c r="F38" i="20"/>
  <c r="I38" i="20" s="1"/>
  <c r="E38" i="20"/>
  <c r="E37" i="20"/>
  <c r="F37" i="20" s="1"/>
  <c r="I37" i="20" s="1"/>
  <c r="E36" i="20"/>
  <c r="F35" i="20"/>
  <c r="I35" i="20" s="1"/>
  <c r="F34" i="20"/>
  <c r="I34" i="20" s="1"/>
  <c r="F33" i="20"/>
  <c r="I33" i="20" s="1"/>
  <c r="F32" i="20"/>
  <c r="I32" i="20" s="1"/>
  <c r="F31" i="20"/>
  <c r="I31" i="20" s="1"/>
  <c r="F30" i="20"/>
  <c r="H27" i="20"/>
  <c r="H43" i="20" s="1"/>
  <c r="H47" i="20" s="1"/>
  <c r="D27" i="20"/>
  <c r="I25" i="20"/>
  <c r="F25" i="20"/>
  <c r="E23" i="20"/>
  <c r="F23" i="20" s="1"/>
  <c r="I23" i="20" s="1"/>
  <c r="F22" i="20"/>
  <c r="I22" i="20" s="1"/>
  <c r="F21" i="20"/>
  <c r="I21" i="20" s="1"/>
  <c r="E21" i="20"/>
  <c r="E20" i="20"/>
  <c r="F20" i="20" s="1"/>
  <c r="I20" i="20" s="1"/>
  <c r="E19" i="20"/>
  <c r="F19" i="20" s="1"/>
  <c r="I19" i="20" s="1"/>
  <c r="F18" i="20"/>
  <c r="I18" i="20" s="1"/>
  <c r="F17" i="20"/>
  <c r="I17" i="20" s="1"/>
  <c r="F16" i="20"/>
  <c r="I16" i="20" s="1"/>
  <c r="E15" i="20"/>
  <c r="F14" i="20"/>
  <c r="I14" i="20" s="1"/>
  <c r="F13" i="20"/>
  <c r="I13" i="20" s="1"/>
  <c r="F12" i="20"/>
  <c r="I12" i="20" s="1"/>
  <c r="A12" i="20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K11" i="20"/>
  <c r="K12" i="20" s="1"/>
  <c r="K13" i="20" s="1"/>
  <c r="K14" i="20" s="1"/>
  <c r="K15" i="20" s="1"/>
  <c r="K16" i="20" s="1"/>
  <c r="K17" i="20" s="1"/>
  <c r="K18" i="20" s="1"/>
  <c r="K19" i="20" s="1"/>
  <c r="K20" i="20" s="1"/>
  <c r="K21" i="20" s="1"/>
  <c r="K22" i="20" s="1"/>
  <c r="K23" i="20" s="1"/>
  <c r="K24" i="20" s="1"/>
  <c r="K25" i="20" s="1"/>
  <c r="K26" i="20" s="1"/>
  <c r="K27" i="20" s="1"/>
  <c r="K28" i="20" s="1"/>
  <c r="K29" i="20" s="1"/>
  <c r="K30" i="20" s="1"/>
  <c r="K31" i="20" s="1"/>
  <c r="K32" i="20" s="1"/>
  <c r="K33" i="20" s="1"/>
  <c r="K34" i="20" s="1"/>
  <c r="K35" i="20" s="1"/>
  <c r="K36" i="20" s="1"/>
  <c r="K37" i="20" s="1"/>
  <c r="K38" i="20" s="1"/>
  <c r="K39" i="20" s="1"/>
  <c r="K40" i="20" s="1"/>
  <c r="K41" i="20" s="1"/>
  <c r="K42" i="20" s="1"/>
  <c r="K43" i="20" s="1"/>
  <c r="K44" i="20" s="1"/>
  <c r="K45" i="20" s="1"/>
  <c r="K46" i="20" s="1"/>
  <c r="K47" i="20" s="1"/>
  <c r="K48" i="20" s="1"/>
  <c r="K49" i="20" s="1"/>
  <c r="K50" i="20" s="1"/>
  <c r="K51" i="20" s="1"/>
  <c r="K52" i="20" s="1"/>
  <c r="K53" i="20" s="1"/>
  <c r="K54" i="20" s="1"/>
  <c r="K55" i="20" s="1"/>
  <c r="K56" i="20" s="1"/>
  <c r="K57" i="20" s="1"/>
  <c r="K58" i="20" s="1"/>
  <c r="K59" i="20" s="1"/>
  <c r="K60" i="20" s="1"/>
  <c r="K61" i="20" s="1"/>
  <c r="K62" i="20" s="1"/>
  <c r="K63" i="20" s="1"/>
  <c r="K64" i="20" s="1"/>
  <c r="K65" i="20" s="1"/>
  <c r="K66" i="20" s="1"/>
  <c r="K67" i="20" s="1"/>
  <c r="K68" i="20" s="1"/>
  <c r="K69" i="20" s="1"/>
  <c r="K70" i="20" s="1"/>
  <c r="K71" i="20" s="1"/>
  <c r="K72" i="20" s="1"/>
  <c r="K73" i="20" s="1"/>
  <c r="K74" i="20" s="1"/>
  <c r="F11" i="20"/>
  <c r="E58" i="19"/>
  <c r="E66" i="19" s="1"/>
  <c r="E28" i="19"/>
  <c r="E51" i="13" s="1"/>
  <c r="E12" i="13" s="1"/>
  <c r="A12" i="19"/>
  <c r="A13" i="19" s="1"/>
  <c r="A14" i="19" s="1"/>
  <c r="A15" i="19" s="1"/>
  <c r="H11" i="19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62" i="19" s="1"/>
  <c r="H63" i="19" s="1"/>
  <c r="H64" i="19" s="1"/>
  <c r="H65" i="19" s="1"/>
  <c r="H66" i="19" s="1"/>
  <c r="H67" i="19" s="1"/>
  <c r="H68" i="19" s="1"/>
  <c r="G51" i="16"/>
  <c r="E47" i="16"/>
  <c r="E45" i="16"/>
  <c r="E43" i="16"/>
  <c r="E39" i="16"/>
  <c r="E37" i="16"/>
  <c r="E35" i="16"/>
  <c r="G33" i="16"/>
  <c r="G32" i="16"/>
  <c r="E33" i="16"/>
  <c r="E32" i="16"/>
  <c r="C32" i="16"/>
  <c r="E26" i="16"/>
  <c r="E22" i="16"/>
  <c r="E20" i="16"/>
  <c r="B53" i="16"/>
  <c r="B47" i="16"/>
  <c r="B45" i="16"/>
  <c r="B43" i="16"/>
  <c r="B39" i="16"/>
  <c r="B37" i="16"/>
  <c r="B35" i="16"/>
  <c r="H33" i="16"/>
  <c r="C33" i="16"/>
  <c r="A13" i="16"/>
  <c r="A14" i="16" s="1"/>
  <c r="I12" i="16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G47" i="16" l="1"/>
  <c r="G43" i="16"/>
  <c r="G45" i="16"/>
  <c r="G39" i="16"/>
  <c r="E41" i="16"/>
  <c r="E49" i="16" s="1"/>
  <c r="E53" i="16" s="1"/>
  <c r="H30" i="18"/>
  <c r="E42" i="19" s="1"/>
  <c r="E43" i="19" s="1"/>
  <c r="E45" i="19" s="1"/>
  <c r="E47" i="19" s="1"/>
  <c r="D43" i="20"/>
  <c r="D47" i="20" s="1"/>
  <c r="A21" i="11"/>
  <c r="A22" i="11" s="1"/>
  <c r="A23" i="11" s="1"/>
  <c r="A24" i="11" s="1"/>
  <c r="A25" i="11" s="1"/>
  <c r="A86" i="11"/>
  <c r="A87" i="11" s="1"/>
  <c r="C50" i="11"/>
  <c r="D49" i="11" s="1"/>
  <c r="G49" i="11" s="1"/>
  <c r="D47" i="11"/>
  <c r="A131" i="11"/>
  <c r="A132" i="11" s="1"/>
  <c r="G136" i="11"/>
  <c r="G145" i="11" s="1"/>
  <c r="G142" i="11"/>
  <c r="I17" i="11"/>
  <c r="D48" i="11"/>
  <c r="G48" i="11" s="1"/>
  <c r="A14" i="17"/>
  <c r="A15" i="17" s="1"/>
  <c r="A16" i="17" s="1"/>
  <c r="A17" i="17" s="1"/>
  <c r="A18" i="17" s="1"/>
  <c r="A19" i="17" s="1"/>
  <c r="A20" i="17" s="1"/>
  <c r="A21" i="17" s="1"/>
  <c r="A22" i="17" s="1"/>
  <c r="J26" i="18"/>
  <c r="A25" i="18"/>
  <c r="A26" i="18" s="1"/>
  <c r="I26" i="18"/>
  <c r="I30" i="18" s="1"/>
  <c r="F26" i="18"/>
  <c r="F30" i="18" s="1"/>
  <c r="J27" i="20"/>
  <c r="A26" i="20"/>
  <c r="A27" i="20" s="1"/>
  <c r="F36" i="20"/>
  <c r="I36" i="20" s="1"/>
  <c r="E41" i="20"/>
  <c r="I11" i="20"/>
  <c r="I30" i="20"/>
  <c r="I41" i="20" s="1"/>
  <c r="F15" i="20"/>
  <c r="I15" i="20" s="1"/>
  <c r="E24" i="20"/>
  <c r="F24" i="20" s="1"/>
  <c r="I24" i="20" s="1"/>
  <c r="A16" i="19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E56" i="19"/>
  <c r="E68" i="19" s="1"/>
  <c r="E48" i="19" s="1"/>
  <c r="E18" i="16"/>
  <c r="E24" i="16" s="1"/>
  <c r="E28" i="16" s="1"/>
  <c r="G12" i="16"/>
  <c r="G20" i="16"/>
  <c r="G22" i="16"/>
  <c r="G16" i="16"/>
  <c r="A15" i="16"/>
  <c r="A16" i="16" s="1"/>
  <c r="E49" i="19" l="1"/>
  <c r="F41" i="20"/>
  <c r="D50" i="11"/>
  <c r="G47" i="11"/>
  <c r="G50" i="11" s="1"/>
  <c r="G108" i="11" s="1"/>
  <c r="I27" i="11"/>
  <c r="A26" i="11"/>
  <c r="A27" i="11" s="1"/>
  <c r="G148" i="11"/>
  <c r="G151" i="11" s="1"/>
  <c r="G155" i="11" s="1"/>
  <c r="I25" i="11"/>
  <c r="G52" i="11"/>
  <c r="G85" i="11" s="1"/>
  <c r="I143" i="11"/>
  <c r="A133" i="11"/>
  <c r="A88" i="11"/>
  <c r="A23" i="17"/>
  <c r="A24" i="17" s="1"/>
  <c r="A25" i="17" s="1"/>
  <c r="A27" i="18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E27" i="20"/>
  <c r="E43" i="20" s="1"/>
  <c r="E47" i="20" s="1"/>
  <c r="I27" i="20"/>
  <c r="I43" i="20" s="1"/>
  <c r="I47" i="20" s="1"/>
  <c r="A28" i="20"/>
  <c r="A29" i="20" s="1"/>
  <c r="A30" i="20" s="1"/>
  <c r="F27" i="20"/>
  <c r="F43" i="20" s="1"/>
  <c r="F47" i="20" s="1"/>
  <c r="A32" i="19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G35" i="16"/>
  <c r="A17" i="16"/>
  <c r="A18" i="16" s="1"/>
  <c r="H18" i="16"/>
  <c r="E56" i="13" l="1"/>
  <c r="E58" i="13" s="1"/>
  <c r="E14" i="13" s="1"/>
  <c r="E23" i="17"/>
  <c r="E25" i="17" s="1"/>
  <c r="E29" i="17" s="1"/>
  <c r="I47" i="11"/>
  <c r="A28" i="11"/>
  <c r="A29" i="11" s="1"/>
  <c r="A30" i="11" s="1"/>
  <c r="G97" i="11"/>
  <c r="A89" i="11"/>
  <c r="I144" i="11"/>
  <c r="A134" i="11"/>
  <c r="A135" i="11" s="1"/>
  <c r="A136" i="11" s="1"/>
  <c r="A26" i="17"/>
  <c r="A27" i="17" s="1"/>
  <c r="A28" i="17" s="1"/>
  <c r="A29" i="17" s="1"/>
  <c r="J30" i="18"/>
  <c r="A31" i="20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4" i="19"/>
  <c r="A19" i="16"/>
  <c r="A20" i="16" s="1"/>
  <c r="E74" i="13" l="1"/>
  <c r="E75" i="13" s="1"/>
  <c r="C31" i="21"/>
  <c r="C32" i="21" s="1"/>
  <c r="C36" i="21" s="1"/>
  <c r="G88" i="11" s="1"/>
  <c r="I36" i="11"/>
  <c r="A31" i="11"/>
  <c r="A137" i="1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I145" i="11"/>
  <c r="I134" i="11"/>
  <c r="A90" i="11"/>
  <c r="A91" i="11" s="1"/>
  <c r="J41" i="20"/>
  <c r="A42" i="20"/>
  <c r="A43" i="20" s="1"/>
  <c r="J43" i="20"/>
  <c r="A45" i="19"/>
  <c r="A21" i="16"/>
  <c r="A22" i="16" s="1"/>
  <c r="H24" i="16" s="1"/>
  <c r="G99" i="11" l="1"/>
  <c r="G91" i="11"/>
  <c r="G100" i="11" s="1"/>
  <c r="I151" i="11"/>
  <c r="A92" i="11"/>
  <c r="A93" i="11" s="1"/>
  <c r="A94" i="11" s="1"/>
  <c r="A95" i="11" s="1"/>
  <c r="A96" i="11" s="1"/>
  <c r="A97" i="11" s="1"/>
  <c r="A98" i="11" s="1"/>
  <c r="A99" i="11" s="1"/>
  <c r="A100" i="11" s="1"/>
  <c r="A101" i="11" s="1"/>
  <c r="A32" i="11"/>
  <c r="I32" i="11"/>
  <c r="A152" i="11"/>
  <c r="A153" i="11" s="1"/>
  <c r="A154" i="11" s="1"/>
  <c r="A155" i="11" s="1"/>
  <c r="A44" i="20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46" i="19"/>
  <c r="A47" i="19" s="1"/>
  <c r="A23" i="16"/>
  <c r="A24" i="16" s="1"/>
  <c r="G103" i="11" l="1"/>
  <c r="G106" i="11" s="1"/>
  <c r="G110" i="11" s="1"/>
  <c r="E77" i="13" s="1"/>
  <c r="I146" i="11"/>
  <c r="A102" i="11"/>
  <c r="A103" i="11" s="1"/>
  <c r="I155" i="11"/>
  <c r="A33" i="11"/>
  <c r="A34" i="11" s="1"/>
  <c r="A35" i="11" s="1"/>
  <c r="I48" i="11"/>
  <c r="J47" i="20"/>
  <c r="A48" i="19"/>
  <c r="A49" i="19" s="1"/>
  <c r="A50" i="19" s="1"/>
  <c r="A51" i="19" s="1"/>
  <c r="A52" i="19" s="1"/>
  <c r="A25" i="16"/>
  <c r="A26" i="16" s="1"/>
  <c r="E79" i="13" l="1"/>
  <c r="E81" i="13" s="1"/>
  <c r="E20" i="13" s="1"/>
  <c r="E90" i="13"/>
  <c r="E92" i="13" s="1"/>
  <c r="E96" i="13" s="1"/>
  <c r="E98" i="13" s="1"/>
  <c r="E22" i="13" s="1"/>
  <c r="A36" i="11"/>
  <c r="A37" i="11" s="1"/>
  <c r="A38" i="11" s="1"/>
  <c r="A39" i="11" s="1"/>
  <c r="A40" i="11" s="1"/>
  <c r="A41" i="11" s="1"/>
  <c r="A42" i="11" s="1"/>
  <c r="A104" i="11"/>
  <c r="A105" i="11" s="1"/>
  <c r="A106" i="11" s="1"/>
  <c r="A53" i="19"/>
  <c r="A54" i="19" s="1"/>
  <c r="A55" i="19" s="1"/>
  <c r="A56" i="19" s="1"/>
  <c r="A27" i="16"/>
  <c r="A28" i="16" s="1"/>
  <c r="A29" i="16" s="1"/>
  <c r="A34" i="16" s="1"/>
  <c r="A35" i="16" s="1"/>
  <c r="H28" i="16"/>
  <c r="E24" i="13" l="1"/>
  <c r="E26" i="13" s="1"/>
  <c r="E28" i="13" s="1"/>
  <c r="E33" i="13" s="1"/>
  <c r="E35" i="13" s="1"/>
  <c r="C13" i="15" s="1"/>
  <c r="A107" i="11"/>
  <c r="A108" i="11" s="1"/>
  <c r="A109" i="11" s="1"/>
  <c r="A110" i="11" s="1"/>
  <c r="A43" i="11"/>
  <c r="A44" i="11" s="1"/>
  <c r="A45" i="11" s="1"/>
  <c r="A46" i="11" s="1"/>
  <c r="A47" i="11" s="1"/>
  <c r="I49" i="11"/>
  <c r="I39" i="11"/>
  <c r="A57" i="19"/>
  <c r="A58" i="19" s="1"/>
  <c r="A36" i="16"/>
  <c r="A37" i="16" s="1"/>
  <c r="A38" i="16" s="1"/>
  <c r="A39" i="16" s="1"/>
  <c r="A40" i="16" s="1"/>
  <c r="A41" i="16" s="1"/>
  <c r="C14" i="16" l="1"/>
  <c r="C36" i="15"/>
  <c r="C17" i="15"/>
  <c r="C23" i="15" s="1"/>
  <c r="C27" i="15" s="1"/>
  <c r="A48" i="11"/>
  <c r="A59" i="19"/>
  <c r="A60" i="19" s="1"/>
  <c r="A61" i="19" s="1"/>
  <c r="A62" i="19" s="1"/>
  <c r="A63" i="19" s="1"/>
  <c r="A64" i="19" s="1"/>
  <c r="A65" i="19" s="1"/>
  <c r="A66" i="19" s="1"/>
  <c r="A42" i="16"/>
  <c r="A43" i="16" s="1"/>
  <c r="A44" i="16" s="1"/>
  <c r="A45" i="16" s="1"/>
  <c r="A46" i="16" s="1"/>
  <c r="A47" i="16" s="1"/>
  <c r="A48" i="16" s="1"/>
  <c r="A49" i="16" s="1"/>
  <c r="H41" i="16"/>
  <c r="C37" i="16" l="1"/>
  <c r="C40" i="15"/>
  <c r="C48" i="15" s="1"/>
  <c r="C52" i="15" s="1"/>
  <c r="G14" i="16"/>
  <c r="G18" i="16" s="1"/>
  <c r="G24" i="16" s="1"/>
  <c r="C18" i="16"/>
  <c r="C24" i="16" s="1"/>
  <c r="C28" i="16" s="1"/>
  <c r="G28" i="16" s="1"/>
  <c r="A49" i="11"/>
  <c r="I52" i="11"/>
  <c r="A67" i="19"/>
  <c r="A68" i="19" s="1"/>
  <c r="A50" i="16"/>
  <c r="A51" i="16" s="1"/>
  <c r="A52" i="16" s="1"/>
  <c r="A53" i="16" s="1"/>
  <c r="A54" i="16" s="1"/>
  <c r="H49" i="16"/>
  <c r="D18" i="22" l="1"/>
  <c r="D13" i="1"/>
  <c r="G37" i="16"/>
  <c r="C41" i="16"/>
  <c r="A50" i="11"/>
  <c r="I50" i="11"/>
  <c r="G41" i="16" l="1"/>
  <c r="G49" i="16" s="1"/>
  <c r="C49" i="16"/>
  <c r="C53" i="16" s="1"/>
  <c r="G53" i="16" s="1"/>
  <c r="F18" i="22"/>
  <c r="G18" i="22"/>
  <c r="D19" i="22"/>
  <c r="D20" i="22" s="1"/>
  <c r="D21" i="22" s="1"/>
  <c r="D22" i="22" s="1"/>
  <c r="D23" i="22" s="1"/>
  <c r="D24" i="22" s="1"/>
  <c r="D25" i="22" s="1"/>
  <c r="D26" i="22" s="1"/>
  <c r="D27" i="22" s="1"/>
  <c r="D28" i="22" s="1"/>
  <c r="D29" i="22" s="1"/>
  <c r="D66" i="22"/>
  <c r="A51" i="11"/>
  <c r="A52" i="11" s="1"/>
  <c r="H18" i="22" l="1"/>
  <c r="F19" i="22" s="1"/>
  <c r="A53" i="11"/>
  <c r="A54" i="11" s="1"/>
  <c r="A55" i="11" s="1"/>
  <c r="A56" i="11" s="1"/>
  <c r="A57" i="11" s="1"/>
  <c r="A58" i="11" s="1"/>
  <c r="A59" i="11" s="1"/>
  <c r="A60" i="11" s="1"/>
  <c r="G19" i="22" l="1"/>
  <c r="H19" i="22"/>
  <c r="A61" i="11"/>
  <c r="F20" i="22" l="1"/>
  <c r="A62" i="11"/>
  <c r="G20" i="22" l="1"/>
  <c r="H20" i="22" s="1"/>
  <c r="F21" i="22" s="1"/>
  <c r="G21" i="22" s="1"/>
  <c r="H21" i="22" s="1"/>
  <c r="A63" i="11"/>
  <c r="I63" i="11"/>
  <c r="I65" i="11"/>
  <c r="F22" i="22" l="1"/>
  <c r="G22" i="22"/>
  <c r="A64" i="11"/>
  <c r="A65" i="11" s="1"/>
  <c r="I130" i="11" s="1"/>
  <c r="I153" i="11"/>
  <c r="H22" i="22" l="1"/>
  <c r="G15" i="1"/>
  <c r="G16" i="1" s="1"/>
  <c r="G17" i="1" s="1"/>
  <c r="G18" i="1" s="1"/>
  <c r="G19" i="1" s="1"/>
  <c r="G20" i="1" s="1"/>
  <c r="G21" i="1" s="1"/>
  <c r="A18" i="1"/>
  <c r="A19" i="1" s="1"/>
  <c r="A20" i="1" s="1"/>
  <c r="A21" i="1" s="1"/>
  <c r="F23" i="22" l="1"/>
  <c r="G23" i="22" s="1"/>
  <c r="H23" i="22" s="1"/>
  <c r="F24" i="22" l="1"/>
  <c r="G24" i="22"/>
  <c r="H24" i="22" s="1"/>
  <c r="F25" i="22" s="1"/>
  <c r="G25" i="22" l="1"/>
  <c r="H25" i="22"/>
  <c r="F26" i="22" s="1"/>
  <c r="G26" i="22" l="1"/>
  <c r="H26" i="22"/>
  <c r="F27" i="22" l="1"/>
  <c r="G27" i="22"/>
  <c r="H27" i="22" s="1"/>
  <c r="F28" i="22" s="1"/>
  <c r="G28" i="22" s="1"/>
  <c r="H28" i="22" s="1"/>
  <c r="F29" i="22" s="1"/>
  <c r="G29" i="22" s="1"/>
  <c r="H29" i="22" s="1"/>
  <c r="F30" i="22" s="1"/>
  <c r="G30" i="22" s="1"/>
  <c r="H30" i="22" s="1"/>
  <c r="F31" i="22" l="1"/>
  <c r="G31" i="22"/>
  <c r="H31" i="22" s="1"/>
  <c r="F32" i="22" l="1"/>
  <c r="G32" i="22"/>
  <c r="H32" i="22" s="1"/>
  <c r="F33" i="22" s="1"/>
  <c r="G33" i="22" s="1"/>
  <c r="H33" i="22" l="1"/>
  <c r="F34" i="22"/>
  <c r="G34" i="22"/>
  <c r="H34" i="22" s="1"/>
  <c r="F35" i="22" l="1"/>
  <c r="G35" i="22" s="1"/>
  <c r="H35" i="22" l="1"/>
  <c r="F36" i="22" l="1"/>
  <c r="G36" i="22"/>
  <c r="H36" i="22" s="1"/>
  <c r="F37" i="22" l="1"/>
  <c r="G37" i="22" s="1"/>
  <c r="H37" i="22" s="1"/>
  <c r="F38" i="22" l="1"/>
  <c r="G38" i="22"/>
  <c r="H38" i="22" s="1"/>
  <c r="F39" i="22" l="1"/>
  <c r="G39" i="22" s="1"/>
  <c r="H39" i="22" s="1"/>
  <c r="F40" i="22" l="1"/>
  <c r="G40" i="22" s="1"/>
  <c r="H40" i="22" s="1"/>
  <c r="F41" i="22" l="1"/>
  <c r="G41" i="22" s="1"/>
  <c r="H41" i="22" l="1"/>
  <c r="F42" i="22" l="1"/>
  <c r="G42" i="22" s="1"/>
  <c r="H42" i="22" s="1"/>
  <c r="F43" i="22" l="1"/>
  <c r="G43" i="22" s="1"/>
  <c r="H43" i="22" s="1"/>
  <c r="F44" i="22" l="1"/>
  <c r="G44" i="22"/>
  <c r="H44" i="22" s="1"/>
  <c r="F45" i="22" l="1"/>
  <c r="G45" i="22" s="1"/>
  <c r="H45" i="22" s="1"/>
  <c r="F46" i="22" l="1"/>
  <c r="G46" i="22" s="1"/>
  <c r="H46" i="22" s="1"/>
  <c r="F47" i="22" l="1"/>
  <c r="G47" i="22" s="1"/>
  <c r="H47" i="22" s="1"/>
  <c r="F48" i="22" l="1"/>
  <c r="G48" i="22" s="1"/>
  <c r="H48" i="22" s="1"/>
  <c r="F49" i="22" s="1"/>
  <c r="G49" i="22" l="1"/>
  <c r="H49" i="22" s="1"/>
  <c r="F50" i="22" l="1"/>
  <c r="G50" i="22" s="1"/>
  <c r="H50" i="22" s="1"/>
  <c r="F51" i="22" s="1"/>
  <c r="G51" i="22" l="1"/>
  <c r="H51" i="22" s="1"/>
  <c r="F52" i="22" l="1"/>
  <c r="G52" i="22" s="1"/>
  <c r="H52" i="22" s="1"/>
  <c r="F53" i="22" l="1"/>
  <c r="G53" i="22" s="1"/>
  <c r="H53" i="22" s="1"/>
  <c r="F54" i="22" l="1"/>
  <c r="G54" i="22"/>
  <c r="H54" i="22" s="1"/>
  <c r="F55" i="22" l="1"/>
  <c r="G55" i="22"/>
  <c r="H55" i="22" s="1"/>
  <c r="F56" i="22" l="1"/>
  <c r="G56" i="22"/>
  <c r="H56" i="22" s="1"/>
  <c r="F57" i="22" l="1"/>
  <c r="G57" i="22"/>
  <c r="H57" i="22" l="1"/>
  <c r="F58" i="22" l="1"/>
  <c r="G58" i="22" s="1"/>
  <c r="H58" i="22" s="1"/>
  <c r="F59" i="22" l="1"/>
  <c r="G59" i="22"/>
  <c r="H59" i="22" l="1"/>
  <c r="F60" i="22" l="1"/>
  <c r="G60" i="22" s="1"/>
  <c r="H60" i="22" s="1"/>
  <c r="F61" i="22" l="1"/>
  <c r="G61" i="22" s="1"/>
  <c r="H61" i="22" l="1"/>
  <c r="F62" i="22" l="1"/>
  <c r="G62" i="22"/>
  <c r="H62" i="22" s="1"/>
  <c r="F63" i="22" l="1"/>
  <c r="G63" i="22"/>
  <c r="H63" i="22" s="1"/>
  <c r="F64" i="22" l="1"/>
  <c r="G64" i="22" s="1"/>
  <c r="H64" i="22" s="1"/>
  <c r="F65" i="22" l="1"/>
  <c r="G65" i="22" s="1"/>
  <c r="G66" i="22" s="1"/>
  <c r="D15" i="1" s="1"/>
  <c r="D17" i="1" s="1"/>
  <c r="D21" i="1" s="1"/>
  <c r="H65" i="22" l="1"/>
</calcChain>
</file>

<file path=xl/sharedStrings.xml><?xml version="1.0" encoding="utf-8"?>
<sst xmlns="http://schemas.openxmlformats.org/spreadsheetml/2006/main" count="1025" uniqueCount="628">
  <si>
    <t>San Diego Gas &amp; Electric Company</t>
  </si>
  <si>
    <t>($1,000)</t>
  </si>
  <si>
    <t>Line</t>
  </si>
  <si>
    <t>Description</t>
  </si>
  <si>
    <t>Amounts</t>
  </si>
  <si>
    <t>Reference</t>
  </si>
  <si>
    <t>No.</t>
  </si>
  <si>
    <t>B</t>
  </si>
  <si>
    <t>Interest Expense</t>
  </si>
  <si>
    <t>Total</t>
  </si>
  <si>
    <t>(a)</t>
  </si>
  <si>
    <t xml:space="preserve"> </t>
  </si>
  <si>
    <t>A</t>
  </si>
  <si>
    <t>C = A - B</t>
  </si>
  <si>
    <t>Difference</t>
  </si>
  <si>
    <t>Incr (Decr)</t>
  </si>
  <si>
    <t>√</t>
  </si>
  <si>
    <t>Transmission Related A&amp;G Expense</t>
  </si>
  <si>
    <t>CPUC Intervenor Funding Expense - Transmission</t>
  </si>
  <si>
    <t>Shall be Zero</t>
  </si>
  <si>
    <t>Transmission Related Electric Miscellaneous Intangible Plant</t>
  </si>
  <si>
    <t>Transmission Related General Plant</t>
  </si>
  <si>
    <t>Net Transmission Plant</t>
  </si>
  <si>
    <t>Cost Adjustment Workpapers</t>
  </si>
  <si>
    <t>SAN DIEGO GAS &amp; ELECTRIC COMPANY</t>
  </si>
  <si>
    <t>Operation and Maintenance Expenses</t>
  </si>
  <si>
    <t>FERC Form 1</t>
  </si>
  <si>
    <t>Page; Line; Col.</t>
  </si>
  <si>
    <t>Adjustments to Per Book Transmission O&amp;M Expense:</t>
  </si>
  <si>
    <t>Adjustments to Per Book A&amp;G Expense:</t>
  </si>
  <si>
    <t xml:space="preserve">   CPUC energy efficiency programs</t>
  </si>
  <si>
    <t xml:space="preserve">   CPUC Intervenor Funding Expense - Distribution</t>
  </si>
  <si>
    <t xml:space="preserve">   CPUC reimbursement fees</t>
  </si>
  <si>
    <t xml:space="preserve">   General Advertising Expenses </t>
  </si>
  <si>
    <t xml:space="preserve">   Hazardous substances - Hazardous Substance Cleanup Cost Account</t>
  </si>
  <si>
    <t xml:space="preserve">   Litigation expenses - Litigation Cost Memorandum Account (LCMA)</t>
  </si>
  <si>
    <t xml:space="preserve">   Other A&amp;G Exclusion Adjustments</t>
  </si>
  <si>
    <t>Less: Property Insurance (Due to different allocation factor)</t>
  </si>
  <si>
    <t>Transmission Wages and Salaries Allocation Factor</t>
  </si>
  <si>
    <t>Property Insurance Allocated to Transmission, General, and Common Plant</t>
  </si>
  <si>
    <t>Derivation of Transmission Plant Property Insurance Allocation Factor:</t>
  </si>
  <si>
    <t>Transmission Plant &amp; Incentive Transmission Plant</t>
  </si>
  <si>
    <t xml:space="preserve">Transmission Related Common Plant </t>
  </si>
  <si>
    <t xml:space="preserve">     Total Transmission Related Investment in Plant</t>
  </si>
  <si>
    <t>Total Transmission Plant &amp; Incentive Transmission Plant</t>
  </si>
  <si>
    <t>Total Steam Production Plant</t>
  </si>
  <si>
    <t>Total Nuclear Production Plant</t>
  </si>
  <si>
    <t>Total Other Production Plant</t>
  </si>
  <si>
    <t>Total Distribution Plant</t>
  </si>
  <si>
    <t>Total General Plant</t>
  </si>
  <si>
    <t>Total Common Plant</t>
  </si>
  <si>
    <t xml:space="preserve">     Total Plant in Service Excluding SONGS</t>
  </si>
  <si>
    <t>Electric Transmission O&amp;M Expenses</t>
  </si>
  <si>
    <t>(b)</t>
  </si>
  <si>
    <t>(c) = (a) - (b)</t>
  </si>
  <si>
    <t>(e) = (c) + (d)</t>
  </si>
  <si>
    <t>FERC</t>
  </si>
  <si>
    <t>Excluded</t>
  </si>
  <si>
    <t>Revised</t>
  </si>
  <si>
    <t>Acct</t>
  </si>
  <si>
    <t>Per Books</t>
  </si>
  <si>
    <t>Expenses</t>
  </si>
  <si>
    <t>Adjusted</t>
  </si>
  <si>
    <t xml:space="preserve">O&amp;M </t>
  </si>
  <si>
    <t>Electric Transmission Operation</t>
  </si>
  <si>
    <t>Operation Supervision and Engineering</t>
  </si>
  <si>
    <t>Form 1; Page 321; Line 83</t>
  </si>
  <si>
    <t>Load Dispatch - Reliability</t>
  </si>
  <si>
    <t>Form 1; Page 321; Line 85</t>
  </si>
  <si>
    <t>Load Dispatch - Monitor and Operate Transmission System</t>
  </si>
  <si>
    <t>Form 1; Page 321; Line 86</t>
  </si>
  <si>
    <t>Load Dispatch - Transmission Service and Scheduling</t>
  </si>
  <si>
    <t>Form 1; Page 321; Line 87</t>
  </si>
  <si>
    <t xml:space="preserve">Scheduling, System Control and Dispatch Services </t>
  </si>
  <si>
    <t>Form 1; Page 321; Line 88</t>
  </si>
  <si>
    <t>Reliability, Planning and Standards Development</t>
  </si>
  <si>
    <t>Form 1; Page 321; Line 89</t>
  </si>
  <si>
    <t>Transmission Service Studies</t>
  </si>
  <si>
    <t>Form 1; Page 321; Line 90</t>
  </si>
  <si>
    <t>Generation Interconnection Studies</t>
  </si>
  <si>
    <t>Form 1; Page 321; Line 91</t>
  </si>
  <si>
    <t xml:space="preserve">Reliability, Planning and Standards Development Services </t>
  </si>
  <si>
    <t>Form 1; Page 321; Line 92</t>
  </si>
  <si>
    <t>Form 1; Page 321; Line 93</t>
  </si>
  <si>
    <t>Form 1; Page 321; Line 94</t>
  </si>
  <si>
    <t>Underground Line Expenses</t>
  </si>
  <si>
    <t>Form 1; Page 321; Line 95</t>
  </si>
  <si>
    <t>Transmission of Electricity by Others</t>
  </si>
  <si>
    <t>Form 1; Page 321; Line 96</t>
  </si>
  <si>
    <t>Misc. Transmission Expenses</t>
  </si>
  <si>
    <t>Form 1; Page 321; Line 97</t>
  </si>
  <si>
    <t>Rents</t>
  </si>
  <si>
    <t>Form 1; Page 321; Line 98</t>
  </si>
  <si>
    <t xml:space="preserve">     Total Electric Transmission Operation </t>
  </si>
  <si>
    <t>Electric Transmission Maintenance</t>
  </si>
  <si>
    <t>Maintenance Supervision and Engineering</t>
  </si>
  <si>
    <t>Form 1; Page 321; Line 101</t>
  </si>
  <si>
    <t>Maintenance of Structures</t>
  </si>
  <si>
    <t>Form 1; Page 321; Line 102</t>
  </si>
  <si>
    <t>Maintenance of Computer Hardware</t>
  </si>
  <si>
    <t>Form 1; Page 321; Line 103</t>
  </si>
  <si>
    <t>Maintenance of Computer Software</t>
  </si>
  <si>
    <t>Form 1; Page 321; Line 104</t>
  </si>
  <si>
    <t>Maintenance of Communication Equipment</t>
  </si>
  <si>
    <t>Form 1; Page 321; Line 105</t>
  </si>
  <si>
    <t>Maintenance of Misc. Regional Transmission Plant</t>
  </si>
  <si>
    <t>Form 1; Page 321; Line 106</t>
  </si>
  <si>
    <t>Form 1; Page 321; Line 107</t>
  </si>
  <si>
    <t>Form 1; Page 321; Line 108</t>
  </si>
  <si>
    <t>Form 1; Page 321; Line 109</t>
  </si>
  <si>
    <t>Maintenance of Misc. Transmission Plant</t>
  </si>
  <si>
    <t>Form 1; Page 321; Line 110</t>
  </si>
  <si>
    <t>Total Electric Transmission O&amp;M Expenses</t>
  </si>
  <si>
    <t>Scheduling, System Control and Dispatch Services (ERRA)</t>
  </si>
  <si>
    <t>Reliability, Planning and Standards Development Services (ERRA)</t>
  </si>
  <si>
    <t>Transmission of Electricity by Others (ERRA)</t>
  </si>
  <si>
    <t>Total Excluded Expenses</t>
  </si>
  <si>
    <t>Administrative &amp; General Expenses</t>
  </si>
  <si>
    <t xml:space="preserve">A&amp;G </t>
  </si>
  <si>
    <t>Administrative &amp; General</t>
  </si>
  <si>
    <t>A&amp;G Salaries</t>
  </si>
  <si>
    <t>Form 1; Page 323; Line 181</t>
  </si>
  <si>
    <t>Office Supplies &amp; Expenses</t>
  </si>
  <si>
    <t>Form 1; Page 323; Line 182</t>
  </si>
  <si>
    <t>Less: Administrative Expenses Transferred-Credit</t>
  </si>
  <si>
    <t>Form 1; Page 323; Line 183</t>
  </si>
  <si>
    <t>Outside Services Employed</t>
  </si>
  <si>
    <t>Form 1; Page 323; Line 184</t>
  </si>
  <si>
    <t>Property Insurance</t>
  </si>
  <si>
    <t>Form 1; Page 323; Line 185</t>
  </si>
  <si>
    <t>Injuries &amp; Damages</t>
  </si>
  <si>
    <t>Form 1; Page 323; Line 186</t>
  </si>
  <si>
    <t>Form 1; Page 323; Line 187</t>
  </si>
  <si>
    <t xml:space="preserve">Franchise Requirements </t>
  </si>
  <si>
    <t>Form 1; Page 323; Line 188</t>
  </si>
  <si>
    <t>Form 1; Page 323; Line 189</t>
  </si>
  <si>
    <t>Less: Duplicate Charges (Company Energy Use)</t>
  </si>
  <si>
    <t>Form 1; Page 323; Line 190</t>
  </si>
  <si>
    <t>General Advertising Expenses</t>
  </si>
  <si>
    <t>Form 1; Page 323; Line 191</t>
  </si>
  <si>
    <t>Miscellaneous General Expenses</t>
  </si>
  <si>
    <t>Form 1; Page 323; Line 192</t>
  </si>
  <si>
    <t>Form 1; Page 323; Line 193</t>
  </si>
  <si>
    <t>Maintenance of General Plant</t>
  </si>
  <si>
    <t>Form 1; Page 323; Line 196</t>
  </si>
  <si>
    <t>Total Administrative &amp; General Expenses</t>
  </si>
  <si>
    <t>Excluded Expenses:</t>
  </si>
  <si>
    <t>CPUC energy efficiency programs</t>
  </si>
  <si>
    <t>Litigation expenses (ERRA)</t>
  </si>
  <si>
    <t>CPUC Intervenor Funding Expense - Distribution</t>
  </si>
  <si>
    <t xml:space="preserve">CPUC reimbursement fees  </t>
  </si>
  <si>
    <t>Litigation expenses - Litigation Cost Memorandum Account (LCMA)</t>
  </si>
  <si>
    <t xml:space="preserve">CPUC energy efficiency programs  </t>
  </si>
  <si>
    <t>Abandoned Projects</t>
  </si>
  <si>
    <t xml:space="preserve">Hazardous Substances-Hazardous Substance Cleanup Cost Account </t>
  </si>
  <si>
    <t>Working Capital</t>
  </si>
  <si>
    <t>Working</t>
  </si>
  <si>
    <t>13-Months</t>
  </si>
  <si>
    <t>Cash</t>
  </si>
  <si>
    <t>Average Balance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</si>
  <si>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</si>
  <si>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t>450.1; Sch. Pg. 227; 12; c</t>
  </si>
  <si>
    <t>Transmission Plant Allocation Factor</t>
  </si>
  <si>
    <t xml:space="preserve">     Transmission Related Materials and Supplies </t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</si>
  <si>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</si>
  <si>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t>450.1; Sch. Pg. 110; 57; c</t>
  </si>
  <si>
    <t xml:space="preserve">     Transmission Related Prepayments 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</si>
  <si>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</si>
  <si>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</si>
  <si>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</si>
  <si>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 xml:space="preserve">   CPUC Intervenor Funding Expense - Transmission</t>
  </si>
  <si>
    <t xml:space="preserve">     Total</t>
  </si>
  <si>
    <t xml:space="preserve">   One Eighth O&amp;M Rule</t>
  </si>
  <si>
    <t>FERC Method = 1/8 of O&amp;M Expense</t>
  </si>
  <si>
    <t xml:space="preserve">     Transmission Related Cash Working Capital - Retail Customers</t>
  </si>
  <si>
    <t>The balances for Materials &amp; Supplies and Prepayments are derived based on a 13-month average balance.</t>
  </si>
  <si>
    <t>Statement AV</t>
  </si>
  <si>
    <t>Cost of Capital and Fair Rate of Return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</si>
  <si>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</si>
  <si>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</si>
  <si>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</si>
  <si>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</si>
  <si>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</si>
  <si>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</si>
  <si>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</si>
  <si>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</si>
  <si>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</si>
  <si>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</si>
  <si>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</si>
  <si>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</si>
  <si>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</si>
  <si>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</si>
  <si>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</si>
  <si>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</si>
  <si>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</si>
  <si>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</si>
  <si>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</si>
  <si>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</si>
  <si>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</si>
  <si>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</si>
  <si>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</si>
  <si>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</si>
  <si>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Cost of Long-Term Debt: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</si>
  <si>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</si>
  <si>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</si>
  <si>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</si>
  <si>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</si>
  <si>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</si>
  <si>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</si>
  <si>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Common Equity Component:</t>
  </si>
  <si>
    <t>Proprietary Capital</t>
  </si>
  <si>
    <t>112; 16; c</t>
  </si>
  <si>
    <t>Less: Preferred Stock (Acct 204)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</si>
  <si>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</si>
  <si>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</si>
  <si>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</si>
  <si>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</si>
  <si>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</si>
  <si>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</si>
  <si>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</si>
  <si>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</si>
  <si>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</si>
  <si>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</si>
  <si>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</si>
  <si>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</si>
  <si>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</si>
  <si>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</si>
  <si>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</si>
  <si>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</si>
  <si>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Preferred Equity</t>
  </si>
  <si>
    <t>Common Equity</t>
  </si>
  <si>
    <t xml:space="preserve">     Total Capital</t>
  </si>
  <si>
    <t>Cost of Equity Component (Preferred &amp; Common):</t>
  </si>
  <si>
    <t>Amount is based upon December 31 balances.</t>
  </si>
  <si>
    <t>Incentive Weighted Cost of Capital:</t>
  </si>
  <si>
    <t>Incentive Cost of Equity Component (Preferred &amp; Common):</t>
  </si>
  <si>
    <t>Where:</t>
  </si>
  <si>
    <t xml:space="preserve">     A = Sum of Preferred Stock and Return on Equity Component</t>
  </si>
  <si>
    <t xml:space="preserve">     B = Transmission Total Federal Tax Adjustments</t>
  </si>
  <si>
    <t xml:space="preserve">     C = Equity AFUDC Component of Transmission Depreciation Expense</t>
  </si>
  <si>
    <t xml:space="preserve">     D = Transmission Rate Base</t>
  </si>
  <si>
    <t xml:space="preserve">     FT = Federal Income Tax Rate for Rate Effective Period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</si>
  <si>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</si>
  <si>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</si>
  <si>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</si>
  <si>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</si>
  <si>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</si>
  <si>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</si>
  <si>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</si>
  <si>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</si>
  <si>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 xml:space="preserve">     ST = State Income Tax Rate for Rate Effective Period</t>
  </si>
  <si>
    <t>8.84%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</si>
  <si>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</si>
  <si>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</si>
  <si>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</si>
  <si>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</si>
  <si>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</si>
  <si>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D. Total Weighted Cost of Capital:</t>
  </si>
  <si>
    <t xml:space="preserve">     D = Incentive ROE Project Transmission Rate Base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</si>
  <si>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</si>
  <si>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</si>
  <si>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</si>
  <si>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D. Total Incentive Weighted Cost of Capital:</t>
  </si>
  <si>
    <r>
      <t>(d)</t>
    </r>
    <r>
      <rPr>
        <b/>
        <vertAlign val="superscript"/>
        <sz val="12"/>
        <rFont val="Times New Roman"/>
        <family val="1"/>
      </rPr>
      <t xml:space="preserve"> 2</t>
    </r>
  </si>
  <si>
    <t>CITIZENS' SHARE OF THE SX-PQ UNDERGROUND LINE SEGMENT</t>
  </si>
  <si>
    <t>Summary of Cost Components</t>
  </si>
  <si>
    <t>Description of Annual Costs</t>
  </si>
  <si>
    <t>Section 1 - Direct Maintenance Expense Cost Component</t>
  </si>
  <si>
    <t>Section 2 - Non-Direct Expense Cost Component</t>
  </si>
  <si>
    <t>Section 3 - Cost Component Containing Other Specific Expenses</t>
  </si>
  <si>
    <t>Section 4 - True-Up Adjustment Cost Component (Over)/Undercollection</t>
  </si>
  <si>
    <t>Section 5 - Interest True-Up Adjustment Cost Component</t>
  </si>
  <si>
    <t>Subtotal Annual Costs</t>
  </si>
  <si>
    <t>Other Adjustments</t>
  </si>
  <si>
    <t>Total Annual Costs</t>
  </si>
  <si>
    <t>Description of Monthly Costs</t>
  </si>
  <si>
    <t>Total Monthly Costs</t>
  </si>
  <si>
    <t>Number of Months in Base Period</t>
  </si>
  <si>
    <t xml:space="preserve">Total Annual Costs Adjustment </t>
  </si>
  <si>
    <t xml:space="preserve">Section 2 - Non-Direct Expense Cost Component </t>
  </si>
  <si>
    <t>A. Non-Direct Annual Carrying Charge Percentages</t>
  </si>
  <si>
    <t>Transmission Related O&amp;M Expense</t>
  </si>
  <si>
    <t>Transmission Related Property Tax Expense</t>
  </si>
  <si>
    <t>Transmission Related Payroll Tax Expense</t>
  </si>
  <si>
    <t>Transmission Related Working Capital Revenue</t>
  </si>
  <si>
    <t>Transmission Related General &amp; Common Plant Revenue</t>
  </si>
  <si>
    <t xml:space="preserve">     Subtotal Annual Carrying Charge Rate</t>
  </si>
  <si>
    <t>Transmission Related Municipal Franchise Fees Expense</t>
  </si>
  <si>
    <t xml:space="preserve">     Total Annual Carrying Charge Rate</t>
  </si>
  <si>
    <t>B. Derivation of Non-Direct Expense</t>
  </si>
  <si>
    <t>Lease Agreement</t>
  </si>
  <si>
    <t>Total Annual Carrying Charge Rate</t>
  </si>
  <si>
    <t xml:space="preserve">     Total Non-Direct Expense</t>
  </si>
  <si>
    <t>A. Transmission Related O&amp;M Expense</t>
  </si>
  <si>
    <t>Transmission O&amp;M Expense</t>
  </si>
  <si>
    <t xml:space="preserve">     Transmission O&amp;M Expense Carrying Charge Percentage</t>
  </si>
  <si>
    <t>B. Transmission Related A&amp;G Expense</t>
  </si>
  <si>
    <t>Total Transmission Related A&amp;G Expense Including Property Ins.</t>
  </si>
  <si>
    <t xml:space="preserve">     Transmission Related A&amp;G Carrying Charge Percentage</t>
  </si>
  <si>
    <t>C. Transmission Related Property Tax Expense</t>
  </si>
  <si>
    <t xml:space="preserve">     Transmission Related Property Tax Carrying Charge Percentage</t>
  </si>
  <si>
    <t>D. Transmission Related Payroll Tax Expense</t>
  </si>
  <si>
    <t xml:space="preserve">     Transmission Related Payroll Tax Carrying Charge Percentage</t>
  </si>
  <si>
    <t>E. Transmission Related Working Capital Revenue</t>
  </si>
  <si>
    <t>Transmission Related M&amp;S Allocated to Transmission</t>
  </si>
  <si>
    <t>Transmission Related Prepayments Allocated to Transmission</t>
  </si>
  <si>
    <t>Transmission Related Working Cash</t>
  </si>
  <si>
    <t xml:space="preserve">     Total Transmission Related Working Capital</t>
  </si>
  <si>
    <t>Cost of Capital Rate</t>
  </si>
  <si>
    <t>Transmission Working Capital Revenue</t>
  </si>
  <si>
    <t xml:space="preserve">     Transmission Related Working Capital Revenue Carrying Charge Percentage</t>
  </si>
  <si>
    <t>F. Transmission Related General &amp; Common Plant Revenue</t>
  </si>
  <si>
    <t>Net Transmission Related General Plant</t>
  </si>
  <si>
    <t>Net Transmission Related Common Plant</t>
  </si>
  <si>
    <t>Total Net Transmission Related General and Common Plant</t>
  </si>
  <si>
    <t>Transmission Related General and Common Return and Associated Income Taxes</t>
  </si>
  <si>
    <t>Transmission Related General and Common Depreciation Expense</t>
  </si>
  <si>
    <t>Total Transmission Related General and Common Plant Revenues</t>
  </si>
  <si>
    <t xml:space="preserve">     Total Transmission Related General and Common Plant Carrying Charge Percentage</t>
  </si>
  <si>
    <t>Interest</t>
  </si>
  <si>
    <t>Derivation of Direct Maintenance Expense:</t>
  </si>
  <si>
    <t>Total Direct Maintenance Cost</t>
  </si>
  <si>
    <t>Derivation of Non-Direct Transmission Operation and Maintenance Expense:</t>
  </si>
  <si>
    <t>Total Non-Direct Transmission O&amp;M Expense</t>
  </si>
  <si>
    <t xml:space="preserve">   Scheduling, System Control &amp; Dispatch Services</t>
  </si>
  <si>
    <t xml:space="preserve">   Reliability, Planning &amp; Standards Development</t>
  </si>
  <si>
    <t xml:space="preserve">   Station Expenses</t>
  </si>
  <si>
    <t xml:space="preserve">   Overhead Line Expense</t>
  </si>
  <si>
    <t xml:space="preserve">   Transmission of Electricity by Others</t>
  </si>
  <si>
    <t xml:space="preserve">   Miscellaneous Transmission Expense </t>
  </si>
  <si>
    <t xml:space="preserve">   Maintenance of Station Equipment</t>
  </si>
  <si>
    <t xml:space="preserve">   Maintenance of Overhead Lines</t>
  </si>
  <si>
    <t xml:space="preserve">   Maintenance of Underground Lines</t>
  </si>
  <si>
    <t xml:space="preserve">   Other Transmission Non-Direct O&amp;M Exclusion Adjustments </t>
  </si>
  <si>
    <t xml:space="preserve">   Other Cost Adjustments</t>
  </si>
  <si>
    <t xml:space="preserve">     Total Non-Direct Adjusted Transmission O&amp;M Expenses </t>
  </si>
  <si>
    <t>Derivation of Non-Direct Administrative and General Expense:</t>
  </si>
  <si>
    <t>Total Non-Direct Administrative &amp; General Expense</t>
  </si>
  <si>
    <t xml:space="preserve">     Total Adjusted Non-Direct A&amp;G Expenses Including Property Insurance</t>
  </si>
  <si>
    <t>Total Adjusted Non-Direct A&amp;G Expenses Excluding Property Insurance</t>
  </si>
  <si>
    <t>Transmission Related Non-Direct Administrative &amp; General Expenses</t>
  </si>
  <si>
    <t xml:space="preserve">     Transmission Related Non-Direct A&amp;G Expense Including Property Insurance Expense</t>
  </si>
  <si>
    <r>
      <t xml:space="preserve">Transmission Property Insurance and Tax Allocation Factor </t>
    </r>
    <r>
      <rPr>
        <b/>
        <vertAlign val="superscript"/>
        <sz val="12"/>
        <rFont val="Times New Roman"/>
        <family val="1"/>
      </rPr>
      <t>1</t>
    </r>
  </si>
  <si>
    <r>
      <t>(d)</t>
    </r>
    <r>
      <rPr>
        <b/>
        <vertAlign val="superscript"/>
        <sz val="12"/>
        <rFont val="Times New Roman"/>
        <family val="1"/>
      </rPr>
      <t xml:space="preserve"> 4</t>
    </r>
  </si>
  <si>
    <t xml:space="preserve">Add / (Deduct) </t>
  </si>
  <si>
    <t>O&amp;M Cost Adj</t>
  </si>
  <si>
    <r>
      <t xml:space="preserve">Station Expenses </t>
    </r>
    <r>
      <rPr>
        <b/>
        <vertAlign val="superscript"/>
        <sz val="12"/>
        <rFont val="Times New Roman"/>
        <family val="1"/>
      </rPr>
      <t>1</t>
    </r>
  </si>
  <si>
    <t xml:space="preserve">Overhead Line Expenses  </t>
  </si>
  <si>
    <r>
      <t xml:space="preserve">Maintenance of Station Equipment </t>
    </r>
    <r>
      <rPr>
        <vertAlign val="superscript"/>
        <sz val="12"/>
        <rFont val="Times New Roman"/>
        <family val="1"/>
      </rPr>
      <t>1</t>
    </r>
  </si>
  <si>
    <r>
      <t xml:space="preserve">Maintenance of Overhead Lines </t>
    </r>
    <r>
      <rPr>
        <vertAlign val="superscript"/>
        <sz val="12"/>
        <rFont val="Times New Roman"/>
        <family val="1"/>
      </rPr>
      <t>1</t>
    </r>
  </si>
  <si>
    <r>
      <t xml:space="preserve">Maintenance of Underground Lines </t>
    </r>
    <r>
      <rPr>
        <b/>
        <vertAlign val="superscript"/>
        <sz val="12"/>
        <rFont val="Times New Roman"/>
        <family val="1"/>
      </rPr>
      <t>2</t>
    </r>
  </si>
  <si>
    <t xml:space="preserve">  Total Electric Transmission Maintenance</t>
  </si>
  <si>
    <r>
      <t xml:space="preserve">Transmission O&amp;M Expenses Charged to Citizens </t>
    </r>
    <r>
      <rPr>
        <b/>
        <vertAlign val="superscript"/>
        <sz val="12"/>
        <rFont val="Times New Roman"/>
        <family val="1"/>
      </rPr>
      <t>3</t>
    </r>
  </si>
  <si>
    <t>Total Adjusted Electric Transmission O&amp;M Expenses</t>
  </si>
  <si>
    <t>Excluded Expenses (recovery method in parentheses)</t>
  </si>
  <si>
    <t>Misc. Transmission Expenses:</t>
  </si>
  <si>
    <t xml:space="preserve">     Century Energy Systems Balancing Account (CES-21BA)</t>
  </si>
  <si>
    <t xml:space="preserve">     Hazardous Substance Cleanup Cost Memo Account (HSCCMA)</t>
  </si>
  <si>
    <t xml:space="preserve">     ISO Grid Management Costs (ERRA)</t>
  </si>
  <si>
    <t xml:space="preserve">     Reliability Services (RS rates)</t>
  </si>
  <si>
    <t xml:space="preserve">     Other (TRBAA, TACBAA) </t>
  </si>
  <si>
    <r>
      <t xml:space="preserve">Maintenance of Station Equipment </t>
    </r>
    <r>
      <rPr>
        <b/>
        <vertAlign val="superscript"/>
        <sz val="12"/>
        <rFont val="Times New Roman"/>
        <family val="1"/>
      </rPr>
      <t>1</t>
    </r>
  </si>
  <si>
    <r>
      <t xml:space="preserve">Maintenance of Overhead Lines </t>
    </r>
    <r>
      <rPr>
        <b/>
        <vertAlign val="superscript"/>
        <sz val="12"/>
        <rFont val="Times New Roman"/>
        <family val="1"/>
      </rPr>
      <t>1</t>
    </r>
  </si>
  <si>
    <t>Citizens O&amp;M should not include substation, underground, and overhead line maintenance per the Appendix XII Tariff (See Section I.C - number 31).</t>
  </si>
  <si>
    <t>As a result, such items are excluded in Column b.</t>
  </si>
  <si>
    <t xml:space="preserve">Account 572 for Underground Line Maintenance is excluded because Citizens is charged via a Direct Maintenance order, which is reflected on AH-1. </t>
  </si>
  <si>
    <t>Transmission O&amp;M Expenses in SAP Account 7000721, which was created to track Citizens SX-PQ O&amp;M Expense.</t>
  </si>
  <si>
    <t>A&amp;G Cost Adj</t>
  </si>
  <si>
    <t>Employee Pensions &amp; Benefits</t>
  </si>
  <si>
    <t xml:space="preserve">Regulatory Commission Expenses  </t>
  </si>
  <si>
    <r>
      <t xml:space="preserve">Transmission Related A&amp;G Expenses Charged to Citizens </t>
    </r>
    <r>
      <rPr>
        <b/>
        <vertAlign val="superscript"/>
        <sz val="12"/>
        <rFont val="Times New Roman"/>
        <family val="1"/>
      </rPr>
      <t>1</t>
    </r>
  </si>
  <si>
    <t>Total Adjusted Administrative &amp; General Expenses</t>
  </si>
  <si>
    <t>Account 7000722, which was created to track Citizens SX-PQ A&amp;G Expense.</t>
  </si>
  <si>
    <t>SAN DIEGO GAS AND ELECTRIC COMPANY</t>
  </si>
  <si>
    <t>Incentive Return on Common Equity: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</si>
  <si>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</si>
  <si>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</si>
  <si>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1</t>
    </r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</si>
  <si>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</si>
  <si>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</si>
  <si>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</si>
  <si>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 xml:space="preserve">Total Monthly Costs Adjustment </t>
  </si>
  <si>
    <r>
      <t>Return on Common Equity:</t>
    </r>
    <r>
      <rPr>
        <sz val="12"/>
        <rFont val="Times New Roman"/>
        <family val="1"/>
      </rPr>
      <t xml:space="preserve"> </t>
    </r>
    <r>
      <rPr>
        <vertAlign val="superscript"/>
        <sz val="12"/>
        <rFont val="Times New Roman"/>
        <family val="1"/>
      </rPr>
      <t>2</t>
    </r>
  </si>
  <si>
    <t xml:space="preserve">Section C.6a of the Protocols provides a mechanism for SDG&amp;E to correct errors that affected the Appendix XII costs in a previous Informational Filing. </t>
  </si>
  <si>
    <t>Statement AH - Workpapers</t>
  </si>
  <si>
    <t>AH-2, Line 37; Col. d</t>
  </si>
  <si>
    <t xml:space="preserve">   Damages &amp; Injuries</t>
  </si>
  <si>
    <t>AH-3, Line 20; Col. d</t>
  </si>
  <si>
    <t>Items in bold have changed compared to the original Appendix XII Cycle 2 filing per ER20-209.</t>
  </si>
  <si>
    <t>Statement AL - Workpapers</t>
  </si>
  <si>
    <t>Statement AV - Workpapers</t>
  </si>
  <si>
    <t>SDG&amp;E Return on Equity</t>
  </si>
  <si>
    <t>ROE is pursuant to SDG&amp;E's TO5 Formula Informational Filing in Docket No. ER19-221-000.</t>
  </si>
  <si>
    <t>Citizens portion of Equity AFUDC is embedded in the Equity AFUDC component of Transmission Depreciation expense.</t>
  </si>
  <si>
    <t xml:space="preserve">Derivation of End Use Transmission Rate Base </t>
  </si>
  <si>
    <t>A. Derivation of Transmission Rate Base:</t>
  </si>
  <si>
    <t>Net Transmission Plant:</t>
  </si>
  <si>
    <t>Transmission Plant</t>
  </si>
  <si>
    <t>Transmission Related Common Plant</t>
  </si>
  <si>
    <t xml:space="preserve">     Total Net Transmission Plant</t>
  </si>
  <si>
    <t>Rate Base Additions:</t>
  </si>
  <si>
    <t>Transmission Plant Held for Future Use</t>
  </si>
  <si>
    <t>Transmission Plant Abandoned Project Cost</t>
  </si>
  <si>
    <t xml:space="preserve">     Total Rate Base Additions</t>
  </si>
  <si>
    <t>Rate Base Reductions:</t>
  </si>
  <si>
    <t>Transmission Related Accum. Def. Inc. Taxes</t>
  </si>
  <si>
    <t>Transmission Plant Abandoned Accum. Def. Inc. Taxes</t>
  </si>
  <si>
    <t xml:space="preserve">     Total Rate Base Reductions</t>
  </si>
  <si>
    <t>Working Capital:</t>
  </si>
  <si>
    <t xml:space="preserve">Transmission Related Materials and Supplies </t>
  </si>
  <si>
    <t>Transmission Related Prepayments</t>
  </si>
  <si>
    <t>Transmission Related Cash Working Capital</t>
  </si>
  <si>
    <t xml:space="preserve">     Total Working Capital</t>
  </si>
  <si>
    <t>Other Regulatory Assets/Liabilities</t>
  </si>
  <si>
    <t xml:space="preserve">     Total Transmission Rate Base</t>
  </si>
  <si>
    <r>
      <t>B. Incentive ROE Project Transmission Rate Base:</t>
    </r>
    <r>
      <rPr>
        <sz val="12"/>
        <rFont val="Times New Roman"/>
        <family val="1"/>
      </rPr>
      <t xml:space="preserve"> </t>
    </r>
  </si>
  <si>
    <t>Net Incentive Transmission Plant</t>
  </si>
  <si>
    <t xml:space="preserve">Incentive Transmission Plant Accum. Def. Income Taxes </t>
  </si>
  <si>
    <t xml:space="preserve">     Total Incentive ROE Project Transmission Rate Base</t>
  </si>
  <si>
    <r>
      <t>C. Incentive Transmission Plant Abandoned Project Rate Base:</t>
    </r>
    <r>
      <rPr>
        <sz val="12"/>
        <rFont val="Times New Roman"/>
        <family val="1"/>
      </rPr>
      <t xml:space="preserve"> </t>
    </r>
  </si>
  <si>
    <t>Incentive Transmission Plant Abandoned Project Cost</t>
  </si>
  <si>
    <t>Incentive Transmission Plant Abandoned Project Cost Accum. Def. Inc. Taxes</t>
  </si>
  <si>
    <t xml:space="preserve">     Total Incentive Transmission Plant Abandoned Project Cost Rate Base</t>
  </si>
  <si>
    <t>D. Incentive Transmission Construction Work In Progress</t>
  </si>
  <si>
    <t>A. Derivation of Net Transmission Plant:</t>
  </si>
  <si>
    <t>Gross Transmission Plant:</t>
  </si>
  <si>
    <t>Transmission Related Electric Misc. Intangible Plant</t>
  </si>
  <si>
    <t xml:space="preserve">     Total Gross Transmission Plant</t>
  </si>
  <si>
    <t>Transmission Related Depreciation Reserve:</t>
  </si>
  <si>
    <t xml:space="preserve">Transmission Plant Depreciation Reserve </t>
  </si>
  <si>
    <t>Transmission Related Electric Misc. Intangible Plant Amortization Reserve</t>
  </si>
  <si>
    <t>Transmission Related General Plant Depr Reserve</t>
  </si>
  <si>
    <t>Transmission Related Common Plant Depr Reserve</t>
  </si>
  <si>
    <t xml:space="preserve">     Total Transmission Related Depreciation Reserve</t>
  </si>
  <si>
    <t>B. Incentive Project Net Transmission Plant:</t>
  </si>
  <si>
    <t>Incentive Transmission Plant</t>
  </si>
  <si>
    <t>Incentive Transmission Plant Depreciation Reserve</t>
  </si>
  <si>
    <t xml:space="preserve">     Total Net Incentive Transmission Plant</t>
  </si>
  <si>
    <t>Sum Lines 3 and 5</t>
  </si>
  <si>
    <t>Line 7 / Line 9</t>
  </si>
  <si>
    <t>Total Annual Costs Citizens' Share of the SX-PQ Underground Line Segment - Before Interest</t>
  </si>
  <si>
    <t>Total Citizens' Monthly Prior Year Cost of Service</t>
  </si>
  <si>
    <t>Total Citizens' Annual Prior Year Cost of Service</t>
  </si>
  <si>
    <t>Citizens' Lease Payment</t>
  </si>
  <si>
    <t>Citizens' Financed Transmission Projects:</t>
  </si>
  <si>
    <r>
      <t xml:space="preserve">Appendix XII Cycle 4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</si>
  <si>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 xml:space="preserve">Citizens' Share of the SX-PQ Underground Line Segment  </t>
  </si>
  <si>
    <t>Derivation of Other Adjustments Applicable to Appendix XII Cycle 2</t>
  </si>
  <si>
    <t>Other Cost Adjustments due to Appendix XII Cycle 2 Cost Adjustments Calculation:</t>
  </si>
  <si>
    <t>Page 2; Line 17; Col. C</t>
  </si>
  <si>
    <t>Page 10; Line 57; Col. 5</t>
  </si>
  <si>
    <t xml:space="preserve">Appendix XII Cycle 4 Annual Informational Filing </t>
  </si>
  <si>
    <t>Revised - Appendix XII Cycle 2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</si>
  <si>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</si>
  <si>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</si>
  <si>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</si>
  <si>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</si>
  <si>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</si>
  <si>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</si>
  <si>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</si>
  <si>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</si>
  <si>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</si>
  <si>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</si>
  <si>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</si>
  <si>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</si>
  <si>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</si>
  <si>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</si>
  <si>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</si>
  <si>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 Revenue</t>
  </si>
  <si>
    <t>Month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</si>
  <si>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</si>
  <si>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</si>
  <si>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</si>
  <si>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</si>
  <si>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</si>
  <si>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</si>
  <si>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</si>
  <si>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</si>
  <si>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</si>
  <si>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</si>
  <si>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</si>
  <si>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</si>
  <si>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</si>
  <si>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</si>
  <si>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</si>
  <si>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</si>
  <si>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</si>
  <si>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</si>
  <si>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</si>
  <si>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</si>
  <si>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Derivation of Interest Expense on Other Adjustments Applicable to Appendix XII Cycle 2</t>
  </si>
  <si>
    <t>As Filed - Appendix XII Cycle 2 per ER 20-209</t>
  </si>
  <si>
    <t>Rate Effective Period January 1, 2020 to December 31, 2020</t>
  </si>
  <si>
    <t>Section 1; Page 1; Line 17</t>
  </si>
  <si>
    <t>Section 2; Page 1; Line 25</t>
  </si>
  <si>
    <t>Section 3; Page 1; Line 31</t>
  </si>
  <si>
    <t>Sum Lines 1, 3, 5</t>
  </si>
  <si>
    <t>Section 4; Page TU; Col. 11; Line 21</t>
  </si>
  <si>
    <t>Section 5; Page Interest TU (CY); Col. 6; Line 20</t>
  </si>
  <si>
    <t>Sum Lines 7, 9, 11</t>
  </si>
  <si>
    <t>Line 13 + Line 15</t>
  </si>
  <si>
    <t>Base Period &amp; True-Up Period 12 - Months Ending December 31, 2018</t>
  </si>
  <si>
    <t>AV-4; Line 6</t>
  </si>
  <si>
    <t>Statement AH; Line 18</t>
  </si>
  <si>
    <t>Line 4 / Line 1</t>
  </si>
  <si>
    <t>Statement AH; Line 39</t>
  </si>
  <si>
    <t>Line 9 / Line 1</t>
  </si>
  <si>
    <t>Statement AK; Line 17</t>
  </si>
  <si>
    <t>Line 14 / Line 1</t>
  </si>
  <si>
    <t>Statement AK; Line 28</t>
  </si>
  <si>
    <t>Line 19 / Line 1</t>
  </si>
  <si>
    <t>Statement AL; Line 5</t>
  </si>
  <si>
    <t>Statement AL; Line 9</t>
  </si>
  <si>
    <t>Statement AL; Line 19</t>
  </si>
  <si>
    <t>Sum Lines 25 thru 27</t>
  </si>
  <si>
    <t>Statement AV2; Line 31</t>
  </si>
  <si>
    <t>Line 28 x Line 30</t>
  </si>
  <si>
    <t>Line 32 / Line 1</t>
  </si>
  <si>
    <t>AV-4; Line 4</t>
  </si>
  <si>
    <t>AV-4; Line 5</t>
  </si>
  <si>
    <t>Line 37 + Line 39</t>
  </si>
  <si>
    <t>Line 30</t>
  </si>
  <si>
    <t>Line 41 * Line 43</t>
  </si>
  <si>
    <t>Statement AJ; Line 17</t>
  </si>
  <si>
    <t>Line 45 + Line 47</t>
  </si>
  <si>
    <t>Line 49 / Line 1</t>
  </si>
  <si>
    <t>AH-1; Line 48</t>
  </si>
  <si>
    <t>AH-2; Line 37; Col. a</t>
  </si>
  <si>
    <t>Negative of AH-2; Line 41; Col. b</t>
  </si>
  <si>
    <t>Negative of AH-2; Line 42; Col. b</t>
  </si>
  <si>
    <t>Negative of AH-2; Line 43; Col. b</t>
  </si>
  <si>
    <t>Negative of AH-2; Line 44; Col. b</t>
  </si>
  <si>
    <t>Negative of AH-2; Line 45; Col. b</t>
  </si>
  <si>
    <t>Negative of AH-2; Line 51; Col. b</t>
  </si>
  <si>
    <t>Negative of AH-2; Line 52; Col. b</t>
  </si>
  <si>
    <t>Negative of AH-2; Line 53; Col. b</t>
  </si>
  <si>
    <t>Negative of AH-2; Line 54; Col. b</t>
  </si>
  <si>
    <t>Not Applicable to 2018 Base Period</t>
  </si>
  <si>
    <t>Sum Lines 5 thru 17</t>
  </si>
  <si>
    <t>AH-3; Line 20; Col. a</t>
  </si>
  <si>
    <t>Negative of AH-3; Line 27; Col. a</t>
  </si>
  <si>
    <t>Negative of AH-3; Line 31; Col. a</t>
  </si>
  <si>
    <t>Negative of AH-3; Line 32; Col. a</t>
  </si>
  <si>
    <t>Negative of AH-3; Line 33; Col. a</t>
  </si>
  <si>
    <t>Negative of AH-3; Line 34; Col. a</t>
  </si>
  <si>
    <t>Negative of AH-3; Line 35; Col. b</t>
  </si>
  <si>
    <t>Negative of AH-3; Sum Lines 26, 28, 30, 36; Col. a or b</t>
  </si>
  <si>
    <t>Negative of AH-3; Line 38; Col. b</t>
  </si>
  <si>
    <t>Negative of AH-3; Sum Lines 24, 25, 29, 37; Col. a or b</t>
  </si>
  <si>
    <t>Sum Lines 21 thru 32</t>
  </si>
  <si>
    <t>Negative of AH-3; Line 5; Col. c</t>
  </si>
  <si>
    <t>Line 33 + Line 34</t>
  </si>
  <si>
    <t>Statement AI; Line 17</t>
  </si>
  <si>
    <t>Line 35 x Line 36</t>
  </si>
  <si>
    <t>Negative of Line 34 x Line 58</t>
  </si>
  <si>
    <t>Line 37 + Line 38</t>
  </si>
  <si>
    <t>Statement AD; Line 25</t>
  </si>
  <si>
    <t>Statement AD; Line 29</t>
  </si>
  <si>
    <t>Statement AD; Line 31</t>
  </si>
  <si>
    <t>Sum Lines 42 thru 45</t>
  </si>
  <si>
    <t>Line 42 Above</t>
  </si>
  <si>
    <t>Statement AD; Line 1</t>
  </si>
  <si>
    <t>Statement AD; Line 7</t>
  </si>
  <si>
    <t>Statement AD; Line 9</t>
  </si>
  <si>
    <t>Statement AD; Line 17</t>
  </si>
  <si>
    <t>Statement AD; Line 19</t>
  </si>
  <si>
    <t>Sum Lines 48 thru 55</t>
  </si>
  <si>
    <t>Line 46 / Line 56</t>
  </si>
  <si>
    <t>AL-1; Line 18</t>
  </si>
  <si>
    <t>Statement AD; Line 35</t>
  </si>
  <si>
    <t>Line 1 x Line 3</t>
  </si>
  <si>
    <t>AL-2; Line 18</t>
  </si>
  <si>
    <t>Line 3 x Line 7</t>
  </si>
  <si>
    <t>Negative of Statement AH; Line 24</t>
  </si>
  <si>
    <t>Sum Lines 12 thru 14</t>
  </si>
  <si>
    <t>Line 15 x Line 17</t>
  </si>
  <si>
    <t>AV1; Line 42</t>
  </si>
  <si>
    <t>Negative of Statement AR; Line 11</t>
  </si>
  <si>
    <t>AV-2A; Line 38</t>
  </si>
  <si>
    <t>AV-4; Page 1; Line 26</t>
  </si>
  <si>
    <t>Line 6 Above</t>
  </si>
  <si>
    <t>Line 8 Above</t>
  </si>
  <si>
    <t>Line 9 Above</t>
  </si>
  <si>
    <t>Line 12 Above</t>
  </si>
  <si>
    <t>Line 12 + Line 24</t>
  </si>
  <si>
    <t>AV1; Line 40</t>
  </si>
  <si>
    <t>Line 27 + Line 29</t>
  </si>
  <si>
    <t>Statement AG; Line 1</t>
  </si>
  <si>
    <t>Statement Misc.; Line 3</t>
  </si>
  <si>
    <t>Statement AF; Line 7</t>
  </si>
  <si>
    <t>Statement AF; Line 11</t>
  </si>
  <si>
    <t>Statement Misc.; Line 5</t>
  </si>
  <si>
    <t>Statement AD; Line 11</t>
  </si>
  <si>
    <t>Statement AD; Line 27</t>
  </si>
  <si>
    <t>Sum Lines 2 thru 5</t>
  </si>
  <si>
    <t>Statement AE; Line 1</t>
  </si>
  <si>
    <t>Statement AE; Line 11</t>
  </si>
  <si>
    <t>Statement AE; Line 13</t>
  </si>
  <si>
    <t>Statement AE; Line 15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</si>
  <si>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</si>
  <si>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</si>
  <si>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</si>
  <si>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</si>
  <si>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</si>
  <si>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</si>
  <si>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t>Line 23 Minus Line 24</t>
  </si>
  <si>
    <t>Used to allocate property insurance in conformance with the TO5 Formula Rate Mechanism.</t>
  </si>
  <si>
    <t xml:space="preserve"> 12 Months Ending December 31, 2018</t>
  </si>
  <si>
    <t>This amount represents the Direct Maintenance and Non-Direct O&amp;M expenses billed to Citizens in 2018, which is added back to derive Total Adjusted Electric</t>
  </si>
  <si>
    <t>This amount represents the Non-Direct A&amp;G expenses billed to Citizens in 2018, which is added back to derive Total Adjusted A&amp;G Expenses in SAP</t>
  </si>
  <si>
    <t>Page 3 and Page 4, Line 1</t>
  </si>
  <si>
    <t>Page 3 and Page 4, Line 3</t>
  </si>
  <si>
    <t>Page 3 and Page 4, Line 5</t>
  </si>
  <si>
    <t>Page 3 and Page 4, Line 9</t>
  </si>
  <si>
    <t>Page 3 and Page 4, Line 11</t>
  </si>
  <si>
    <t>Page 3 and Page 4, Line 15</t>
  </si>
  <si>
    <t>Page 3 and Page 4, Line 20</t>
  </si>
  <si>
    <t>Page 3 and Page 4, Line 22</t>
  </si>
  <si>
    <t>Page 3 and Page 4, Line 24</t>
  </si>
  <si>
    <t>Page 3 and Page 4, Line 28</t>
  </si>
  <si>
    <t>Page 3 and Page 4, Line 30</t>
  </si>
  <si>
    <t>Page 3 and Page 4, Line 32</t>
  </si>
  <si>
    <t>Page 3 and Page 4, Line 38</t>
  </si>
  <si>
    <t>Represents reclassification of 2018 3P (People, Process, Priorities) project costs from O&amp;M FERC accounts 560, 580 and 588 to A&amp;G FERC 923, in 2020.</t>
  </si>
  <si>
    <t xml:space="preserve">In this Appendix XII Cycle 4  Informational Filing, SDG&amp;E is correcting Appendix XII Cycle 2 for approximately ($3K) for a 2018 adjustment to O&amp;M and A&amp;G. </t>
  </si>
  <si>
    <t>Represents reclassification of 2018 3P (People, Process, Priorities) project costs from O&amp;M FERC account 560 to A&amp;G FERC account 923, in 2020. This correction is reflected as an</t>
  </si>
  <si>
    <t>"Other Adjustments" in Appendix XII Cycle 4.</t>
  </si>
  <si>
    <t>This correction is reflected as an "Other Adjustments" in Appendix XII Cycle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</si>
</sst>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_);_(&quot;$&quot;* \(#,##0.0\);_(&quot;$&quot;* &quot;-&quot;??_);_(@_)"/>
    <numFmt numFmtId="167" formatCode="0.00000%"/>
    <numFmt numFmtId="168" formatCode="#,##0.0_);\(#,##0.0\)"/>
    <numFmt numFmtId="169" formatCode="0.0000%"/>
    <numFmt numFmtId="170" formatCode="0.000000"/>
    <numFmt numFmtId="171" formatCode="_(&quot;$&quot;* #,##0.000_);_(&quot;$&quot;* \(#,##0.000\);_(&quot;$&quot;* &quot;-&quot;??_);_(@_)"/>
    <numFmt numFmtId="172" formatCode="_(* #,##0.000_);_(* \(#,##0.000\);_(* &quot;-&quot;??_);_(@_)"/>
    <numFmt numFmtId="173" formatCode="0_);\(0\)"/>
    <numFmt numFmtId="174" formatCode="00000"/>
    <numFmt numFmtId="175" formatCode="0.0%"/>
    <numFmt numFmtId="176" formatCode="_(&quot;$&quot;* #,##0,_);_(&quot;$&quot;* \(#,##0,\);_(&quot;$&quot;* &quot;-&quot;??_);_(@_)"/>
    <numFmt numFmtId="177" formatCode="&quot;$&quot;#,##0,_);[Red]\(&quot;$&quot;#,##0,\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vertAlign val="superscript"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u/>
      <sz val="12"/>
      <name val="Times New Roman"/>
      <family val="1"/>
    </font>
    <font>
      <i/>
      <sz val="12"/>
      <name val="Times New Roman"/>
      <family val="1"/>
    </font>
    <font>
      <b/>
      <i/>
      <u/>
      <sz val="12"/>
      <name val="Times New Roman"/>
      <family val="1"/>
    </font>
    <font>
      <sz val="12"/>
      <color rgb="FF0000FF"/>
      <name val="Times New Roman"/>
      <family val="1"/>
    </font>
    <font>
      <strike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u/>
      <vertAlign val="subscript"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ourier"/>
      <family val="3"/>
    </font>
    <font>
      <b/>
      <u val="singleAccounting"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sz val="12"/>
      <color rgb="FF0000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8" fillId="0" borderId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</cellStyleXfs>
  <cellXfs count="786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1" xfId="6" applyNumberFormat="1" applyFont="1" applyBorder="1"/>
    <xf numFmtId="165" fontId="7" fillId="0" borderId="0" xfId="6" applyNumberFormat="1" applyFont="1"/>
    <xf numFmtId="165" fontId="7" fillId="0" borderId="0" xfId="6" applyNumberFormat="1" applyFont="1" applyBorder="1"/>
    <xf numFmtId="0" fontId="11" fillId="0" borderId="0" xfId="4" applyFont="1" applyAlignment="1">
      <alignment horizontal="center"/>
    </xf>
    <xf numFmtId="0" fontId="9" fillId="0" borderId="0" xfId="4" applyFont="1"/>
    <xf numFmtId="0" fontId="9" fillId="0" borderId="0" xfId="0" applyFont="1"/>
    <xf numFmtId="0" fontId="9" fillId="0" borderId="11" xfId="0" applyFont="1" applyBorder="1"/>
    <xf numFmtId="37" fontId="9" fillId="0" borderId="0" xfId="0" applyNumberFormat="1" applyFont="1"/>
    <xf numFmtId="164" fontId="5" fillId="0" borderId="2" xfId="2" applyNumberFormat="1" applyFont="1" applyBorder="1"/>
    <xf numFmtId="164" fontId="9" fillId="0" borderId="0" xfId="0" applyNumberFormat="1" applyFont="1"/>
    <xf numFmtId="168" fontId="5" fillId="0" borderId="0" xfId="0" applyNumberFormat="1" applyFont="1" applyAlignment="1">
      <alignment horizontal="center" wrapText="1"/>
    </xf>
    <xf numFmtId="0" fontId="5" fillId="0" borderId="0" xfId="0" applyFont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65" fontId="9" fillId="0" borderId="0" xfId="0" applyNumberFormat="1" applyFont="1"/>
    <xf numFmtId="165" fontId="9" fillId="0" borderId="0" xfId="1" applyNumberFormat="1" applyFont="1" applyFill="1" applyBorder="1"/>
    <xf numFmtId="165" fontId="9" fillId="0" borderId="0" xfId="1" applyNumberFormat="1" applyFont="1" applyBorder="1"/>
    <xf numFmtId="164" fontId="5" fillId="0" borderId="0" xfId="2" applyNumberFormat="1" applyFont="1" applyFill="1" applyBorder="1"/>
    <xf numFmtId="164" fontId="9" fillId="0" borderId="0" xfId="2" applyNumberFormat="1" applyFont="1" applyFill="1" applyBorder="1"/>
    <xf numFmtId="164" fontId="5" fillId="0" borderId="2" xfId="2" applyNumberFormat="1" applyFont="1" applyFill="1" applyBorder="1"/>
    <xf numFmtId="165" fontId="9" fillId="2" borderId="1" xfId="1" applyNumberFormat="1" applyFont="1" applyFill="1" applyBorder="1" applyAlignment="1">
      <alignment horizontal="right" vertical="center"/>
    </xf>
    <xf numFmtId="0" fontId="9" fillId="0" borderId="0" xfId="2" applyNumberFormat="1" applyFont="1" applyAlignment="1">
      <alignment horizontal="center" vertical="center"/>
    </xf>
    <xf numFmtId="164" fontId="9" fillId="2" borderId="0" xfId="2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5" fontId="9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9" fillId="3" borderId="0" xfId="2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Border="1" applyAlignment="1" applyProtection="1">
      <alignment vertical="center"/>
      <protection locked="0"/>
    </xf>
    <xf numFmtId="164" fontId="5" fillId="0" borderId="19" xfId="2" applyNumberFormat="1" applyFont="1" applyBorder="1" applyAlignment="1">
      <alignment vertical="center"/>
    </xf>
    <xf numFmtId="165" fontId="9" fillId="0" borderId="0" xfId="1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5" fillId="0" borderId="0" xfId="2" applyNumberFormat="1" applyFont="1" applyFill="1" applyBorder="1" applyAlignment="1" applyProtection="1">
      <alignment vertical="center"/>
      <protection locked="0"/>
    </xf>
    <xf numFmtId="164" fontId="5" fillId="0" borderId="19" xfId="2" applyNumberFormat="1" applyFont="1" applyBorder="1" applyAlignment="1">
      <alignment horizontal="right" vertical="center"/>
    </xf>
    <xf numFmtId="164" fontId="5" fillId="0" borderId="2" xfId="2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Border="1" applyAlignment="1">
      <alignment horizontal="right" vertical="center"/>
    </xf>
    <xf numFmtId="5" fontId="9" fillId="0" borderId="0" xfId="0" applyNumberFormat="1" applyFont="1" applyAlignment="1">
      <alignment horizontal="right" vertical="center"/>
    </xf>
    <xf numFmtId="165" fontId="9" fillId="4" borderId="0" xfId="1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horizontal="right" vertical="center"/>
    </xf>
    <xf numFmtId="0" fontId="9" fillId="0" borderId="0" xfId="2" applyNumberFormat="1" applyFont="1" applyFill="1" applyAlignment="1">
      <alignment horizontal="center" vertical="center"/>
    </xf>
    <xf numFmtId="164" fontId="9" fillId="0" borderId="17" xfId="2" applyNumberFormat="1" applyFont="1" applyBorder="1" applyAlignment="1">
      <alignment horizontal="right" vertical="center"/>
    </xf>
    <xf numFmtId="164" fontId="9" fillId="0" borderId="0" xfId="2" applyNumberFormat="1" applyFont="1" applyFill="1" applyAlignment="1">
      <alignment vertical="center"/>
    </xf>
    <xf numFmtId="5" fontId="9" fillId="0" borderId="0" xfId="11" applyNumberFormat="1" applyFont="1" applyAlignment="1">
      <alignment horizontal="center" vertical="center"/>
    </xf>
    <xf numFmtId="164" fontId="9" fillId="0" borderId="17" xfId="2" applyNumberFormat="1" applyFont="1" applyBorder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10" fontId="9" fillId="0" borderId="2" xfId="2" applyNumberFormat="1" applyFont="1" applyBorder="1" applyAlignment="1">
      <alignment horizontal="right" vertical="center"/>
    </xf>
    <xf numFmtId="164" fontId="9" fillId="0" borderId="0" xfId="0" applyNumberFormat="1" applyFont="1" applyAlignment="1" applyProtection="1">
      <alignment horizontal="right" vertical="center"/>
      <protection locked="0"/>
    </xf>
    <xf numFmtId="0" fontId="19" fillId="0" borderId="1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49" fontId="9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165" fontId="9" fillId="0" borderId="0" xfId="1" quotePrefix="1" applyNumberFormat="1" applyFont="1" applyBorder="1" applyAlignment="1">
      <alignment horizontal="centerContinuous" vertical="center"/>
    </xf>
    <xf numFmtId="49" fontId="5" fillId="0" borderId="20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2" xfId="0" quotePrefix="1" applyFont="1" applyBorder="1" applyAlignment="1">
      <alignment horizontal="center" vertical="center"/>
    </xf>
    <xf numFmtId="165" fontId="5" fillId="0" borderId="12" xfId="1" quotePrefix="1" applyNumberFormat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21" xfId="0" quotePrefix="1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49" fontId="5" fillId="0" borderId="22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49" fontId="9" fillId="0" borderId="22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38" fontId="5" fillId="0" borderId="14" xfId="1" applyNumberFormat="1" applyFont="1" applyBorder="1" applyAlignment="1">
      <alignment vertical="center"/>
    </xf>
    <xf numFmtId="38" fontId="5" fillId="0" borderId="0" xfId="1" applyNumberFormat="1" applyFont="1" applyBorder="1" applyAlignment="1">
      <alignment vertical="center"/>
    </xf>
    <xf numFmtId="38" fontId="5" fillId="0" borderId="11" xfId="1" applyNumberFormat="1" applyFont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164" fontId="9" fillId="0" borderId="14" xfId="2" applyNumberFormat="1" applyFont="1" applyFill="1" applyBorder="1" applyAlignment="1">
      <alignment vertical="center"/>
    </xf>
    <xf numFmtId="38" fontId="9" fillId="0" borderId="11" xfId="1" applyNumberFormat="1" applyFont="1" applyBorder="1" applyAlignment="1">
      <alignment horizontal="center" vertical="center"/>
    </xf>
    <xf numFmtId="165" fontId="9" fillId="0" borderId="14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5" fontId="9" fillId="0" borderId="15" xfId="1" applyNumberFormat="1" applyFont="1" applyFill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165" fontId="5" fillId="0" borderId="14" xfId="1" applyNumberFormat="1" applyFont="1" applyFill="1" applyBorder="1" applyAlignment="1">
      <alignment vertical="center"/>
    </xf>
    <xf numFmtId="49" fontId="9" fillId="0" borderId="26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4" fontId="9" fillId="0" borderId="9" xfId="2" applyNumberFormat="1" applyFont="1" applyFill="1" applyBorder="1" applyAlignment="1">
      <alignment vertical="center"/>
    </xf>
    <xf numFmtId="164" fontId="9" fillId="0" borderId="3" xfId="2" applyNumberFormat="1" applyFont="1" applyFill="1" applyBorder="1" applyAlignment="1">
      <alignment vertical="center"/>
    </xf>
    <xf numFmtId="0" fontId="19" fillId="0" borderId="27" xfId="0" applyFont="1" applyBorder="1" applyAlignment="1">
      <alignment horizontal="center"/>
    </xf>
    <xf numFmtId="164" fontId="5" fillId="0" borderId="28" xfId="2" applyNumberFormat="1" applyFont="1" applyFill="1" applyBorder="1" applyAlignment="1">
      <alignment vertical="center"/>
    </xf>
    <xf numFmtId="38" fontId="9" fillId="0" borderId="8" xfId="1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166" fontId="9" fillId="0" borderId="14" xfId="1" applyNumberFormat="1" applyFont="1" applyFill="1" applyBorder="1" applyAlignment="1">
      <alignment vertical="center"/>
    </xf>
    <xf numFmtId="166" fontId="9" fillId="0" borderId="0" xfId="1" applyNumberFormat="1" applyFont="1" applyFill="1" applyBorder="1" applyAlignment="1">
      <alignment vertical="center"/>
    </xf>
    <xf numFmtId="166" fontId="9" fillId="0" borderId="15" xfId="1" applyNumberFormat="1" applyFont="1" applyFill="1" applyBorder="1" applyAlignment="1">
      <alignment vertical="center"/>
    </xf>
    <xf numFmtId="164" fontId="9" fillId="0" borderId="15" xfId="2" applyNumberFormat="1" applyFont="1" applyFill="1" applyBorder="1" applyAlignment="1">
      <alignment vertical="center"/>
    </xf>
    <xf numFmtId="165" fontId="9" fillId="0" borderId="25" xfId="1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4" fontId="5" fillId="0" borderId="25" xfId="2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23" xfId="2" applyNumberFormat="1" applyFont="1" applyFill="1" applyBorder="1" applyAlignment="1">
      <alignment vertical="center"/>
    </xf>
    <xf numFmtId="164" fontId="5" fillId="0" borderId="14" xfId="2" applyNumberFormat="1" applyFont="1" applyFill="1" applyBorder="1" applyAlignment="1">
      <alignment vertical="center"/>
    </xf>
    <xf numFmtId="164" fontId="5" fillId="0" borderId="16" xfId="2" applyNumberFormat="1" applyFont="1" applyFill="1" applyBorder="1" applyAlignment="1">
      <alignment vertical="center"/>
    </xf>
    <xf numFmtId="0" fontId="19" fillId="0" borderId="29" xfId="0" applyFont="1" applyBorder="1" applyAlignment="1">
      <alignment horizontal="center"/>
    </xf>
    <xf numFmtId="164" fontId="5" fillId="0" borderId="30" xfId="2" applyNumberFormat="1" applyFont="1" applyFill="1" applyBorder="1" applyAlignment="1">
      <alignment vertical="center"/>
    </xf>
    <xf numFmtId="49" fontId="9" fillId="0" borderId="26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166" fontId="9" fillId="0" borderId="9" xfId="0" applyNumberFormat="1" applyFont="1" applyBorder="1" applyAlignment="1">
      <alignment vertical="center"/>
    </xf>
    <xf numFmtId="166" fontId="9" fillId="0" borderId="9" xfId="1" applyNumberFormat="1" applyFont="1" applyFill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49" fontId="9" fillId="0" borderId="10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vertical="center"/>
    </xf>
    <xf numFmtId="0" fontId="9" fillId="0" borderId="11" xfId="0" applyFont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49" fontId="9" fillId="0" borderId="7" xfId="0" applyNumberFormat="1" applyFont="1" applyBorder="1" applyAlignment="1">
      <alignment horizontal="center" vertical="center"/>
    </xf>
    <xf numFmtId="165" fontId="9" fillId="0" borderId="3" xfId="1" applyNumberFormat="1" applyFont="1" applyBorder="1" applyAlignment="1">
      <alignment vertical="center"/>
    </xf>
    <xf numFmtId="49" fontId="9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vertical="center"/>
    </xf>
    <xf numFmtId="37" fontId="9" fillId="0" borderId="3" xfId="0" applyNumberFormat="1" applyFont="1" applyBorder="1" applyAlignment="1">
      <alignment vertical="center"/>
    </xf>
    <xf numFmtId="37" fontId="5" fillId="0" borderId="20" xfId="0" applyNumberFormat="1" applyFont="1" applyBorder="1" applyAlignment="1">
      <alignment horizontal="center" vertical="center"/>
    </xf>
    <xf numFmtId="37" fontId="5" fillId="0" borderId="6" xfId="0" applyNumberFormat="1" applyFont="1" applyBorder="1" applyAlignment="1">
      <alignment vertical="center"/>
    </xf>
    <xf numFmtId="37" fontId="5" fillId="0" borderId="12" xfId="0" quotePrefix="1" applyNumberFormat="1" applyFont="1" applyBorder="1" applyAlignment="1">
      <alignment horizontal="center" vertical="center"/>
    </xf>
    <xf numFmtId="37" fontId="5" fillId="0" borderId="6" xfId="0" quotePrefix="1" applyNumberFormat="1" applyFont="1" applyBorder="1" applyAlignment="1">
      <alignment horizontal="center" vertical="center"/>
    </xf>
    <xf numFmtId="37" fontId="5" fillId="0" borderId="5" xfId="0" quotePrefix="1" applyNumberFormat="1" applyFont="1" applyBorder="1" applyAlignment="1">
      <alignment horizontal="center" vertical="center"/>
    </xf>
    <xf numFmtId="37" fontId="5" fillId="0" borderId="22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5" fillId="0" borderId="14" xfId="16" applyNumberFormat="1" applyFont="1" applyBorder="1" applyAlignment="1">
      <alignment horizontal="center" vertical="center"/>
    </xf>
    <xf numFmtId="37" fontId="5" fillId="0" borderId="0" xfId="16" applyNumberFormat="1" applyFont="1" applyAlignment="1">
      <alignment horizontal="center" vertical="center"/>
    </xf>
    <xf numFmtId="37" fontId="5" fillId="0" borderId="11" xfId="0" quotePrefix="1" applyNumberFormat="1" applyFont="1" applyBorder="1" applyAlignment="1">
      <alignment horizontal="center" vertical="center"/>
    </xf>
    <xf numFmtId="37" fontId="5" fillId="0" borderId="26" xfId="0" applyNumberFormat="1" applyFont="1" applyBorder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37" fontId="5" fillId="0" borderId="9" xfId="16" applyNumberFormat="1" applyFont="1" applyBorder="1" applyAlignment="1">
      <alignment horizontal="center" vertical="center"/>
    </xf>
    <xf numFmtId="37" fontId="5" fillId="0" borderId="3" xfId="16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37" fontId="5" fillId="0" borderId="8" xfId="0" applyNumberFormat="1" applyFont="1" applyBorder="1" applyAlignment="1">
      <alignment horizontal="center" vertical="center"/>
    </xf>
    <xf numFmtId="37" fontId="9" fillId="0" borderId="22" xfId="0" applyNumberFormat="1" applyFont="1" applyBorder="1" applyAlignment="1">
      <alignment horizontal="center" vertical="center"/>
    </xf>
    <xf numFmtId="37" fontId="22" fillId="0" borderId="0" xfId="0" applyNumberFormat="1" applyFont="1" applyAlignment="1">
      <alignment vertical="center"/>
    </xf>
    <xf numFmtId="37" fontId="9" fillId="0" borderId="14" xfId="16" applyNumberFormat="1" applyFont="1" applyBorder="1" applyAlignment="1">
      <alignment horizontal="center" vertical="center"/>
    </xf>
    <xf numFmtId="37" fontId="9" fillId="0" borderId="0" xfId="16" applyNumberFormat="1" applyFont="1" applyAlignment="1">
      <alignment horizontal="center" vertical="center"/>
    </xf>
    <xf numFmtId="37" fontId="9" fillId="0" borderId="12" xfId="16" applyNumberFormat="1" applyFont="1" applyBorder="1" applyAlignment="1">
      <alignment horizontal="center" vertical="center"/>
    </xf>
    <xf numFmtId="37" fontId="9" fillId="0" borderId="11" xfId="16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left" vertical="center"/>
    </xf>
    <xf numFmtId="43" fontId="9" fillId="0" borderId="0" xfId="1" applyFont="1" applyAlignment="1">
      <alignment vertical="center"/>
    </xf>
    <xf numFmtId="39" fontId="9" fillId="0" borderId="0" xfId="0" applyNumberFormat="1" applyFont="1" applyAlignment="1">
      <alignment vertical="center"/>
    </xf>
    <xf numFmtId="43" fontId="9" fillId="0" borderId="0" xfId="1" applyFont="1" applyFill="1" applyAlignment="1">
      <alignment vertical="center"/>
    </xf>
    <xf numFmtId="165" fontId="9" fillId="0" borderId="14" xfId="1" applyNumberFormat="1" applyFont="1" applyFill="1" applyBorder="1" applyAlignment="1">
      <alignment horizontal="right" vertical="center"/>
    </xf>
    <xf numFmtId="168" fontId="9" fillId="0" borderId="22" xfId="0" applyNumberFormat="1" applyFont="1" applyBorder="1" applyAlignment="1">
      <alignment horizontal="center" vertical="center"/>
    </xf>
    <xf numFmtId="43" fontId="9" fillId="0" borderId="0" xfId="1" applyFont="1" applyBorder="1" applyAlignment="1">
      <alignment vertical="center"/>
    </xf>
    <xf numFmtId="37" fontId="9" fillId="0" borderId="14" xfId="0" applyNumberFormat="1" applyFont="1" applyBorder="1" applyAlignment="1">
      <alignment vertical="center"/>
    </xf>
    <xf numFmtId="37" fontId="9" fillId="0" borderId="11" xfId="0" applyNumberFormat="1" applyFont="1" applyBorder="1" applyAlignment="1">
      <alignment vertical="center"/>
    </xf>
    <xf numFmtId="164" fontId="5" fillId="0" borderId="16" xfId="2" applyNumberFormat="1" applyFont="1" applyBorder="1" applyAlignment="1">
      <alignment vertical="center"/>
    </xf>
    <xf numFmtId="37" fontId="9" fillId="0" borderId="11" xfId="0" applyNumberFormat="1" applyFont="1" applyBorder="1" applyAlignment="1">
      <alignment horizontal="center" vertical="center"/>
    </xf>
    <xf numFmtId="37" fontId="9" fillId="0" borderId="26" xfId="0" applyNumberFormat="1" applyFont="1" applyBorder="1" applyAlignment="1">
      <alignment vertical="center"/>
    </xf>
    <xf numFmtId="37" fontId="9" fillId="0" borderId="9" xfId="1" applyNumberFormat="1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7" fontId="9" fillId="0" borderId="8" xfId="0" applyNumberFormat="1" applyFont="1" applyBorder="1" applyAlignment="1">
      <alignment vertical="center"/>
    </xf>
    <xf numFmtId="37" fontId="18" fillId="0" borderId="10" xfId="0" applyNumberFormat="1" applyFont="1" applyBorder="1" applyAlignment="1">
      <alignment horizontal="left" vertical="center"/>
    </xf>
    <xf numFmtId="37" fontId="9" fillId="0" borderId="10" xfId="11" applyNumberFormat="1" applyFont="1" applyBorder="1" applyAlignment="1">
      <alignment horizontal="center"/>
    </xf>
    <xf numFmtId="37" fontId="9" fillId="0" borderId="0" xfId="0" applyNumberFormat="1" applyFont="1" applyAlignment="1">
      <alignment horizontal="center"/>
    </xf>
    <xf numFmtId="37" fontId="9" fillId="0" borderId="0" xfId="0" applyNumberFormat="1" applyFont="1" applyAlignment="1">
      <alignment vertical="top"/>
    </xf>
    <xf numFmtId="37" fontId="23" fillId="0" borderId="0" xfId="0" applyNumberFormat="1" applyFont="1"/>
    <xf numFmtId="37" fontId="9" fillId="0" borderId="10" xfId="11" applyNumberFormat="1" applyFont="1" applyBorder="1" applyAlignment="1">
      <alignment horizontal="center" vertical="top"/>
    </xf>
    <xf numFmtId="168" fontId="9" fillId="0" borderId="10" xfId="11" applyNumberFormat="1" applyFont="1" applyBorder="1" applyAlignment="1">
      <alignment horizontal="center" wrapText="1"/>
    </xf>
    <xf numFmtId="37" fontId="9" fillId="0" borderId="0" xfId="0" applyNumberFormat="1" applyFont="1" applyAlignment="1">
      <alignment wrapText="1"/>
    </xf>
    <xf numFmtId="37" fontId="9" fillId="0" borderId="10" xfId="0" applyNumberFormat="1" applyFont="1" applyBorder="1" applyAlignment="1">
      <alignment vertical="center"/>
    </xf>
    <xf numFmtId="37" fontId="5" fillId="0" borderId="0" xfId="0" applyNumberFormat="1" applyFont="1" applyAlignment="1">
      <alignment horizontal="left" vertical="center"/>
    </xf>
    <xf numFmtId="164" fontId="5" fillId="0" borderId="0" xfId="2" applyNumberFormat="1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37" fontId="9" fillId="0" borderId="7" xfId="0" applyNumberFormat="1" applyFont="1" applyBorder="1" applyAlignment="1">
      <alignment vertical="center"/>
    </xf>
    <xf numFmtId="37" fontId="9" fillId="0" borderId="3" xfId="0" applyNumberFormat="1" applyFont="1" applyBorder="1" applyAlignment="1">
      <alignment horizontal="left" vertical="center"/>
    </xf>
    <xf numFmtId="168" fontId="9" fillId="0" borderId="0" xfId="0" applyNumberFormat="1" applyFont="1" applyAlignment="1">
      <alignment vertical="center"/>
    </xf>
    <xf numFmtId="37" fontId="14" fillId="0" borderId="0" xfId="0" applyNumberFormat="1" applyFont="1" applyAlignment="1">
      <alignment horizontal="center" vertical="center"/>
    </xf>
    <xf numFmtId="0" fontId="9" fillId="0" borderId="0" xfId="11" applyFont="1" applyAlignment="1">
      <alignment vertical="center"/>
    </xf>
    <xf numFmtId="0" fontId="12" fillId="0" borderId="0" xfId="11" applyFont="1" applyAlignment="1">
      <alignment horizontal="center" vertical="center"/>
    </xf>
    <xf numFmtId="0" fontId="5" fillId="0" borderId="0" xfId="11" applyFont="1" applyAlignment="1">
      <alignment vertical="center"/>
    </xf>
    <xf numFmtId="5" fontId="5" fillId="0" borderId="0" xfId="11" applyNumberFormat="1" applyFont="1" applyAlignment="1" applyProtection="1">
      <alignment horizontal="center" vertical="center"/>
      <protection locked="0"/>
    </xf>
    <xf numFmtId="5" fontId="9" fillId="0" borderId="0" xfId="11" applyNumberFormat="1" applyFont="1" applyAlignment="1" applyProtection="1">
      <alignment vertical="center"/>
      <protection locked="0"/>
    </xf>
    <xf numFmtId="5" fontId="9" fillId="0" borderId="0" xfId="11" applyNumberFormat="1" applyFont="1" applyAlignment="1" applyProtection="1">
      <alignment horizontal="center" vertical="center"/>
      <protection locked="0"/>
    </xf>
    <xf numFmtId="10" fontId="9" fillId="0" borderId="0" xfId="11" applyNumberFormat="1" applyFont="1" applyAlignment="1" applyProtection="1">
      <alignment vertical="center"/>
      <protection locked="0"/>
    </xf>
    <xf numFmtId="10" fontId="9" fillId="0" borderId="0" xfId="11" applyNumberFormat="1" applyFont="1" applyAlignment="1" applyProtection="1">
      <alignment horizontal="center" vertical="center"/>
      <protection locked="0"/>
    </xf>
    <xf numFmtId="0" fontId="20" fillId="0" borderId="0" xfId="1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11" applyFont="1" applyAlignment="1">
      <alignment horizontal="left" vertical="center"/>
    </xf>
    <xf numFmtId="0" fontId="14" fillId="0" borderId="0" xfId="11" quotePrefix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19" xfId="2" applyNumberFormat="1" applyFont="1" applyBorder="1" applyAlignment="1">
      <alignment vertical="center"/>
    </xf>
    <xf numFmtId="0" fontId="24" fillId="0" borderId="0" xfId="0" applyFont="1" applyAlignment="1">
      <alignment horizontal="center" vertical="center" wrapText="1"/>
    </xf>
    <xf numFmtId="164" fontId="9" fillId="0" borderId="18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2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17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0" fontId="9" fillId="3" borderId="2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0" xfId="0" applyNumberFormat="1" applyFont="1" applyAlignment="1">
      <alignment vertical="center"/>
    </xf>
    <xf numFmtId="164" fontId="9" fillId="0" borderId="17" xfId="0" applyNumberFormat="1" applyFont="1" applyBorder="1" applyAlignment="1">
      <alignment vertical="center"/>
    </xf>
    <xf numFmtId="10" fontId="9" fillId="0" borderId="2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0" fontId="20" fillId="0" borderId="3" xfId="0" applyFont="1" applyBorder="1" applyAlignment="1">
      <alignment vertical="center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170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169" fontId="9" fillId="0" borderId="0" xfId="3" applyNumberFormat="1" applyFont="1" applyAlignment="1">
      <alignment horizontal="right" vertical="center"/>
    </xf>
    <xf numFmtId="169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70" fontId="9" fillId="0" borderId="0" xfId="0" applyNumberFormat="1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 wrapText="1"/>
    </xf>
    <xf numFmtId="17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9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9" fontId="9" fillId="0" borderId="0" xfId="3" applyNumberFormat="1" applyFont="1" applyBorder="1" applyAlignment="1">
      <alignment horizontal="right" vertical="center"/>
    </xf>
    <xf numFmtId="169" fontId="9" fillId="0" borderId="2" xfId="3" applyNumberFormat="1" applyFont="1" applyBorder="1" applyAlignment="1">
      <alignment horizontal="right" vertical="center"/>
    </xf>
    <xf numFmtId="169" fontId="5" fillId="0" borderId="0" xfId="3" applyNumberFormat="1" applyFont="1" applyAlignment="1">
      <alignment horizontal="center" vertical="center"/>
    </xf>
    <xf numFmtId="164" fontId="9" fillId="4" borderId="0" xfId="2" applyNumberFormat="1" applyFont="1" applyFill="1" applyAlignment="1">
      <alignment horizontal="right" vertical="center"/>
    </xf>
    <xf numFmtId="169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169" fontId="9" fillId="0" borderId="2" xfId="0" applyNumberFormat="1" applyFont="1" applyBorder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7" fillId="0" borderId="0" xfId="4" applyFont="1" applyAlignment="1">
      <alignment wrapText="1"/>
    </xf>
    <xf numFmtId="0" fontId="9" fillId="0" borderId="0" xfId="19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11" applyFont="1"/>
    <xf numFmtId="0" fontId="5" fillId="0" borderId="3" xfId="11" applyFont="1" applyBorder="1"/>
    <xf numFmtId="0" fontId="9" fillId="0" borderId="11" xfId="11" applyFont="1" applyBorder="1" applyAlignment="1">
      <alignment horizontal="center" vertical="center"/>
    </xf>
    <xf numFmtId="0" fontId="5" fillId="0" borderId="20" xfId="11" applyFont="1" applyBorder="1" applyAlignment="1">
      <alignment horizontal="center"/>
    </xf>
    <xf numFmtId="0" fontId="5" fillId="0" borderId="12" xfId="11" applyFont="1" applyBorder="1" applyAlignment="1">
      <alignment horizontal="center"/>
    </xf>
    <xf numFmtId="0" fontId="5" fillId="0" borderId="5" xfId="11" applyFont="1" applyBorder="1" applyAlignment="1">
      <alignment horizontal="center"/>
    </xf>
    <xf numFmtId="0" fontId="9" fillId="0" borderId="10" xfId="11" applyFont="1" applyBorder="1" applyAlignment="1">
      <alignment horizontal="center" vertical="center"/>
    </xf>
    <xf numFmtId="0" fontId="5" fillId="0" borderId="1" xfId="11" applyFont="1" applyBorder="1" applyAlignment="1">
      <alignment horizontal="center"/>
    </xf>
    <xf numFmtId="0" fontId="5" fillId="0" borderId="24" xfId="11" applyFont="1" applyBorder="1"/>
    <xf numFmtId="10" fontId="5" fillId="0" borderId="14" xfId="20" applyNumberFormat="1" applyFont="1" applyBorder="1" applyAlignment="1">
      <alignment horizontal="center"/>
    </xf>
    <xf numFmtId="10" fontId="5" fillId="0" borderId="0" xfId="20" applyNumberFormat="1" applyFont="1" applyFill="1" applyBorder="1" applyAlignment="1">
      <alignment horizontal="center"/>
    </xf>
    <xf numFmtId="10" fontId="5" fillId="0" borderId="0" xfId="20" applyNumberFormat="1" applyFont="1" applyBorder="1" applyAlignment="1">
      <alignment horizontal="center"/>
    </xf>
    <xf numFmtId="0" fontId="9" fillId="0" borderId="23" xfId="11" applyFont="1" applyBorder="1" applyAlignment="1">
      <alignment horizontal="left"/>
    </xf>
    <xf numFmtId="164" fontId="9" fillId="2" borderId="14" xfId="21" applyNumberFormat="1" applyFont="1" applyFill="1" applyBorder="1" applyAlignment="1">
      <alignment horizontal="right" vertical="center"/>
    </xf>
    <xf numFmtId="164" fontId="9" fillId="0" borderId="0" xfId="21" applyNumberFormat="1" applyFont="1" applyFill="1" applyBorder="1" applyAlignment="1">
      <alignment horizontal="right" vertical="center"/>
    </xf>
    <xf numFmtId="41" fontId="9" fillId="0" borderId="0" xfId="13" applyNumberFormat="1" applyFont="1" applyBorder="1" applyAlignment="1">
      <alignment horizontal="center"/>
    </xf>
    <xf numFmtId="0" fontId="9" fillId="0" borderId="23" xfId="11" applyFont="1" applyBorder="1"/>
    <xf numFmtId="164" fontId="9" fillId="0" borderId="14" xfId="11" applyNumberFormat="1" applyFont="1" applyBorder="1" applyAlignment="1">
      <alignment horizontal="right" vertical="center"/>
    </xf>
    <xf numFmtId="164" fontId="9" fillId="0" borderId="0" xfId="11" applyNumberFormat="1" applyFont="1" applyAlignment="1">
      <alignment horizontal="right" vertical="center"/>
    </xf>
    <xf numFmtId="165" fontId="5" fillId="2" borderId="14" xfId="1" applyNumberFormat="1" applyFont="1" applyFill="1" applyBorder="1" applyAlignment="1">
      <alignment horizontal="right" vertical="center"/>
    </xf>
    <xf numFmtId="43" fontId="5" fillId="0" borderId="0" xfId="11" applyNumberFormat="1" applyFont="1" applyAlignment="1">
      <alignment horizontal="center"/>
    </xf>
    <xf numFmtId="0" fontId="9" fillId="0" borderId="0" xfId="11" applyFont="1" applyAlignment="1">
      <alignment horizontal="left"/>
    </xf>
    <xf numFmtId="165" fontId="9" fillId="0" borderId="0" xfId="1" applyNumberFormat="1" applyFont="1" applyFill="1" applyBorder="1" applyAlignment="1">
      <alignment horizontal="right" vertical="center"/>
    </xf>
    <xf numFmtId="0" fontId="5" fillId="0" borderId="0" xfId="11" applyFont="1" applyAlignment="1">
      <alignment horizontal="left"/>
    </xf>
    <xf numFmtId="0" fontId="5" fillId="0" borderId="23" xfId="11" applyFont="1" applyBorder="1" applyAlignment="1">
      <alignment horizontal="left" indent="2"/>
    </xf>
    <xf numFmtId="164" fontId="5" fillId="0" borderId="14" xfId="2" applyNumberFormat="1" applyFont="1" applyFill="1" applyBorder="1" applyAlignment="1">
      <alignment horizontal="right" vertical="center"/>
    </xf>
    <xf numFmtId="41" fontId="9" fillId="0" borderId="0" xfId="13" applyNumberFormat="1" applyFont="1" applyFill="1" applyBorder="1" applyAlignment="1">
      <alignment horizontal="center"/>
    </xf>
    <xf numFmtId="0" fontId="5" fillId="0" borderId="23" xfId="11" applyFont="1" applyBorder="1" applyAlignment="1">
      <alignment horizontal="left"/>
    </xf>
    <xf numFmtId="41" fontId="5" fillId="0" borderId="0" xfId="13" applyNumberFormat="1" applyFont="1" applyBorder="1" applyAlignment="1">
      <alignment horizontal="left"/>
    </xf>
    <xf numFmtId="41" fontId="5" fillId="0" borderId="0" xfId="13" applyNumberFormat="1" applyFont="1" applyFill="1" applyBorder="1" applyAlignment="1">
      <alignment horizontal="left"/>
    </xf>
    <xf numFmtId="164" fontId="9" fillId="0" borderId="14" xfId="11" applyNumberFormat="1" applyFont="1" applyBorder="1" applyAlignment="1">
      <alignment vertical="center"/>
    </xf>
    <xf numFmtId="164" fontId="9" fillId="0" borderId="0" xfId="11" applyNumberFormat="1" applyFont="1" applyAlignment="1">
      <alignment vertical="center"/>
    </xf>
    <xf numFmtId="0" fontId="10" fillId="0" borderId="0" xfId="11" applyFont="1" applyAlignment="1">
      <alignment horizontal="left"/>
    </xf>
    <xf numFmtId="171" fontId="5" fillId="0" borderId="14" xfId="11" applyNumberFormat="1" applyFont="1" applyBorder="1" applyAlignment="1">
      <alignment vertical="center"/>
    </xf>
    <xf numFmtId="171" fontId="5" fillId="0" borderId="0" xfId="11" applyNumberFormat="1" applyFont="1" applyAlignment="1">
      <alignment vertical="center"/>
    </xf>
    <xf numFmtId="164" fontId="5" fillId="0" borderId="16" xfId="21" applyNumberFormat="1" applyFont="1" applyBorder="1" applyAlignment="1">
      <alignment horizontal="right" vertical="center"/>
    </xf>
    <xf numFmtId="9" fontId="9" fillId="0" borderId="0" xfId="3" applyFont="1"/>
    <xf numFmtId="0" fontId="5" fillId="0" borderId="28" xfId="11" applyFont="1" applyBorder="1"/>
    <xf numFmtId="0" fontId="5" fillId="0" borderId="9" xfId="11" applyFont="1" applyBorder="1"/>
    <xf numFmtId="0" fontId="9" fillId="0" borderId="3" xfId="19" applyFont="1" applyBorder="1"/>
    <xf numFmtId="44" fontId="5" fillId="0" borderId="3" xfId="11" applyNumberFormat="1" applyFont="1" applyBorder="1"/>
    <xf numFmtId="0" fontId="5" fillId="0" borderId="23" xfId="11" applyFont="1" applyBorder="1" applyAlignment="1">
      <alignment horizontal="center"/>
    </xf>
    <xf numFmtId="0" fontId="5" fillId="0" borderId="23" xfId="11" applyFont="1" applyBorder="1"/>
    <xf numFmtId="171" fontId="9" fillId="0" borderId="14" xfId="21" applyNumberFormat="1" applyFont="1" applyFill="1" applyBorder="1" applyAlignment="1">
      <alignment horizontal="right"/>
    </xf>
    <xf numFmtId="171" fontId="9" fillId="0" borderId="0" xfId="21" applyNumberFormat="1" applyFont="1" applyFill="1" applyBorder="1" applyAlignment="1">
      <alignment horizontal="right"/>
    </xf>
    <xf numFmtId="171" fontId="9" fillId="0" borderId="14" xfId="11" applyNumberFormat="1" applyFont="1" applyBorder="1" applyAlignment="1">
      <alignment horizontal="right"/>
    </xf>
    <xf numFmtId="171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center"/>
    </xf>
    <xf numFmtId="172" fontId="5" fillId="0" borderId="14" xfId="1" applyNumberFormat="1" applyFont="1" applyFill="1" applyBorder="1" applyAlignment="1">
      <alignment horizontal="right"/>
    </xf>
    <xf numFmtId="165" fontId="9" fillId="0" borderId="14" xfId="1" applyNumberFormat="1" applyFont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43" fontId="9" fillId="0" borderId="0" xfId="11" applyNumberFormat="1" applyFont="1" applyAlignment="1">
      <alignment horizontal="center"/>
    </xf>
    <xf numFmtId="172" fontId="9" fillId="0" borderId="0" xfId="1" applyNumberFormat="1" applyFont="1" applyFill="1" applyBorder="1" applyAlignment="1">
      <alignment horizontal="right"/>
    </xf>
    <xf numFmtId="165" fontId="9" fillId="0" borderId="14" xfId="1" applyNumberFormat="1" applyFont="1" applyFill="1" applyBorder="1" applyAlignment="1">
      <alignment horizontal="right"/>
    </xf>
    <xf numFmtId="171" fontId="5" fillId="0" borderId="14" xfId="2" applyNumberFormat="1" applyFont="1" applyFill="1" applyBorder="1" applyAlignment="1">
      <alignment horizontal="right"/>
    </xf>
    <xf numFmtId="41" fontId="5" fillId="0" borderId="0" xfId="13" applyNumberFormat="1" applyFont="1" applyBorder="1" applyAlignment="1">
      <alignment horizontal="center"/>
    </xf>
    <xf numFmtId="172" fontId="9" fillId="0" borderId="14" xfId="1" applyNumberFormat="1" applyFont="1" applyFill="1" applyBorder="1" applyAlignment="1">
      <alignment horizontal="right"/>
    </xf>
    <xf numFmtId="165" fontId="9" fillId="0" borderId="14" xfId="1" applyNumberFormat="1" applyFont="1" applyBorder="1"/>
    <xf numFmtId="41" fontId="5" fillId="0" borderId="0" xfId="13" applyNumberFormat="1" applyFont="1" applyFill="1" applyBorder="1" applyAlignment="1">
      <alignment horizontal="center"/>
    </xf>
    <xf numFmtId="171" fontId="5" fillId="0" borderId="16" xfId="2" applyNumberFormat="1" applyFont="1" applyFill="1" applyBorder="1"/>
    <xf numFmtId="171" fontId="5" fillId="0" borderId="14" xfId="14" applyNumberFormat="1" applyFont="1" applyBorder="1"/>
    <xf numFmtId="171" fontId="5" fillId="0" borderId="0" xfId="14" applyNumberFormat="1" applyFont="1" applyFill="1" applyBorder="1"/>
    <xf numFmtId="41" fontId="5" fillId="0" borderId="0" xfId="13" applyNumberFormat="1" applyFont="1" applyFill="1" applyBorder="1"/>
    <xf numFmtId="165" fontId="9" fillId="0" borderId="0" xfId="22" applyNumberFormat="1" applyFont="1" applyFill="1" applyBorder="1"/>
    <xf numFmtId="165" fontId="5" fillId="0" borderId="0" xfId="14" applyNumberFormat="1" applyFont="1" applyFill="1" applyBorder="1"/>
    <xf numFmtId="164" fontId="5" fillId="0" borderId="16" xfId="21" applyNumberFormat="1" applyFont="1" applyBorder="1" applyAlignment="1">
      <alignment horizontal="right"/>
    </xf>
    <xf numFmtId="165" fontId="5" fillId="0" borderId="9" xfId="14" applyNumberFormat="1" applyFont="1" applyBorder="1"/>
    <xf numFmtId="165" fontId="5" fillId="0" borderId="3" xfId="14" applyNumberFormat="1" applyFont="1" applyFill="1" applyBorder="1"/>
    <xf numFmtId="0" fontId="5" fillId="0" borderId="3" xfId="11" applyFont="1" applyBorder="1" applyAlignment="1">
      <alignment horizontal="center"/>
    </xf>
    <xf numFmtId="0" fontId="5" fillId="0" borderId="21" xfId="11" applyFont="1" applyBorder="1" applyAlignment="1">
      <alignment horizontal="center"/>
    </xf>
    <xf numFmtId="0" fontId="5" fillId="0" borderId="13" xfId="11" applyFont="1" applyBorder="1" applyAlignment="1">
      <alignment horizontal="center"/>
    </xf>
    <xf numFmtId="10" fontId="5" fillId="0" borderId="23" xfId="20" applyNumberFormat="1" applyFont="1" applyBorder="1" applyAlignment="1">
      <alignment horizontal="center"/>
    </xf>
    <xf numFmtId="10" fontId="5" fillId="0" borderId="15" xfId="20" applyNumberFormat="1" applyFont="1" applyBorder="1" applyAlignment="1">
      <alignment horizontal="center"/>
    </xf>
    <xf numFmtId="164" fontId="9" fillId="2" borderId="23" xfId="21" applyNumberFormat="1" applyFont="1" applyFill="1" applyBorder="1" applyAlignment="1">
      <alignment horizontal="right" vertical="center"/>
    </xf>
    <xf numFmtId="41" fontId="9" fillId="0" borderId="15" xfId="13" applyNumberFormat="1" applyFont="1" applyBorder="1" applyAlignment="1">
      <alignment horizontal="center"/>
    </xf>
    <xf numFmtId="164" fontId="9" fillId="0" borderId="23" xfId="11" applyNumberFormat="1" applyFont="1" applyBorder="1" applyAlignment="1">
      <alignment horizontal="right" vertical="center"/>
    </xf>
    <xf numFmtId="0" fontId="5" fillId="0" borderId="15" xfId="11" applyFont="1" applyBorder="1" applyAlignment="1">
      <alignment horizontal="center"/>
    </xf>
    <xf numFmtId="165" fontId="9" fillId="2" borderId="23" xfId="1" applyNumberFormat="1" applyFont="1" applyFill="1" applyBorder="1" applyAlignment="1">
      <alignment horizontal="right" vertical="center"/>
    </xf>
    <xf numFmtId="43" fontId="5" fillId="0" borderId="15" xfId="11" applyNumberFormat="1" applyFont="1" applyBorder="1" applyAlignment="1">
      <alignment horizontal="center"/>
    </xf>
    <xf numFmtId="164" fontId="9" fillId="0" borderId="14" xfId="2" applyNumberFormat="1" applyFont="1" applyFill="1" applyBorder="1" applyAlignment="1">
      <alignment horizontal="right" vertical="center"/>
    </xf>
    <xf numFmtId="41" fontId="5" fillId="0" borderId="15" xfId="13" applyNumberFormat="1" applyFont="1" applyBorder="1" applyAlignment="1">
      <alignment horizontal="left"/>
    </xf>
    <xf numFmtId="165" fontId="9" fillId="2" borderId="14" xfId="1" applyNumberFormat="1" applyFont="1" applyFill="1" applyBorder="1" applyAlignment="1">
      <alignment horizontal="right" vertical="center"/>
    </xf>
    <xf numFmtId="41" fontId="5" fillId="0" borderId="15" xfId="13" applyNumberFormat="1" applyFont="1" applyFill="1" applyBorder="1" applyAlignment="1">
      <alignment horizontal="left"/>
    </xf>
    <xf numFmtId="41" fontId="9" fillId="0" borderId="15" xfId="13" applyNumberFormat="1" applyFont="1" applyFill="1" applyBorder="1" applyAlignment="1">
      <alignment horizontal="center"/>
    </xf>
    <xf numFmtId="0" fontId="5" fillId="0" borderId="27" xfId="11" applyFont="1" applyBorder="1"/>
    <xf numFmtId="171" fontId="9" fillId="0" borderId="23" xfId="21" applyNumberFormat="1" applyFont="1" applyFill="1" applyBorder="1" applyAlignment="1">
      <alignment horizontal="right"/>
    </xf>
    <xf numFmtId="171" fontId="9" fillId="0" borderId="23" xfId="11" applyNumberFormat="1" applyFont="1" applyBorder="1" applyAlignment="1">
      <alignment horizontal="right"/>
    </xf>
    <xf numFmtId="0" fontId="9" fillId="0" borderId="15" xfId="11" applyFont="1" applyBorder="1" applyAlignment="1">
      <alignment horizontal="center"/>
    </xf>
    <xf numFmtId="172" fontId="9" fillId="0" borderId="23" xfId="1" applyNumberFormat="1" applyFont="1" applyFill="1" applyBorder="1" applyAlignment="1">
      <alignment horizontal="right"/>
    </xf>
    <xf numFmtId="165" fontId="9" fillId="0" borderId="23" xfId="1" applyNumberFormat="1" applyFont="1" applyBorder="1" applyAlignment="1">
      <alignment horizontal="right"/>
    </xf>
    <xf numFmtId="43" fontId="9" fillId="0" borderId="15" xfId="11" applyNumberFormat="1" applyFont="1" applyBorder="1" applyAlignment="1">
      <alignment horizontal="center"/>
    </xf>
    <xf numFmtId="165" fontId="9" fillId="0" borderId="23" xfId="1" applyNumberFormat="1" applyFont="1" applyFill="1" applyBorder="1" applyAlignment="1">
      <alignment horizontal="right"/>
    </xf>
    <xf numFmtId="171" fontId="9" fillId="0" borderId="23" xfId="2" applyNumberFormat="1" applyFont="1" applyFill="1" applyBorder="1" applyAlignment="1">
      <alignment horizontal="right"/>
    </xf>
    <xf numFmtId="41" fontId="5" fillId="0" borderId="15" xfId="13" applyNumberFormat="1" applyFont="1" applyBorder="1" applyAlignment="1">
      <alignment horizontal="center"/>
    </xf>
    <xf numFmtId="41" fontId="5" fillId="0" borderId="15" xfId="13" applyNumberFormat="1" applyFont="1" applyFill="1" applyBorder="1" applyAlignment="1">
      <alignment horizontal="center"/>
    </xf>
    <xf numFmtId="41" fontId="5" fillId="0" borderId="15" xfId="13" applyNumberFormat="1" applyFont="1" applyFill="1" applyBorder="1"/>
    <xf numFmtId="165" fontId="5" fillId="0" borderId="15" xfId="14" applyNumberFormat="1" applyFont="1" applyFill="1" applyBorder="1"/>
    <xf numFmtId="164" fontId="9" fillId="0" borderId="16" xfId="21" applyNumberFormat="1" applyFont="1" applyBorder="1" applyAlignment="1">
      <alignment horizontal="right"/>
    </xf>
    <xf numFmtId="0" fontId="5" fillId="0" borderId="27" xfId="11" applyFont="1" applyBorder="1" applyAlignment="1">
      <alignment horizontal="center"/>
    </xf>
    <xf numFmtId="0" fontId="5" fillId="0" borderId="0" xfId="11" applyFont="1" applyBorder="1"/>
    <xf numFmtId="0" fontId="5" fillId="0" borderId="0" xfId="11" applyFont="1" applyBorder="1" applyAlignment="1">
      <alignment horizontal="center"/>
    </xf>
    <xf numFmtId="168" fontId="5" fillId="0" borderId="0" xfId="0" applyNumberFormat="1" applyFont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right" vertical="center"/>
    </xf>
    <xf numFmtId="164" fontId="9" fillId="0" borderId="0" xfId="2" applyNumberFormat="1" applyFont="1" applyFill="1" applyBorder="1" applyAlignment="1">
      <alignment horizontal="right" vertical="center"/>
    </xf>
    <xf numFmtId="164" fontId="9" fillId="2" borderId="0" xfId="21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right"/>
    </xf>
    <xf numFmtId="165" fontId="9" fillId="2" borderId="0" xfId="1" applyNumberFormat="1" applyFont="1" applyFill="1" applyAlignment="1">
      <alignment horizontal="center"/>
    </xf>
    <xf numFmtId="165" fontId="9" fillId="3" borderId="1" xfId="1" applyNumberFormat="1" applyFont="1" applyFill="1" applyBorder="1" applyAlignment="1">
      <alignment vertical="center"/>
    </xf>
    <xf numFmtId="165" fontId="5" fillId="0" borderId="0" xfId="0" applyNumberFormat="1" applyFont="1" applyAlignment="1">
      <alignment horizontal="center"/>
    </xf>
    <xf numFmtId="164" fontId="9" fillId="0" borderId="0" xfId="21" applyNumberFormat="1" applyFont="1" applyBorder="1" applyAlignment="1">
      <alignment horizontal="right" vertical="center"/>
    </xf>
    <xf numFmtId="164" fontId="9" fillId="0" borderId="2" xfId="21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center"/>
    </xf>
    <xf numFmtId="0" fontId="0" fillId="0" borderId="3" xfId="0" applyBorder="1"/>
    <xf numFmtId="0" fontId="16" fillId="0" borderId="3" xfId="0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5" fillId="0" borderId="19" xfId="11" applyFont="1" applyBorder="1"/>
    <xf numFmtId="0" fontId="9" fillId="0" borderId="0" xfId="11" applyFont="1" applyBorder="1" applyAlignment="1">
      <alignment horizontal="left"/>
    </xf>
    <xf numFmtId="0" fontId="9" fillId="0" borderId="0" xfId="11" applyFont="1" applyBorder="1"/>
    <xf numFmtId="0" fontId="5" fillId="0" borderId="0" xfId="11" applyFont="1" applyBorder="1" applyAlignment="1">
      <alignment horizontal="left" indent="2"/>
    </xf>
    <xf numFmtId="0" fontId="5" fillId="0" borderId="0" xfId="11" applyFont="1" applyBorder="1" applyAlignment="1">
      <alignment horizontal="left"/>
    </xf>
    <xf numFmtId="0" fontId="5" fillId="0" borderId="0" xfId="11" applyFont="1" applyBorder="1" applyAlignment="1">
      <alignment horizontal="center" vertical="center" wrapText="1"/>
    </xf>
    <xf numFmtId="164" fontId="9" fillId="0" borderId="0" xfId="11" applyNumberFormat="1" applyFont="1" applyBorder="1" applyAlignment="1">
      <alignment horizontal="right" vertical="center"/>
    </xf>
    <xf numFmtId="165" fontId="5" fillId="2" borderId="0" xfId="1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164" fontId="9" fillId="0" borderId="0" xfId="11" applyNumberFormat="1" applyFont="1" applyBorder="1" applyAlignment="1">
      <alignment vertical="center"/>
    </xf>
    <xf numFmtId="171" fontId="5" fillId="0" borderId="0" xfId="11" applyNumberFormat="1" applyFont="1" applyBorder="1" applyAlignment="1">
      <alignment vertical="center"/>
    </xf>
    <xf numFmtId="164" fontId="5" fillId="0" borderId="2" xfId="21" applyNumberFormat="1" applyFont="1" applyBorder="1" applyAlignment="1">
      <alignment horizontal="right" vertical="center"/>
    </xf>
    <xf numFmtId="0" fontId="5" fillId="0" borderId="32" xfId="11" applyFont="1" applyBorder="1"/>
    <xf numFmtId="168" fontId="5" fillId="0" borderId="0" xfId="11" applyNumberFormat="1" applyFont="1" applyAlignment="1">
      <alignment horizontal="center" wrapText="1"/>
    </xf>
    <xf numFmtId="0" fontId="5" fillId="0" borderId="0" xfId="11" applyFont="1" applyBorder="1" applyAlignment="1">
      <alignment horizontal="center" wrapText="1"/>
    </xf>
    <xf numFmtId="171" fontId="9" fillId="0" borderId="0" xfId="11" applyNumberFormat="1" applyFont="1" applyBorder="1" applyAlignment="1">
      <alignment horizontal="right"/>
    </xf>
    <xf numFmtId="172" fontId="5" fillId="0" borderId="0" xfId="1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71" fontId="5" fillId="0" borderId="0" xfId="2" applyNumberFormat="1" applyFont="1" applyFill="1" applyBorder="1" applyAlignment="1">
      <alignment horizontal="right"/>
    </xf>
    <xf numFmtId="171" fontId="5" fillId="0" borderId="0" xfId="2" applyNumberFormat="1" applyFont="1" applyFill="1" applyBorder="1"/>
    <xf numFmtId="171" fontId="5" fillId="0" borderId="0" xfId="14" applyNumberFormat="1" applyFont="1" applyBorder="1"/>
    <xf numFmtId="172" fontId="9" fillId="0" borderId="0" xfId="1" applyNumberFormat="1" applyFont="1" applyAlignment="1">
      <alignment horizontal="right"/>
    </xf>
    <xf numFmtId="172" fontId="9" fillId="0" borderId="1" xfId="1" applyNumberFormat="1" applyFont="1" applyFill="1" applyBorder="1" applyAlignment="1">
      <alignment horizontal="right"/>
    </xf>
    <xf numFmtId="172" fontId="9" fillId="0" borderId="0" xfId="1" applyNumberFormat="1" applyFont="1" applyAlignment="1">
      <alignment horizontal="center"/>
    </xf>
    <xf numFmtId="171" fontId="9" fillId="0" borderId="0" xfId="2" applyNumberFormat="1" applyFont="1" applyFill="1" applyBorder="1"/>
    <xf numFmtId="171" fontId="9" fillId="0" borderId="0" xfId="2" applyNumberFormat="1" applyFont="1" applyFill="1" applyBorder="1" applyAlignment="1">
      <alignment horizontal="right"/>
    </xf>
    <xf numFmtId="165" fontId="5" fillId="0" borderId="3" xfId="14" applyNumberFormat="1" applyFont="1" applyBorder="1"/>
    <xf numFmtId="164" fontId="5" fillId="0" borderId="2" xfId="21" applyNumberFormat="1" applyFont="1" applyBorder="1" applyAlignment="1">
      <alignment horizontal="right"/>
    </xf>
    <xf numFmtId="43" fontId="5" fillId="0" borderId="0" xfId="0" applyNumberFormat="1" applyFont="1" applyAlignment="1">
      <alignment horizontal="center"/>
    </xf>
    <xf numFmtId="44" fontId="5" fillId="0" borderId="0" xfId="0" applyNumberFormat="1" applyFont="1" applyAlignment="1">
      <alignment horizontal="center"/>
    </xf>
    <xf numFmtId="165" fontId="9" fillId="3" borderId="1" xfId="22" applyNumberFormat="1" applyFont="1" applyFill="1" applyBorder="1"/>
    <xf numFmtId="165" fontId="9" fillId="0" borderId="1" xfId="22" applyNumberFormat="1" applyFont="1" applyFill="1" applyBorder="1"/>
    <xf numFmtId="0" fontId="5" fillId="0" borderId="0" xfId="23" applyFont="1" applyAlignment="1">
      <alignment horizontal="center" vertical="center"/>
    </xf>
    <xf numFmtId="0" fontId="5" fillId="0" borderId="0" xfId="23" applyFont="1"/>
    <xf numFmtId="0" fontId="9" fillId="0" borderId="0" xfId="19" applyFont="1"/>
    <xf numFmtId="49" fontId="5" fillId="0" borderId="0" xfId="11" applyNumberFormat="1" applyFont="1" applyAlignment="1">
      <alignment horizontal="center" vertical="center"/>
    </xf>
    <xf numFmtId="0" fontId="9" fillId="0" borderId="0" xfId="19" applyFont="1" applyAlignment="1">
      <alignment vertical="center"/>
    </xf>
    <xf numFmtId="0" fontId="9" fillId="0" borderId="0" xfId="23" applyFont="1" applyAlignment="1">
      <alignment horizontal="center" vertical="center"/>
    </xf>
    <xf numFmtId="0" fontId="9" fillId="0" borderId="33" xfId="23" applyFont="1" applyBorder="1" applyAlignment="1">
      <alignment horizontal="center"/>
    </xf>
    <xf numFmtId="167" fontId="9" fillId="0" borderId="0" xfId="23" applyNumberFormat="1" applyFont="1" applyAlignment="1">
      <alignment horizontal="right"/>
    </xf>
    <xf numFmtId="0" fontId="18" fillId="0" borderId="0" xfId="23" applyFont="1"/>
    <xf numFmtId="0" fontId="9" fillId="0" borderId="0" xfId="23" applyFont="1"/>
    <xf numFmtId="0" fontId="9" fillId="0" borderId="0" xfId="23" applyFont="1" applyAlignment="1">
      <alignment vertical="center"/>
    </xf>
    <xf numFmtId="10" fontId="5" fillId="2" borderId="0" xfId="23" applyNumberFormat="1" applyFont="1" applyFill="1" applyAlignment="1">
      <alignment horizontal="right" vertical="center"/>
    </xf>
    <xf numFmtId="0" fontId="9" fillId="0" borderId="0" xfId="23" applyFont="1" applyAlignment="1">
      <alignment horizontal="center"/>
    </xf>
    <xf numFmtId="0" fontId="5" fillId="0" borderId="0" xfId="23" applyFont="1" applyAlignment="1">
      <alignment vertical="center"/>
    </xf>
    <xf numFmtId="167" fontId="9" fillId="0" borderId="0" xfId="23" applyNumberFormat="1" applyFont="1" applyAlignment="1">
      <alignment horizontal="right" vertical="center"/>
    </xf>
    <xf numFmtId="10" fontId="9" fillId="2" borderId="0" xfId="23" applyNumberFormat="1" applyFont="1" applyFill="1" applyAlignment="1">
      <alignment horizontal="right" vertical="center"/>
    </xf>
    <xf numFmtId="10" fontId="9" fillId="0" borderId="0" xfId="23" applyNumberFormat="1" applyFont="1" applyAlignment="1">
      <alignment horizontal="right"/>
    </xf>
    <xf numFmtId="167" fontId="9" fillId="0" borderId="0" xfId="23" applyNumberFormat="1" applyFont="1" applyAlignment="1">
      <alignment vertical="center"/>
    </xf>
    <xf numFmtId="167" fontId="9" fillId="0" borderId="0" xfId="23" applyNumberFormat="1" applyFont="1"/>
    <xf numFmtId="10" fontId="9" fillId="2" borderId="0" xfId="23" applyNumberFormat="1" applyFont="1" applyFill="1" applyAlignment="1">
      <alignment vertical="center"/>
    </xf>
    <xf numFmtId="0" fontId="5" fillId="0" borderId="0" xfId="23" applyFont="1" applyProtection="1">
      <protection locked="0"/>
    </xf>
    <xf numFmtId="0" fontId="5" fillId="0" borderId="0" xfId="23" applyFont="1" applyAlignment="1" applyProtection="1">
      <alignment vertical="center"/>
      <protection locked="0"/>
    </xf>
    <xf numFmtId="167" fontId="9" fillId="0" borderId="19" xfId="23" applyNumberFormat="1" applyFont="1" applyBorder="1" applyAlignment="1" applyProtection="1">
      <alignment horizontal="right" vertical="center"/>
      <protection locked="0"/>
    </xf>
    <xf numFmtId="167" fontId="9" fillId="0" borderId="0" xfId="23" applyNumberFormat="1" applyFont="1" applyAlignment="1" applyProtection="1">
      <alignment horizontal="right"/>
      <protection locked="0"/>
    </xf>
    <xf numFmtId="10" fontId="5" fillId="0" borderId="0" xfId="23" applyNumberFormat="1" applyFont="1" applyAlignment="1">
      <alignment horizontal="right" vertical="center"/>
    </xf>
    <xf numFmtId="167" fontId="9" fillId="0" borderId="0" xfId="23" quotePrefix="1" applyNumberFormat="1" applyFont="1" applyAlignment="1">
      <alignment horizontal="right" vertical="center"/>
    </xf>
    <xf numFmtId="167" fontId="9" fillId="0" borderId="0" xfId="23" quotePrefix="1" applyNumberFormat="1" applyFont="1" applyAlignment="1">
      <alignment horizontal="right"/>
    </xf>
    <xf numFmtId="169" fontId="9" fillId="3" borderId="0" xfId="23" applyNumberFormat="1" applyFont="1" applyFill="1" applyAlignment="1">
      <alignment horizontal="right" vertical="center"/>
    </xf>
    <xf numFmtId="10" fontId="9" fillId="0" borderId="0" xfId="3" quotePrefix="1" applyNumberFormat="1" applyFont="1" applyBorder="1" applyAlignment="1">
      <alignment horizontal="right"/>
    </xf>
    <xf numFmtId="167" fontId="5" fillId="0" borderId="19" xfId="23" quotePrefix="1" applyNumberFormat="1" applyFont="1" applyBorder="1" applyAlignment="1">
      <alignment horizontal="right" vertical="center"/>
    </xf>
    <xf numFmtId="167" fontId="5" fillId="0" borderId="0" xfId="23" quotePrefix="1" applyNumberFormat="1" applyFont="1" applyAlignment="1">
      <alignment horizontal="right"/>
    </xf>
    <xf numFmtId="10" fontId="5" fillId="0" borderId="2" xfId="23" quotePrefix="1" applyNumberFormat="1" applyFont="1" applyBorder="1" applyAlignment="1">
      <alignment horizontal="right" vertical="center"/>
    </xf>
    <xf numFmtId="0" fontId="18" fillId="0" borderId="0" xfId="23" applyFont="1" applyAlignment="1">
      <alignment vertical="center"/>
    </xf>
    <xf numFmtId="164" fontId="9" fillId="3" borderId="0" xfId="13" applyNumberFormat="1" applyFont="1" applyFill="1" applyAlignment="1" applyProtection="1">
      <alignment vertical="center"/>
      <protection locked="0"/>
    </xf>
    <xf numFmtId="10" fontId="18" fillId="0" borderId="19" xfId="23" applyNumberFormat="1" applyFont="1" applyBorder="1" applyAlignment="1">
      <alignment horizontal="right" vertical="center"/>
    </xf>
    <xf numFmtId="10" fontId="18" fillId="0" borderId="0" xfId="23" applyNumberFormat="1" applyFont="1" applyAlignment="1">
      <alignment horizontal="right"/>
    </xf>
    <xf numFmtId="164" fontId="9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5" fillId="0" borderId="0" xfId="23" applyFont="1" applyAlignment="1">
      <alignment horizontal="left" vertical="center"/>
    </xf>
    <xf numFmtId="173" fontId="9" fillId="0" borderId="0" xfId="23" applyNumberFormat="1" applyFont="1" applyAlignment="1">
      <alignment horizontal="left"/>
    </xf>
    <xf numFmtId="164" fontId="9" fillId="2" borderId="0" xfId="2" applyNumberFormat="1" applyFont="1" applyFill="1" applyBorder="1" applyAlignment="1" applyProtection="1">
      <alignment horizontal="right" vertical="center"/>
      <protection locked="0"/>
    </xf>
    <xf numFmtId="0" fontId="18" fillId="0" borderId="0" xfId="23" applyFont="1" applyAlignment="1">
      <alignment horizontal="center" vertical="center"/>
    </xf>
    <xf numFmtId="0" fontId="18" fillId="0" borderId="0" xfId="23" applyFont="1" applyAlignment="1">
      <alignment horizontal="center"/>
    </xf>
    <xf numFmtId="164" fontId="5" fillId="2" borderId="34" xfId="13" applyNumberFormat="1" applyFont="1" applyFill="1" applyBorder="1" applyAlignment="1" applyProtection="1">
      <alignment vertical="center"/>
      <protection locked="0"/>
    </xf>
    <xf numFmtId="10" fontId="9" fillId="0" borderId="0" xfId="3" applyNumberFormat="1" applyFont="1"/>
    <xf numFmtId="164" fontId="9" fillId="0" borderId="0" xfId="13" applyNumberFormat="1" applyFont="1" applyFill="1" applyBorder="1" applyAlignment="1" applyProtection="1">
      <alignment vertical="center"/>
      <protection locked="0"/>
    </xf>
    <xf numFmtId="164" fontId="9" fillId="0" borderId="0" xfId="13" applyNumberFormat="1" applyFont="1" applyFill="1" applyBorder="1" applyProtection="1">
      <protection locked="0"/>
    </xf>
    <xf numFmtId="10" fontId="5" fillId="0" borderId="0" xfId="24" applyNumberFormat="1" applyFont="1" applyBorder="1" applyAlignment="1">
      <alignment horizontal="right" vertical="center"/>
    </xf>
    <xf numFmtId="5" fontId="9" fillId="0" borderId="0" xfId="23" applyNumberFormat="1" applyFont="1" applyAlignment="1" applyProtection="1">
      <alignment horizontal="right" vertical="center"/>
      <protection locked="0"/>
    </xf>
    <xf numFmtId="5" fontId="9" fillId="0" borderId="0" xfId="23" applyNumberFormat="1" applyFont="1" applyAlignment="1" applyProtection="1">
      <alignment horizontal="right"/>
      <protection locked="0"/>
    </xf>
    <xf numFmtId="5" fontId="5" fillId="0" borderId="0" xfId="23" applyNumberFormat="1" applyFont="1" applyAlignment="1" applyProtection="1">
      <alignment horizontal="right" vertical="center"/>
      <protection locked="0"/>
    </xf>
    <xf numFmtId="5" fontId="5" fillId="0" borderId="0" xfId="23" applyNumberFormat="1" applyFont="1" applyAlignment="1" applyProtection="1">
      <alignment horizontal="right"/>
      <protection locked="0"/>
    </xf>
    <xf numFmtId="0" fontId="5" fillId="0" borderId="0" xfId="23" applyFont="1" applyAlignment="1">
      <alignment horizontal="left"/>
    </xf>
    <xf numFmtId="164" fontId="5" fillId="2" borderId="34" xfId="23" applyNumberFormat="1" applyFont="1" applyFill="1" applyBorder="1" applyAlignment="1" applyProtection="1">
      <alignment horizontal="right" vertical="center"/>
      <protection locked="0"/>
    </xf>
    <xf numFmtId="0" fontId="9" fillId="0" borderId="0" xfId="23" applyFont="1" applyAlignment="1">
      <alignment horizontal="left"/>
    </xf>
    <xf numFmtId="10" fontId="9" fillId="0" borderId="0" xfId="24" applyNumberFormat="1" applyFont="1" applyBorder="1" applyAlignment="1">
      <alignment horizontal="right" vertical="center"/>
    </xf>
    <xf numFmtId="10" fontId="5" fillId="0" borderId="0" xfId="24" applyNumberFormat="1" applyFont="1" applyBorder="1" applyAlignment="1">
      <alignment horizontal="right"/>
    </xf>
    <xf numFmtId="10" fontId="5" fillId="0" borderId="0" xfId="20" applyNumberFormat="1" applyFont="1" applyBorder="1" applyAlignment="1">
      <alignment vertical="center"/>
    </xf>
    <xf numFmtId="10" fontId="5" fillId="0" borderId="0" xfId="20" applyNumberFormat="1" applyFont="1" applyBorder="1"/>
    <xf numFmtId="164" fontId="9" fillId="2" borderId="34" xfId="23" applyNumberFormat="1" applyFont="1" applyFill="1" applyBorder="1" applyAlignment="1" applyProtection="1">
      <alignment horizontal="right" vertical="center"/>
      <protection locked="0"/>
    </xf>
    <xf numFmtId="10" fontId="5" fillId="0" borderId="0" xfId="24" applyNumberFormat="1" applyFont="1" applyAlignment="1" applyProtection="1">
      <alignment horizontal="right" vertical="center"/>
    </xf>
    <xf numFmtId="10" fontId="5" fillId="0" borderId="0" xfId="24" applyNumberFormat="1" applyFont="1" applyAlignment="1" applyProtection="1">
      <alignment horizontal="right"/>
    </xf>
    <xf numFmtId="0" fontId="20" fillId="0" borderId="0" xfId="23" applyFont="1"/>
    <xf numFmtId="164" fontId="9" fillId="2" borderId="0" xfId="23" applyNumberFormat="1" applyFont="1" applyFill="1" applyAlignment="1" applyProtection="1">
      <alignment horizontal="right" vertical="center"/>
      <protection locked="0"/>
    </xf>
    <xf numFmtId="165" fontId="9" fillId="2" borderId="0" xfId="1" applyNumberFormat="1" applyFont="1" applyFill="1" applyBorder="1" applyAlignment="1" applyProtection="1">
      <alignment horizontal="right" vertical="center"/>
      <protection locked="0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4" fontId="5" fillId="0" borderId="35" xfId="23" applyNumberFormat="1" applyFont="1" applyBorder="1" applyAlignment="1" applyProtection="1">
      <alignment horizontal="right" vertical="center"/>
      <protection locked="0"/>
    </xf>
    <xf numFmtId="164" fontId="5" fillId="0" borderId="0" xfId="23" applyNumberFormat="1" applyFont="1" applyAlignment="1" applyProtection="1">
      <alignment horizontal="right" vertical="center"/>
      <protection locked="0"/>
    </xf>
    <xf numFmtId="164" fontId="5" fillId="0" borderId="0" xfId="23" applyNumberFormat="1" applyFont="1" applyAlignment="1" applyProtection="1">
      <alignment horizontal="right"/>
      <protection locked="0"/>
    </xf>
    <xf numFmtId="169" fontId="9" fillId="2" borderId="0" xfId="20" applyNumberFormat="1" applyFont="1" applyFill="1" applyBorder="1" applyAlignment="1">
      <alignment horizontal="right" vertical="center"/>
    </xf>
    <xf numFmtId="164" fontId="5" fillId="0" borderId="36" xfId="23" applyNumberFormat="1" applyFont="1" applyBorder="1" applyAlignment="1" applyProtection="1">
      <alignment horizontal="right" vertical="center"/>
      <protection locked="0"/>
    </xf>
    <xf numFmtId="10" fontId="9" fillId="0" borderId="0" xfId="24" applyNumberFormat="1" applyFont="1" applyBorder="1" applyAlignment="1">
      <alignment horizontal="right"/>
    </xf>
    <xf numFmtId="0" fontId="10" fillId="0" borderId="0" xfId="23" applyFont="1"/>
    <xf numFmtId="0" fontId="12" fillId="0" borderId="0" xfId="19" applyFont="1"/>
    <xf numFmtId="165" fontId="9" fillId="2" borderId="36" xfId="1" applyNumberFormat="1" applyFont="1" applyFill="1" applyBorder="1" applyAlignment="1">
      <alignment horizontal="center" vertical="center"/>
    </xf>
    <xf numFmtId="0" fontId="12" fillId="0" borderId="0" xfId="0" applyFont="1"/>
    <xf numFmtId="165" fontId="29" fillId="0" borderId="0" xfId="14" applyNumberFormat="1" applyFont="1" applyBorder="1" applyAlignment="1">
      <alignment vertical="center"/>
    </xf>
    <xf numFmtId="165" fontId="29" fillId="0" borderId="0" xfId="14" applyNumberFormat="1" applyFont="1" applyBorder="1"/>
    <xf numFmtId="164" fontId="9" fillId="0" borderId="0" xfId="21" applyNumberFormat="1" applyFont="1" applyAlignment="1">
      <alignment vertical="center"/>
    </xf>
    <xf numFmtId="164" fontId="10" fillId="0" borderId="0" xfId="21" applyNumberFormat="1" applyFont="1"/>
    <xf numFmtId="0" fontId="12" fillId="0" borderId="0" xfId="23" applyFont="1"/>
    <xf numFmtId="164" fontId="12" fillId="0" borderId="0" xfId="21" applyNumberFormat="1" applyFont="1" applyAlignment="1">
      <alignment vertical="center"/>
    </xf>
    <xf numFmtId="0" fontId="12" fillId="0" borderId="0" xfId="23" applyFont="1" applyAlignment="1">
      <alignment horizontal="center"/>
    </xf>
    <xf numFmtId="169" fontId="9" fillId="0" borderId="34" xfId="3" applyNumberFormat="1" applyFont="1" applyFill="1" applyBorder="1" applyAlignment="1">
      <alignment vertical="center"/>
    </xf>
    <xf numFmtId="10" fontId="30" fillId="0" borderId="0" xfId="20" applyNumberFormat="1" applyFont="1" applyBorder="1" applyAlignment="1" applyProtection="1">
      <alignment vertical="center"/>
    </xf>
    <xf numFmtId="10" fontId="30" fillId="0" borderId="0" xfId="20" applyNumberFormat="1" applyFont="1" applyBorder="1" applyProtection="1"/>
    <xf numFmtId="164" fontId="10" fillId="0" borderId="0" xfId="21" applyNumberFormat="1" applyFont="1" applyBorder="1" applyAlignment="1">
      <alignment horizontal="right"/>
    </xf>
    <xf numFmtId="164" fontId="12" fillId="0" borderId="0" xfId="21" applyNumberFormat="1" applyFont="1" applyBorder="1" applyAlignment="1">
      <alignment horizontal="right" vertical="center"/>
    </xf>
    <xf numFmtId="164" fontId="9" fillId="2" borderId="34" xfId="2" applyNumberFormat="1" applyFont="1" applyFill="1" applyBorder="1" applyAlignment="1">
      <alignment horizontal="right" vertical="center"/>
    </xf>
    <xf numFmtId="0" fontId="10" fillId="0" borderId="0" xfId="23" applyFont="1" applyAlignment="1">
      <alignment vertical="center"/>
    </xf>
    <xf numFmtId="10" fontId="9" fillId="0" borderId="2" xfId="24" applyNumberFormat="1" applyFont="1" applyBorder="1" applyAlignment="1">
      <alignment horizontal="right" vertical="center"/>
    </xf>
    <xf numFmtId="10" fontId="10" fillId="0" borderId="0" xfId="24" applyNumberFormat="1" applyFont="1" applyBorder="1" applyAlignment="1">
      <alignment horizontal="right"/>
    </xf>
    <xf numFmtId="10" fontId="5" fillId="0" borderId="0" xfId="20" applyNumberFormat="1" applyFont="1"/>
    <xf numFmtId="165" fontId="9" fillId="0" borderId="34" xfId="1" applyNumberFormat="1" applyFont="1" applyFill="1" applyBorder="1" applyAlignment="1">
      <alignment vertical="center"/>
    </xf>
    <xf numFmtId="0" fontId="9" fillId="0" borderId="34" xfId="0" applyFont="1" applyBorder="1" applyAlignment="1">
      <alignment horizontal="center" vertical="center"/>
    </xf>
    <xf numFmtId="15" fontId="9" fillId="0" borderId="34" xfId="0" applyNumberFormat="1" applyFont="1" applyBorder="1" applyAlignment="1">
      <alignment horizontal="center" vertical="center"/>
    </xf>
    <xf numFmtId="0" fontId="20" fillId="0" borderId="0" xfId="11" applyFont="1"/>
    <xf numFmtId="0" fontId="9" fillId="0" borderId="0" xfId="11" applyFont="1"/>
    <xf numFmtId="0" fontId="20" fillId="0" borderId="0" xfId="11" applyFont="1" applyAlignment="1">
      <alignment horizontal="left"/>
    </xf>
    <xf numFmtId="5" fontId="9" fillId="0" borderId="0" xfId="0" applyNumberFormat="1" applyFont="1" applyAlignment="1">
      <alignment horizontal="left" vertical="center"/>
    </xf>
    <xf numFmtId="165" fontId="5" fillId="3" borderId="34" xfId="1" applyNumberFormat="1" applyFont="1" applyFill="1" applyBorder="1" applyAlignment="1" applyProtection="1">
      <alignment vertical="center"/>
      <protection locked="0"/>
    </xf>
    <xf numFmtId="165" fontId="9" fillId="3" borderId="34" xfId="1" applyNumberFormat="1" applyFont="1" applyFill="1" applyBorder="1" applyAlignment="1" applyProtection="1">
      <alignment vertical="center"/>
      <protection locked="0"/>
    </xf>
    <xf numFmtId="10" fontId="9" fillId="2" borderId="34" xfId="0" applyNumberFormat="1" applyFont="1" applyFill="1" applyBorder="1" applyAlignment="1">
      <alignment horizontal="right" vertical="center"/>
    </xf>
    <xf numFmtId="165" fontId="9" fillId="0" borderId="34" xfId="1" applyNumberFormat="1" applyFont="1" applyFill="1" applyBorder="1" applyAlignment="1" applyProtection="1">
      <alignment vertical="center"/>
      <protection locked="0"/>
    </xf>
    <xf numFmtId="164" fontId="5" fillId="0" borderId="2" xfId="2" applyNumberFormat="1" applyFont="1" applyFill="1" applyBorder="1" applyAlignment="1">
      <alignment horizontal="right" vertical="center"/>
    </xf>
    <xf numFmtId="165" fontId="9" fillId="2" borderId="34" xfId="1" applyNumberFormat="1" applyFont="1" applyFill="1" applyBorder="1" applyAlignment="1" applyProtection="1">
      <alignment horizontal="right" vertical="center"/>
    </xf>
    <xf numFmtId="165" fontId="9" fillId="2" borderId="34" xfId="1" applyNumberFormat="1" applyFont="1" applyFill="1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9" fillId="0" borderId="0" xfId="0" quotePrefix="1" applyFont="1" applyAlignment="1">
      <alignment horizontal="centerContinuous" vertical="center"/>
    </xf>
    <xf numFmtId="49" fontId="5" fillId="0" borderId="37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5" fontId="9" fillId="0" borderId="38" xfId="1" applyNumberFormat="1" applyFont="1" applyFill="1" applyBorder="1" applyAlignment="1">
      <alignment vertical="center"/>
    </xf>
    <xf numFmtId="165" fontId="9" fillId="0" borderId="41" xfId="1" applyNumberFormat="1" applyFont="1" applyFill="1" applyBorder="1" applyAlignment="1">
      <alignment vertical="center"/>
    </xf>
    <xf numFmtId="165" fontId="9" fillId="0" borderId="39" xfId="1" applyNumberFormat="1" applyFont="1" applyFill="1" applyBorder="1" applyAlignment="1">
      <alignment vertical="center"/>
    </xf>
    <xf numFmtId="164" fontId="5" fillId="0" borderId="9" xfId="2" applyNumberFormat="1" applyFont="1" applyFill="1" applyBorder="1" applyAlignment="1">
      <alignment vertical="center"/>
    </xf>
    <xf numFmtId="164" fontId="9" fillId="0" borderId="41" xfId="2" applyNumberFormat="1" applyFont="1" applyFill="1" applyBorder="1" applyAlignment="1">
      <alignment vertical="center"/>
    </xf>
    <xf numFmtId="164" fontId="9" fillId="0" borderId="39" xfId="2" applyNumberFormat="1" applyFont="1" applyFill="1" applyBorder="1" applyAlignment="1">
      <alignment vertical="center"/>
    </xf>
    <xf numFmtId="49" fontId="18" fillId="0" borderId="10" xfId="0" applyNumberFormat="1" applyFont="1" applyBorder="1"/>
    <xf numFmtId="166" fontId="9" fillId="0" borderId="0" xfId="0" applyNumberFormat="1" applyFont="1"/>
    <xf numFmtId="166" fontId="9" fillId="0" borderId="0" xfId="1" applyNumberFormat="1" applyFont="1" applyFill="1" applyBorder="1"/>
    <xf numFmtId="0" fontId="9" fillId="0" borderId="10" xfId="0" applyFont="1" applyBorder="1" applyAlignment="1">
      <alignment horizontal="center" vertical="center"/>
    </xf>
    <xf numFmtId="166" fontId="5" fillId="0" borderId="0" xfId="0" applyNumberFormat="1" applyFont="1"/>
    <xf numFmtId="0" fontId="9" fillId="0" borderId="0" xfId="27" applyFont="1"/>
    <xf numFmtId="49" fontId="9" fillId="0" borderId="10" xfId="0" applyNumberFormat="1" applyFont="1" applyBorder="1" applyAlignment="1">
      <alignment horizontal="center"/>
    </xf>
    <xf numFmtId="165" fontId="9" fillId="0" borderId="34" xfId="1" applyNumberFormat="1" applyFont="1" applyFill="1" applyBorder="1"/>
    <xf numFmtId="0" fontId="9" fillId="0" borderId="0" xfId="25" applyFont="1"/>
    <xf numFmtId="0" fontId="9" fillId="0" borderId="0" xfId="25" applyFont="1" applyAlignment="1">
      <alignment wrapText="1"/>
    </xf>
    <xf numFmtId="0" fontId="5" fillId="0" borderId="10" xfId="0" applyFont="1" applyBorder="1" applyAlignment="1">
      <alignment horizontal="left"/>
    </xf>
    <xf numFmtId="0" fontId="9" fillId="0" borderId="19" xfId="0" applyFont="1" applyBorder="1"/>
    <xf numFmtId="0" fontId="5" fillId="0" borderId="10" xfId="25" applyFont="1" applyBorder="1" applyAlignment="1">
      <alignment horizontal="left"/>
    </xf>
    <xf numFmtId="0" fontId="5" fillId="0" borderId="0" xfId="25" applyFont="1"/>
    <xf numFmtId="0" fontId="14" fillId="0" borderId="10" xfId="25" applyFont="1" applyBorder="1" applyAlignment="1">
      <alignment horizontal="center"/>
    </xf>
    <xf numFmtId="0" fontId="14" fillId="0" borderId="0" xfId="11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7" fontId="5" fillId="0" borderId="14" xfId="16" applyNumberFormat="1" applyFont="1" applyBorder="1" applyAlignment="1">
      <alignment horizontal="left" vertical="center"/>
    </xf>
    <xf numFmtId="164" fontId="5" fillId="0" borderId="14" xfId="2" applyNumberFormat="1" applyFont="1" applyBorder="1" applyAlignment="1">
      <alignment vertical="center"/>
    </xf>
    <xf numFmtId="37" fontId="9" fillId="0" borderId="0" xfId="1" applyNumberFormat="1" applyFont="1" applyBorder="1" applyAlignment="1">
      <alignment vertical="center"/>
    </xf>
    <xf numFmtId="37" fontId="9" fillId="0" borderId="0" xfId="1" applyNumberFormat="1" applyFont="1" applyFill="1" applyBorder="1" applyAlignment="1">
      <alignment vertical="center"/>
    </xf>
    <xf numFmtId="37" fontId="5" fillId="0" borderId="0" xfId="0" applyNumberFormat="1" applyFont="1" applyAlignment="1">
      <alignment horizontal="right" vertical="center"/>
    </xf>
    <xf numFmtId="37" fontId="5" fillId="0" borderId="11" xfId="0" applyNumberFormat="1" applyFont="1" applyBorder="1" applyAlignment="1">
      <alignment vertical="center"/>
    </xf>
    <xf numFmtId="0" fontId="25" fillId="0" borderId="10" xfId="25" applyFont="1" applyBorder="1" applyAlignment="1">
      <alignment horizontal="center"/>
    </xf>
    <xf numFmtId="37" fontId="5" fillId="0" borderId="0" xfId="28" applyNumberFormat="1" applyFont="1" applyAlignment="1" applyProtection="1">
      <alignment horizontal="center" vertical="center"/>
      <protection locked="0"/>
    </xf>
    <xf numFmtId="37" fontId="5" fillId="0" borderId="0" xfId="28" applyNumberFormat="1" applyFont="1" applyAlignment="1">
      <alignment vertical="center"/>
    </xf>
    <xf numFmtId="15" fontId="9" fillId="0" borderId="34" xfId="11" applyNumberFormat="1" applyFont="1" applyBorder="1" applyAlignment="1">
      <alignment horizontal="center" vertical="center"/>
    </xf>
    <xf numFmtId="0" fontId="9" fillId="0" borderId="34" xfId="11" applyFont="1" applyBorder="1" applyAlignment="1">
      <alignment horizontal="center" vertical="center"/>
    </xf>
    <xf numFmtId="164" fontId="9" fillId="0" borderId="0" xfId="13" applyNumberFormat="1" applyFont="1" applyBorder="1" applyAlignment="1" applyProtection="1">
      <alignment vertical="center"/>
      <protection locked="0"/>
    </xf>
    <xf numFmtId="10" fontId="9" fillId="2" borderId="34" xfId="11" applyNumberFormat="1" applyFont="1" applyFill="1" applyBorder="1" applyAlignment="1" applyProtection="1">
      <alignment horizontal="right" vertical="center"/>
      <protection locked="0"/>
    </xf>
    <xf numFmtId="164" fontId="9" fillId="0" borderId="0" xfId="13" applyNumberFormat="1" applyFont="1" applyBorder="1" applyAlignment="1" applyProtection="1">
      <alignment horizontal="right" vertical="center"/>
      <protection locked="0"/>
    </xf>
    <xf numFmtId="164" fontId="9" fillId="0" borderId="2" xfId="13" applyNumberFormat="1" applyFont="1" applyBorder="1" applyAlignment="1" applyProtection="1">
      <alignment horizontal="right" vertical="center"/>
      <protection locked="0"/>
    </xf>
    <xf numFmtId="165" fontId="9" fillId="0" borderId="0" xfId="29" applyNumberFormat="1" applyFont="1" applyBorder="1" applyAlignment="1">
      <alignment vertical="center"/>
    </xf>
    <xf numFmtId="164" fontId="9" fillId="0" borderId="0" xfId="13" applyNumberFormat="1" applyFont="1" applyBorder="1" applyAlignment="1">
      <alignment vertical="center"/>
    </xf>
    <xf numFmtId="164" fontId="9" fillId="3" borderId="34" xfId="13" applyNumberFormat="1" applyFont="1" applyFill="1" applyBorder="1" applyAlignment="1" applyProtection="1">
      <alignment horizontal="center" vertical="center"/>
      <protection locked="0"/>
    </xf>
    <xf numFmtId="165" fontId="9" fillId="0" borderId="0" xfId="29" applyNumberFormat="1" applyFont="1" applyBorder="1" applyAlignment="1" applyProtection="1">
      <alignment vertical="center"/>
      <protection locked="0"/>
    </xf>
    <xf numFmtId="165" fontId="9" fillId="0" borderId="0" xfId="29" applyNumberFormat="1" applyFont="1" applyAlignment="1" applyProtection="1">
      <alignment vertical="center"/>
      <protection locked="0"/>
    </xf>
    <xf numFmtId="164" fontId="5" fillId="2" borderId="0" xfId="13" applyNumberFormat="1" applyFont="1" applyFill="1" applyAlignment="1" applyProtection="1">
      <alignment vertical="center"/>
      <protection locked="0"/>
    </xf>
    <xf numFmtId="165" fontId="5" fillId="2" borderId="0" xfId="29" applyNumberFormat="1" applyFont="1" applyFill="1" applyBorder="1" applyAlignment="1" applyProtection="1">
      <alignment horizontal="right" vertical="center"/>
      <protection locked="0"/>
    </xf>
    <xf numFmtId="165" fontId="9" fillId="0" borderId="0" xfId="29" applyNumberFormat="1" applyFont="1" applyFill="1" applyBorder="1" applyAlignment="1" applyProtection="1">
      <alignment vertical="center"/>
      <protection locked="0"/>
    </xf>
    <xf numFmtId="164" fontId="5" fillId="0" borderId="0" xfId="13" applyNumberFormat="1" applyFont="1" applyAlignment="1">
      <alignment horizontal="right" vertical="center"/>
    </xf>
    <xf numFmtId="10" fontId="9" fillId="3" borderId="34" xfId="30" applyNumberFormat="1" applyFont="1" applyFill="1" applyBorder="1" applyAlignment="1">
      <alignment vertical="center"/>
    </xf>
    <xf numFmtId="10" fontId="9" fillId="0" borderId="0" xfId="30" applyNumberFormat="1" applyFont="1" applyBorder="1" applyAlignment="1">
      <alignment vertical="center"/>
    </xf>
    <xf numFmtId="164" fontId="5" fillId="0" borderId="2" xfId="13" applyNumberFormat="1" applyFont="1" applyBorder="1" applyAlignment="1" applyProtection="1">
      <alignment horizontal="right" vertical="center"/>
      <protection locked="0"/>
    </xf>
    <xf numFmtId="0" fontId="9" fillId="0" borderId="0" xfId="31" applyFont="1" applyAlignment="1">
      <alignment vertical="center"/>
    </xf>
    <xf numFmtId="0" fontId="5" fillId="0" borderId="0" xfId="32" applyFont="1" applyAlignment="1">
      <alignment horizontal="left" vertical="center"/>
    </xf>
    <xf numFmtId="0" fontId="9" fillId="0" borderId="34" xfId="0" applyFont="1" applyBorder="1" applyAlignment="1">
      <alignment horizontal="center" vertical="center" wrapText="1"/>
    </xf>
    <xf numFmtId="164" fontId="9" fillId="3" borderId="34" xfId="2" applyNumberFormat="1" applyFont="1" applyFill="1" applyBorder="1" applyAlignment="1" applyProtection="1">
      <alignment vertical="center"/>
      <protection locked="0"/>
    </xf>
    <xf numFmtId="44" fontId="9" fillId="0" borderId="0" xfId="0" applyNumberFormat="1" applyFont="1" applyAlignment="1">
      <alignment vertical="center"/>
    </xf>
    <xf numFmtId="10" fontId="9" fillId="0" borderId="34" xfId="3" applyNumberFormat="1" applyFont="1" applyFill="1" applyBorder="1" applyAlignment="1">
      <alignment horizontal="right" vertical="center"/>
    </xf>
    <xf numFmtId="10" fontId="9" fillId="0" borderId="34" xfId="3" applyNumberFormat="1" applyFont="1" applyBorder="1" applyAlignment="1">
      <alignment horizontal="right" vertical="center"/>
    </xf>
    <xf numFmtId="174" fontId="9" fillId="0" borderId="3" xfId="3" applyNumberFormat="1" applyFont="1" applyBorder="1" applyAlignment="1">
      <alignment horizontal="right" vertical="center"/>
    </xf>
    <xf numFmtId="10" fontId="9" fillId="4" borderId="2" xfId="3" applyNumberFormat="1" applyFont="1" applyFill="1" applyBorder="1" applyAlignment="1">
      <alignment vertical="center"/>
    </xf>
    <xf numFmtId="164" fontId="9" fillId="4" borderId="0" xfId="2" applyNumberFormat="1" applyFont="1" applyFill="1" applyAlignment="1">
      <alignment vertical="center"/>
    </xf>
    <xf numFmtId="10" fontId="9" fillId="4" borderId="0" xfId="3" applyNumberFormat="1" applyFont="1" applyFill="1" applyAlignment="1">
      <alignment horizontal="right" vertical="center"/>
    </xf>
    <xf numFmtId="165" fontId="9" fillId="4" borderId="0" xfId="1" applyNumberFormat="1" applyFont="1" applyFill="1" applyAlignment="1">
      <alignment vertical="center"/>
    </xf>
    <xf numFmtId="10" fontId="9" fillId="4" borderId="34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vertical="center"/>
    </xf>
    <xf numFmtId="9" fontId="9" fillId="3" borderId="34" xfId="3" applyFont="1" applyFill="1" applyBorder="1" applyAlignment="1">
      <alignment horizontal="right" vertical="center"/>
    </xf>
    <xf numFmtId="0" fontId="9" fillId="3" borderId="34" xfId="3" applyNumberFormat="1" applyFont="1" applyFill="1" applyBorder="1" applyAlignment="1">
      <alignment horizontal="right" vertical="center"/>
    </xf>
    <xf numFmtId="169" fontId="9" fillId="0" borderId="34" xfId="3" applyNumberFormat="1" applyFont="1" applyBorder="1" applyAlignment="1">
      <alignment horizontal="right" vertical="center"/>
    </xf>
    <xf numFmtId="169" fontId="9" fillId="2" borderId="34" xfId="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164" fontId="9" fillId="4" borderId="0" xfId="2" applyNumberFormat="1" applyFont="1" applyFill="1" applyAlignment="1">
      <alignment horizontal="center" vertical="center"/>
    </xf>
    <xf numFmtId="9" fontId="9" fillId="2" borderId="34" xfId="3" applyFont="1" applyFill="1" applyBorder="1" applyAlignment="1">
      <alignment horizontal="right" vertical="center"/>
    </xf>
    <xf numFmtId="10" fontId="9" fillId="2" borderId="34" xfId="3" applyNumberFormat="1" applyFont="1" applyFill="1" applyBorder="1" applyAlignment="1">
      <alignment horizontal="right" vertical="center"/>
    </xf>
    <xf numFmtId="169" fontId="9" fillId="2" borderId="34" xfId="0" applyNumberFormat="1" applyFont="1" applyFill="1" applyBorder="1" applyAlignment="1">
      <alignment horizontal="right" vertical="center"/>
    </xf>
    <xf numFmtId="43" fontId="7" fillId="0" borderId="0" xfId="4" applyNumberFormat="1" applyFont="1"/>
    <xf numFmtId="165" fontId="7" fillId="0" borderId="34" xfId="1" applyNumberFormat="1" applyFont="1" applyBorder="1"/>
    <xf numFmtId="164" fontId="5" fillId="0" borderId="0" xfId="2" applyNumberFormat="1" applyFont="1" applyBorder="1" applyAlignment="1">
      <alignment horizontal="right" vertical="center"/>
    </xf>
    <xf numFmtId="0" fontId="5" fillId="0" borderId="0" xfId="11" applyFont="1" applyAlignment="1">
      <alignment horizontal="right"/>
    </xf>
    <xf numFmtId="0" fontId="5" fillId="0" borderId="0" xfId="11" applyFont="1" applyAlignment="1">
      <alignment horizontal="center"/>
    </xf>
    <xf numFmtId="0" fontId="5" fillId="0" borderId="0" xfId="23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0" applyFont="1" applyAlignment="1">
      <alignment vertical="center"/>
    </xf>
    <xf numFmtId="0" fontId="9" fillId="0" borderId="0" xfId="11" applyFont="1" applyAlignment="1">
      <alignment horizontal="center" vertical="center"/>
    </xf>
    <xf numFmtId="165" fontId="5" fillId="3" borderId="0" xfId="1" applyNumberFormat="1" applyFont="1" applyFill="1" applyBorder="1" applyAlignment="1">
      <alignment vertical="center"/>
    </xf>
    <xf numFmtId="38" fontId="5" fillId="0" borderId="25" xfId="1" applyNumberFormat="1" applyFont="1" applyBorder="1" applyAlignment="1">
      <alignment vertical="center"/>
    </xf>
    <xf numFmtId="164" fontId="9" fillId="0" borderId="38" xfId="2" applyNumberFormat="1" applyFont="1" applyFill="1" applyBorder="1" applyAlignment="1">
      <alignment vertical="center"/>
    </xf>
    <xf numFmtId="0" fontId="19" fillId="0" borderId="2" xfId="0" applyFont="1" applyBorder="1" applyAlignment="1">
      <alignment horizontal="center"/>
    </xf>
    <xf numFmtId="164" fontId="5" fillId="0" borderId="29" xfId="2" applyNumberFormat="1" applyFont="1" applyFill="1" applyBorder="1" applyAlignment="1">
      <alignment vertical="center"/>
    </xf>
    <xf numFmtId="43" fontId="23" fillId="0" borderId="0" xfId="1" applyFont="1" applyFill="1"/>
    <xf numFmtId="165" fontId="23" fillId="0" borderId="0" xfId="1" applyNumberFormat="1" applyFont="1" applyFill="1"/>
    <xf numFmtId="165" fontId="9" fillId="0" borderId="34" xfId="1" applyNumberFormat="1" applyFont="1" applyFill="1" applyBorder="1" applyAlignment="1"/>
    <xf numFmtId="165" fontId="9" fillId="0" borderId="0" xfId="1" applyNumberFormat="1" applyFont="1" applyFill="1" applyAlignment="1"/>
    <xf numFmtId="165" fontId="9" fillId="0" borderId="0" xfId="1" applyNumberFormat="1" applyFont="1" applyFill="1" applyBorder="1" applyAlignment="1">
      <alignment vertical="top"/>
    </xf>
    <xf numFmtId="165" fontId="23" fillId="0" borderId="0" xfId="1" applyNumberFormat="1" applyFont="1" applyFill="1" applyBorder="1" applyAlignment="1">
      <alignment vertical="top"/>
    </xf>
    <xf numFmtId="165" fontId="9" fillId="0" borderId="34" xfId="1" applyNumberFormat="1" applyFont="1" applyFill="1" applyBorder="1" applyAlignment="1">
      <alignment vertical="top"/>
    </xf>
    <xf numFmtId="43" fontId="31" fillId="0" borderId="0" xfId="1" applyFont="1" applyFill="1" applyBorder="1" applyAlignment="1">
      <alignment horizontal="right"/>
    </xf>
    <xf numFmtId="37" fontId="9" fillId="0" borderId="10" xfId="0" applyNumberFormat="1" applyFont="1" applyBorder="1" applyAlignment="1">
      <alignment horizontal="center" vertical="center"/>
    </xf>
    <xf numFmtId="43" fontId="5" fillId="0" borderId="0" xfId="1" applyFont="1" applyFill="1" applyBorder="1" applyAlignment="1">
      <alignment horizontal="right"/>
    </xf>
    <xf numFmtId="37" fontId="5" fillId="0" borderId="0" xfId="0" applyNumberFormat="1" applyFont="1" applyAlignment="1">
      <alignment horizontal="right"/>
    </xf>
    <xf numFmtId="165" fontId="5" fillId="2" borderId="34" xfId="1" applyNumberFormat="1" applyFont="1" applyFill="1" applyBorder="1" applyAlignment="1" applyProtection="1">
      <alignment vertical="center"/>
      <protection locked="0"/>
    </xf>
    <xf numFmtId="0" fontId="5" fillId="0" borderId="39" xfId="11" applyFont="1" applyBorder="1" applyAlignment="1">
      <alignment horizontal="center"/>
    </xf>
    <xf numFmtId="0" fontId="5" fillId="0" borderId="41" xfId="11" applyFont="1" applyBorder="1" applyAlignment="1">
      <alignment horizontal="center"/>
    </xf>
    <xf numFmtId="165" fontId="9" fillId="2" borderId="38" xfId="1" applyNumberFormat="1" applyFont="1" applyFill="1" applyBorder="1" applyAlignment="1">
      <alignment horizontal="right" vertical="center"/>
    </xf>
    <xf numFmtId="165" fontId="9" fillId="3" borderId="38" xfId="1" applyNumberFormat="1" applyFont="1" applyFill="1" applyBorder="1" applyAlignment="1">
      <alignment vertical="center"/>
    </xf>
    <xf numFmtId="172" fontId="9" fillId="0" borderId="38" xfId="1" applyNumberFormat="1" applyFont="1" applyFill="1" applyBorder="1" applyAlignment="1">
      <alignment horizontal="right"/>
    </xf>
    <xf numFmtId="165" fontId="9" fillId="3" borderId="38" xfId="22" applyNumberFormat="1" applyFont="1" applyFill="1" applyBorder="1"/>
    <xf numFmtId="0" fontId="5" fillId="0" borderId="38" xfId="11" applyFont="1" applyBorder="1" applyAlignment="1">
      <alignment horizontal="center"/>
    </xf>
    <xf numFmtId="0" fontId="5" fillId="0" borderId="34" xfId="11" applyFont="1" applyBorder="1" applyAlignment="1">
      <alignment horizontal="center"/>
    </xf>
    <xf numFmtId="165" fontId="5" fillId="0" borderId="27" xfId="14" applyNumberFormat="1" applyFont="1" applyBorder="1"/>
    <xf numFmtId="10" fontId="9" fillId="0" borderId="34" xfId="3" quotePrefix="1" applyNumberFormat="1" applyFont="1" applyBorder="1" applyAlignment="1">
      <alignment horizontal="right" vertical="center"/>
    </xf>
    <xf numFmtId="164" fontId="9" fillId="0" borderId="2" xfId="21" applyNumberFormat="1" applyFont="1" applyBorder="1" applyAlignment="1">
      <alignment horizontal="right"/>
    </xf>
    <xf numFmtId="164" fontId="5" fillId="0" borderId="0" xfId="13" quotePrefix="1" applyNumberFormat="1" applyFont="1" applyFill="1" applyBorder="1" applyAlignment="1">
      <alignment horizontal="right"/>
    </xf>
    <xf numFmtId="0" fontId="7" fillId="0" borderId="0" xfId="0" applyFont="1"/>
    <xf numFmtId="0" fontId="5" fillId="0" borderId="0" xfId="11" quotePrefix="1" applyFont="1" applyAlignment="1">
      <alignment horizontal="center"/>
    </xf>
    <xf numFmtId="168" fontId="5" fillId="0" borderId="0" xfId="11" applyNumberFormat="1" applyFont="1" applyAlignment="1">
      <alignment horizontal="center"/>
    </xf>
    <xf numFmtId="5" fontId="9" fillId="0" borderId="34" xfId="11" applyNumberFormat="1" applyFont="1" applyBorder="1" applyAlignment="1">
      <alignment horizontal="center"/>
    </xf>
    <xf numFmtId="0" fontId="9" fillId="0" borderId="34" xfId="11" applyFont="1" applyBorder="1" applyAlignment="1">
      <alignment horizontal="center"/>
    </xf>
    <xf numFmtId="0" fontId="5" fillId="0" borderId="0" xfId="11" applyFont="1" applyAlignment="1" applyProtection="1">
      <alignment horizontal="center"/>
      <protection locked="0"/>
    </xf>
    <xf numFmtId="0" fontId="18" fillId="0" borderId="0" xfId="11" applyFont="1" applyAlignment="1">
      <alignment horizontal="left"/>
    </xf>
    <xf numFmtId="164" fontId="9" fillId="2" borderId="0" xfId="13" applyNumberFormat="1" applyFont="1" applyFill="1" applyBorder="1" applyAlignment="1" applyProtection="1">
      <alignment horizontal="right" vertical="center"/>
      <protection locked="0"/>
    </xf>
    <xf numFmtId="164" fontId="9" fillId="0" borderId="0" xfId="13" applyNumberFormat="1" applyFont="1" applyFill="1" applyBorder="1" applyAlignment="1" applyProtection="1">
      <alignment horizontal="right"/>
      <protection locked="0"/>
    </xf>
    <xf numFmtId="165" fontId="9" fillId="2" borderId="0" xfId="29" applyNumberFormat="1" applyFont="1" applyFill="1" applyBorder="1" applyAlignment="1" applyProtection="1">
      <alignment horizontal="right" vertical="center"/>
      <protection locked="0"/>
    </xf>
    <xf numFmtId="165" fontId="9" fillId="0" borderId="0" xfId="29" applyNumberFormat="1" applyFont="1" applyFill="1" applyBorder="1" applyAlignment="1" applyProtection="1">
      <alignment horizontal="right"/>
      <protection locked="0"/>
    </xf>
    <xf numFmtId="165" fontId="9" fillId="2" borderId="34" xfId="29" applyNumberFormat="1" applyFont="1" applyFill="1" applyBorder="1" applyAlignment="1" applyProtection="1">
      <alignment horizontal="right" vertical="center"/>
      <protection locked="0"/>
    </xf>
    <xf numFmtId="164" fontId="9" fillId="0" borderId="18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/>
    </xf>
    <xf numFmtId="165" fontId="5" fillId="0" borderId="0" xfId="29" applyNumberFormat="1" applyFont="1" applyFill="1" applyAlignment="1" applyProtection="1">
      <alignment horizontal="center" vertical="center"/>
    </xf>
    <xf numFmtId="165" fontId="5" fillId="0" borderId="0" xfId="29" applyNumberFormat="1" applyFont="1" applyFill="1" applyAlignment="1" applyProtection="1">
      <alignment horizontal="center"/>
    </xf>
    <xf numFmtId="164" fontId="9" fillId="2" borderId="0" xfId="13" applyNumberFormat="1" applyFont="1" applyFill="1" applyBorder="1" applyAlignment="1" applyProtection="1">
      <alignment horizontal="center" vertical="center"/>
    </xf>
    <xf numFmtId="43" fontId="9" fillId="2" borderId="0" xfId="29" applyFont="1" applyFill="1" applyBorder="1" applyAlignment="1" applyProtection="1">
      <alignment horizontal="center" vertical="center"/>
    </xf>
    <xf numFmtId="164" fontId="9" fillId="0" borderId="18" xfId="13" applyNumberFormat="1" applyFont="1" applyFill="1" applyBorder="1" applyAlignment="1" applyProtection="1">
      <alignment horizontal="center" vertical="center"/>
    </xf>
    <xf numFmtId="164" fontId="5" fillId="0" borderId="0" xfId="13" applyNumberFormat="1" applyFont="1" applyFill="1" applyBorder="1" applyAlignment="1" applyProtection="1">
      <alignment horizontal="center"/>
    </xf>
    <xf numFmtId="164" fontId="5" fillId="0" borderId="0" xfId="13" quotePrefix="1" applyNumberFormat="1" applyFont="1" applyFill="1" applyBorder="1" applyAlignment="1">
      <alignment horizontal="right" vertical="center"/>
    </xf>
    <xf numFmtId="164" fontId="9" fillId="2" borderId="0" xfId="13" applyNumberFormat="1" applyFont="1" applyFill="1" applyBorder="1" applyAlignment="1" applyProtection="1">
      <alignment horizontal="right" vertical="center"/>
    </xf>
    <xf numFmtId="43" fontId="9" fillId="2" borderId="0" xfId="29" applyFont="1" applyFill="1" applyBorder="1" applyAlignment="1" applyProtection="1">
      <alignment horizontal="right" vertical="center"/>
    </xf>
    <xf numFmtId="165" fontId="5" fillId="0" borderId="0" xfId="29" applyNumberFormat="1" applyFont="1" applyFill="1" applyAlignment="1" applyProtection="1">
      <alignment horizontal="right" vertical="center"/>
    </xf>
    <xf numFmtId="165" fontId="5" fillId="0" borderId="0" xfId="29" applyNumberFormat="1" applyFont="1" applyFill="1" applyAlignment="1" applyProtection="1">
      <alignment horizontal="right"/>
    </xf>
    <xf numFmtId="165" fontId="5" fillId="2" borderId="34" xfId="29" applyNumberFormat="1" applyFont="1" applyFill="1" applyBorder="1" applyAlignment="1" applyProtection="1">
      <alignment horizontal="right" vertical="center"/>
      <protection locked="0"/>
    </xf>
    <xf numFmtId="164" fontId="5" fillId="0" borderId="18" xfId="13" applyNumberFormat="1" applyFont="1" applyFill="1" applyBorder="1" applyAlignment="1" applyProtection="1">
      <alignment horizontal="right" vertical="center"/>
    </xf>
    <xf numFmtId="165" fontId="5" fillId="0" borderId="0" xfId="29" applyNumberFormat="1" applyFont="1" applyFill="1" applyBorder="1" applyAlignment="1" applyProtection="1">
      <alignment horizontal="center" vertical="center"/>
    </xf>
    <xf numFmtId="165" fontId="5" fillId="0" borderId="0" xfId="29" applyNumberFormat="1" applyFont="1" applyFill="1" applyBorder="1" applyAlignment="1" applyProtection="1">
      <alignment horizontal="center"/>
    </xf>
    <xf numFmtId="165" fontId="5" fillId="2" borderId="34" xfId="29" applyNumberFormat="1" applyFont="1" applyFill="1" applyBorder="1" applyAlignment="1" applyProtection="1">
      <alignment horizontal="center" vertical="center"/>
    </xf>
    <xf numFmtId="164" fontId="5" fillId="0" borderId="2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 vertical="center"/>
    </xf>
    <xf numFmtId="164" fontId="9" fillId="4" borderId="0" xfId="13" applyNumberFormat="1" applyFont="1" applyFill="1" applyBorder="1" applyAlignment="1" applyProtection="1">
      <alignment horizontal="right" vertical="center"/>
    </xf>
    <xf numFmtId="164" fontId="9" fillId="0" borderId="0" xfId="13" applyNumberFormat="1" applyFont="1" applyFill="1" applyBorder="1" applyAlignment="1" applyProtection="1">
      <alignment horizontal="right"/>
    </xf>
    <xf numFmtId="165" fontId="9" fillId="4" borderId="0" xfId="29" applyNumberFormat="1" applyFont="1" applyFill="1" applyBorder="1" applyAlignment="1" applyProtection="1">
      <alignment horizontal="right" vertical="center"/>
    </xf>
    <xf numFmtId="165" fontId="9" fillId="4" borderId="34" xfId="29" applyNumberFormat="1" applyFont="1" applyFill="1" applyBorder="1" applyAlignment="1" applyProtection="1">
      <alignment horizontal="right" vertical="center"/>
    </xf>
    <xf numFmtId="164" fontId="9" fillId="4" borderId="2" xfId="13" applyNumberFormat="1" applyFont="1" applyFill="1" applyBorder="1" applyAlignment="1" applyProtection="1">
      <alignment horizontal="right" vertical="center"/>
    </xf>
    <xf numFmtId="164" fontId="9" fillId="2" borderId="0" xfId="13" applyNumberFormat="1" applyFont="1" applyFill="1" applyAlignment="1" applyProtection="1">
      <alignment horizontal="right" vertical="center"/>
    </xf>
    <xf numFmtId="6" fontId="5" fillId="0" borderId="0" xfId="11" applyNumberFormat="1" applyFont="1"/>
    <xf numFmtId="0" fontId="9" fillId="0" borderId="0" xfId="33" applyFont="1"/>
    <xf numFmtId="165" fontId="9" fillId="2" borderId="0" xfId="29" applyNumberFormat="1" applyFont="1" applyFill="1" applyAlignment="1" applyProtection="1">
      <alignment horizontal="right" vertical="center"/>
    </xf>
    <xf numFmtId="10" fontId="5" fillId="0" borderId="0" xfId="30" applyNumberFormat="1" applyFont="1"/>
    <xf numFmtId="165" fontId="9" fillId="2" borderId="34" xfId="29" applyNumberFormat="1" applyFont="1" applyFill="1" applyBorder="1" applyAlignment="1" applyProtection="1">
      <alignment horizontal="right" vertical="center"/>
    </xf>
    <xf numFmtId="168" fontId="5" fillId="0" borderId="0" xfId="11" applyNumberFormat="1" applyFont="1" applyAlignment="1">
      <alignment horizontal="center" vertical="center"/>
    </xf>
    <xf numFmtId="6" fontId="9" fillId="0" borderId="0" xfId="11" applyNumberFormat="1" applyFont="1"/>
    <xf numFmtId="164" fontId="9" fillId="0" borderId="0" xfId="13" applyNumberFormat="1" applyFont="1" applyFill="1" applyAlignment="1" applyProtection="1">
      <alignment horizontal="right" vertical="center"/>
    </xf>
    <xf numFmtId="164" fontId="9" fillId="0" borderId="0" xfId="13" applyNumberFormat="1" applyFont="1" applyFill="1" applyAlignment="1" applyProtection="1">
      <alignment horizontal="right"/>
    </xf>
    <xf numFmtId="165" fontId="9" fillId="0" borderId="0" xfId="29" applyNumberFormat="1" applyFont="1" applyFill="1" applyAlignment="1" applyProtection="1">
      <alignment horizontal="right" vertical="center"/>
    </xf>
    <xf numFmtId="165" fontId="9" fillId="0" borderId="0" xfId="29" applyNumberFormat="1" applyFont="1" applyFill="1" applyAlignment="1" applyProtection="1">
      <alignment horizontal="right"/>
    </xf>
    <xf numFmtId="165" fontId="9" fillId="0" borderId="34" xfId="29" applyNumberFormat="1" applyFont="1" applyFill="1" applyBorder="1" applyAlignment="1" applyProtection="1">
      <alignment horizontal="right" vertical="center"/>
    </xf>
    <xf numFmtId="165" fontId="9" fillId="0" borderId="0" xfId="29" applyNumberFormat="1" applyFont="1" applyFill="1" applyBorder="1" applyAlignment="1" applyProtection="1">
      <alignment horizontal="right"/>
    </xf>
    <xf numFmtId="164" fontId="9" fillId="0" borderId="17" xfId="13" applyNumberFormat="1" applyFont="1" applyFill="1" applyBorder="1" applyAlignment="1" applyProtection="1">
      <alignment horizontal="right" vertical="center"/>
    </xf>
    <xf numFmtId="164" fontId="9" fillId="0" borderId="2" xfId="13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vertical="center"/>
    </xf>
    <xf numFmtId="164" fontId="9" fillId="0" borderId="0" xfId="13" applyNumberFormat="1" applyFont="1" applyFill="1" applyBorder="1" applyAlignment="1" applyProtection="1">
      <alignment horizontal="right" vertical="center"/>
    </xf>
    <xf numFmtId="0" fontId="3" fillId="0" borderId="0" xfId="4" applyFont="1" applyAlignment="1">
      <alignment horizontal="left"/>
    </xf>
    <xf numFmtId="164" fontId="3" fillId="0" borderId="0" xfId="2" applyNumberFormat="1" applyFont="1" applyBorder="1"/>
    <xf numFmtId="0" fontId="9" fillId="0" borderId="0" xfId="0" applyFont="1" applyBorder="1" applyAlignment="1">
      <alignment horizontal="center"/>
    </xf>
    <xf numFmtId="165" fontId="9" fillId="2" borderId="34" xfId="1" applyNumberFormat="1" applyFont="1" applyFill="1" applyBorder="1" applyAlignment="1">
      <alignment horizontal="right" vertical="center"/>
    </xf>
    <xf numFmtId="165" fontId="9" fillId="3" borderId="34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34" xfId="1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" fontId="9" fillId="0" borderId="0" xfId="11" applyNumberFormat="1" applyFont="1" applyAlignment="1">
      <alignment horizontal="center" vertical="center"/>
    </xf>
    <xf numFmtId="165" fontId="7" fillId="0" borderId="0" xfId="1" applyNumberFormat="1" applyFont="1" applyFill="1" applyBorder="1" applyAlignment="1">
      <alignment vertical="center"/>
    </xf>
    <xf numFmtId="10" fontId="9" fillId="3" borderId="0" xfId="3" applyNumberFormat="1" applyFont="1" applyFill="1" applyBorder="1"/>
    <xf numFmtId="164" fontId="7" fillId="0" borderId="0" xfId="2" applyNumberFormat="1" applyFont="1" applyAlignment="1">
      <alignment horizontal="center" vertical="center"/>
    </xf>
    <xf numFmtId="164" fontId="7" fillId="0" borderId="0" xfId="2" applyNumberFormat="1" applyFont="1" applyAlignment="1">
      <alignment horizontal="right" vertical="center"/>
    </xf>
    <xf numFmtId="165" fontId="7" fillId="0" borderId="0" xfId="1" applyNumberFormat="1" applyFont="1" applyAlignment="1">
      <alignment vertical="center"/>
    </xf>
    <xf numFmtId="165" fontId="7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horizontal="right" vertical="center"/>
    </xf>
    <xf numFmtId="10" fontId="7" fillId="0" borderId="0" xfId="3" applyNumberFormat="1" applyFont="1" applyAlignment="1">
      <alignment vertical="center"/>
    </xf>
    <xf numFmtId="175" fontId="7" fillId="0" borderId="0" xfId="3" applyNumberFormat="1" applyFont="1" applyAlignment="1">
      <alignment vertical="center"/>
    </xf>
    <xf numFmtId="165" fontId="9" fillId="0" borderId="0" xfId="1" applyNumberFormat="1" applyFont="1" applyFill="1" applyAlignment="1">
      <alignment horizontal="right" vertical="center"/>
    </xf>
    <xf numFmtId="0" fontId="9" fillId="0" borderId="34" xfId="11" applyFont="1" applyBorder="1" applyAlignment="1">
      <alignment horizontal="left" vertical="center"/>
    </xf>
    <xf numFmtId="1" fontId="9" fillId="0" borderId="34" xfId="11" applyNumberFormat="1" applyFont="1" applyBorder="1" applyAlignment="1">
      <alignment horizontal="center" vertical="center"/>
    </xf>
    <xf numFmtId="165" fontId="7" fillId="0" borderId="34" xfId="1" applyNumberFormat="1" applyFont="1" applyFill="1" applyBorder="1" applyAlignment="1">
      <alignment vertical="center"/>
    </xf>
    <xf numFmtId="10" fontId="9" fillId="3" borderId="34" xfId="3" applyNumberFormat="1" applyFont="1" applyFill="1" applyBorder="1"/>
    <xf numFmtId="165" fontId="7" fillId="0" borderId="34" xfId="1" applyNumberFormat="1" applyFont="1" applyBorder="1" applyAlignment="1">
      <alignment horizontal="center" vertical="center"/>
    </xf>
    <xf numFmtId="165" fontId="9" fillId="0" borderId="34" xfId="1" applyNumberFormat="1" applyFont="1" applyFill="1" applyBorder="1" applyAlignment="1">
      <alignment horizontal="right" vertical="center"/>
    </xf>
    <xf numFmtId="165" fontId="7" fillId="0" borderId="0" xfId="1" applyNumberFormat="1" applyFont="1" applyBorder="1" applyAlignment="1">
      <alignment horizontal="center" vertical="center"/>
    </xf>
    <xf numFmtId="164" fontId="7" fillId="0" borderId="17" xfId="2" applyNumberFormat="1" applyFont="1" applyFill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164" fontId="9" fillId="0" borderId="17" xfId="2" applyNumberFormat="1" applyFont="1" applyFill="1" applyBorder="1" applyAlignment="1">
      <alignment vertical="center"/>
    </xf>
    <xf numFmtId="176" fontId="9" fillId="0" borderId="0" xfId="2" applyNumberFormat="1" applyFont="1" applyFill="1" applyAlignment="1">
      <alignment vertical="center"/>
    </xf>
    <xf numFmtId="177" fontId="7" fillId="0" borderId="0" xfId="0" applyNumberFormat="1" applyFont="1" applyAlignment="1">
      <alignment vertical="center"/>
    </xf>
    <xf numFmtId="177" fontId="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4" fillId="0" borderId="0" xfId="26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7" fillId="0" borderId="0" xfId="2" applyNumberFormat="1" applyFont="1" applyFill="1" applyAlignment="1">
      <alignment horizontal="right" vertical="center"/>
    </xf>
    <xf numFmtId="165" fontId="7" fillId="0" borderId="0" xfId="1" applyNumberFormat="1" applyFont="1" applyFill="1" applyAlignment="1">
      <alignment horizontal="right" vertical="center"/>
    </xf>
    <xf numFmtId="165" fontId="7" fillId="0" borderId="34" xfId="1" applyNumberFormat="1" applyFont="1" applyFill="1" applyBorder="1" applyAlignment="1">
      <alignment horizontal="right" vertical="center"/>
    </xf>
    <xf numFmtId="0" fontId="9" fillId="0" borderId="11" xfId="11" applyFont="1" applyBorder="1" applyAlignment="1">
      <alignment horizontal="right"/>
    </xf>
    <xf numFmtId="0" fontId="9" fillId="0" borderId="10" xfId="11" applyFont="1" applyBorder="1" applyAlignment="1">
      <alignment horizontal="center"/>
    </xf>
    <xf numFmtId="0" fontId="9" fillId="0" borderId="11" xfId="11" applyFont="1" applyBorder="1" applyAlignment="1">
      <alignment horizontal="center"/>
    </xf>
    <xf numFmtId="165" fontId="9" fillId="3" borderId="0" xfId="1" applyNumberFormat="1" applyFont="1" applyFill="1" applyBorder="1" applyAlignment="1">
      <alignment vertical="center"/>
    </xf>
    <xf numFmtId="171" fontId="3" fillId="0" borderId="2" xfId="2" applyNumberFormat="1" applyFont="1" applyBorder="1"/>
    <xf numFmtId="165" fontId="5" fillId="0" borderId="0" xfId="1" applyNumberFormat="1" applyFont="1" applyFill="1" applyBorder="1"/>
    <xf numFmtId="0" fontId="5" fillId="0" borderId="0" xfId="0" quotePrefix="1" applyFont="1" applyAlignment="1">
      <alignment horizontal="center"/>
    </xf>
    <xf numFmtId="0" fontId="2" fillId="0" borderId="0" xfId="4" applyFont="1" applyAlignment="1">
      <alignment horizontal="center" wrapText="1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3" borderId="0" xfId="11" applyFont="1" applyFill="1" applyAlignment="1">
      <alignment horizontal="center"/>
    </xf>
    <xf numFmtId="2" fontId="5" fillId="2" borderId="0" xfId="23" applyNumberFormat="1" applyFont="1" applyFill="1" applyAlignment="1">
      <alignment horizontal="center"/>
    </xf>
    <xf numFmtId="49" fontId="5" fillId="0" borderId="0" xfId="11" applyNumberFormat="1" applyFont="1" applyAlignment="1">
      <alignment horizontal="center"/>
    </xf>
    <xf numFmtId="0" fontId="5" fillId="0" borderId="0" xfId="23" applyFont="1" applyAlignment="1">
      <alignment horizontal="center"/>
    </xf>
    <xf numFmtId="0" fontId="5" fillId="0" borderId="0" xfId="23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37" fontId="5" fillId="0" borderId="0" xfId="0" quotePrefix="1" applyNumberFormat="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2" borderId="0" xfId="11" applyFont="1" applyFill="1" applyAlignment="1">
      <alignment horizontal="center" vertical="center"/>
    </xf>
    <xf numFmtId="0" fontId="5" fillId="0" borderId="0" xfId="11" quotePrefix="1" applyFont="1" applyAlignment="1">
      <alignment horizontal="center" vertical="center"/>
    </xf>
    <xf numFmtId="0" fontId="5" fillId="2" borderId="0" xfId="11" applyFont="1" applyFill="1" applyAlignment="1">
      <alignment horizontal="center"/>
    </xf>
    <xf numFmtId="0" fontId="5" fillId="2" borderId="0" xfId="11" applyFont="1" applyFill="1"/>
    <xf numFmtId="0" fontId="5" fillId="0" borderId="0" xfId="11" quotePrefix="1" applyFont="1" applyAlignment="1">
      <alignment horizontal="center"/>
    </xf>
    <xf numFmtId="0" fontId="5" fillId="0" borderId="0" xfId="11" applyFont="1"/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</cellXfs>
  <cellStyles count="34">
    <cellStyle name="Comma" xfId="1" builtinId="3"/>
    <cellStyle name="Comma 2" xfId="9" xr:uid="{E218AF85-C6C9-44D7-9826-DAAE82C52D81}"/>
    <cellStyle name="Comma 2 10 2" xfId="29" xr:uid="{1A440B24-83E7-48A9-BF3F-43DED02E8437}"/>
    <cellStyle name="Comma 2 2" xfId="14" xr:uid="{AF071F67-3B0C-4EA1-BB2D-77CA586E1771}"/>
    <cellStyle name="Comma 4" xfId="6" xr:uid="{B22F5E81-ABE4-4EEE-9861-61D4A72D0EC8}"/>
    <cellStyle name="Comma 79" xfId="22" xr:uid="{70FD1783-1E2A-4A0C-8E08-8B8328F1C457}"/>
    <cellStyle name="Currency" xfId="2" builtinId="4"/>
    <cellStyle name="Currency 2" xfId="7" xr:uid="{2FB3A6EC-A591-418E-AE53-135728C8FF55}"/>
    <cellStyle name="Currency 2 2" xfId="13" xr:uid="{BE5CA40B-4EF2-46C0-ACCA-0BF3AC0AF312}"/>
    <cellStyle name="Currency 4" xfId="5" xr:uid="{0A571740-701C-4662-8164-0257FFEF0B5F}"/>
    <cellStyle name="Currency 4 3" xfId="21" xr:uid="{9B1E9624-E95D-4E37-A9D6-EFEB828EBEA8}"/>
    <cellStyle name="Normal" xfId="0" builtinId="0"/>
    <cellStyle name="Normal 10 18" xfId="26" xr:uid="{28E62634-0252-4126-95EF-F50304483256}"/>
    <cellStyle name="Normal 12 4" xfId="32" xr:uid="{E01B4A8D-A77C-4E1B-B7FA-765F95B4B0B3}"/>
    <cellStyle name="Normal 2" xfId="11" xr:uid="{CF6AB890-B773-46E7-BCE6-08FB6AEB0DA0}"/>
    <cellStyle name="Normal 2 2 2" xfId="17" xr:uid="{92A4FFDA-8860-4BAD-9EAB-44F0DE9FCFF8}"/>
    <cellStyle name="Normal 2 2 2 2" xfId="25" xr:uid="{32CDF306-7647-4DCA-AE08-C65B8D466C60}"/>
    <cellStyle name="Normal 2 2 6" xfId="27" xr:uid="{CCAFE435-1243-4CED-981B-645B00CA3137}"/>
    <cellStyle name="Normal 29" xfId="19" xr:uid="{6A52BBCB-32F0-4AFA-B971-925038B08277}"/>
    <cellStyle name="Normal 3 2" xfId="18" xr:uid="{03100693-46EF-4B5B-9F9D-D6D3C25C0406}"/>
    <cellStyle name="Normal 3 2 2" xfId="28" xr:uid="{69ED09F3-8154-4E45-BE4C-534C12218F5F}"/>
    <cellStyle name="Normal 4" xfId="4" xr:uid="{43D116BF-F776-4CC1-8D01-7D68022FBD06}"/>
    <cellStyle name="Normal 72" xfId="33" xr:uid="{CB11C0AF-380A-472E-BF80-2151C5DAB675}"/>
    <cellStyle name="Normal 8" xfId="12" xr:uid="{58534AD9-7916-478A-A9F1-0462037A1FEC}"/>
    <cellStyle name="Normal 9" xfId="8" xr:uid="{93A86AC0-49E3-4B08-85E9-0569D134CF47}"/>
    <cellStyle name="Normal 9 6" xfId="31" xr:uid="{1BD78D70-AA43-4588-A83F-7E19D6F844BC}"/>
    <cellStyle name="Normal_A&amp;gallc1999" xfId="16" xr:uid="{2FFB1A0F-1F23-429E-960E-C59C7E6D56EA}"/>
    <cellStyle name="Normal_Statement BK (2008)" xfId="23" xr:uid="{CAC8C099-7813-48D2-880B-DED03A5BA36E}"/>
    <cellStyle name="Percent" xfId="3" builtinId="5"/>
    <cellStyle name="Percent 10" xfId="24" xr:uid="{B490E828-D192-4B31-8202-A310DC6CA985}"/>
    <cellStyle name="Percent 2" xfId="10" xr:uid="{68EB3EBF-0DBC-4DCD-9C99-F0A5ACE39AE1}"/>
    <cellStyle name="Percent 2 2 2 5" xfId="30" xr:uid="{7D4F2786-915E-414B-845A-E96F963CFB53}"/>
    <cellStyle name="Percent 2 2 7" xfId="20" xr:uid="{5A9F584C-5A92-4511-A46C-F74B3A7E28AD}"/>
    <cellStyle name="Percent 3" xfId="15" xr:uid="{FBAD6B6B-6164-430F-99AF-69F81C056F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AF60EB62-BE8F-4E37-86DA-B0AE8A9D4763}"/>
            </a:ext>
          </a:extLst>
        </xdr:cNvPr>
        <xdr:cNvSpPr>
          <a:spLocks noChangeShapeType="1"/>
        </xdr:cNvSpPr>
      </xdr:nvSpPr>
      <xdr:spPr bwMode="auto">
        <a:xfrm>
          <a:off x="1912939" y="186213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984C4086-3BDF-422C-A3E1-41040940E7EF}"/>
            </a:ext>
          </a:extLst>
        </xdr:cNvPr>
        <xdr:cNvSpPr>
          <a:spLocks noChangeShapeType="1"/>
        </xdr:cNvSpPr>
      </xdr:nvSpPr>
      <xdr:spPr bwMode="auto">
        <a:xfrm>
          <a:off x="1770067" y="21012149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136</xdr:row>
      <xdr:rowOff>9525</xdr:rowOff>
    </xdr:from>
    <xdr:to>
      <xdr:col>1</xdr:col>
      <xdr:colOff>3581077</xdr:colOff>
      <xdr:row>136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BF2463E1-5502-470E-A64B-EB74B8B4E4B7}"/>
            </a:ext>
          </a:extLst>
        </xdr:cNvPr>
        <xdr:cNvSpPr>
          <a:spLocks noChangeShapeType="1"/>
        </xdr:cNvSpPr>
      </xdr:nvSpPr>
      <xdr:spPr bwMode="auto">
        <a:xfrm>
          <a:off x="1912939" y="277368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136</xdr:row>
      <xdr:rowOff>9525</xdr:rowOff>
    </xdr:from>
    <xdr:to>
      <xdr:col>1</xdr:col>
      <xdr:colOff>3581077</xdr:colOff>
      <xdr:row>136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ED96A76-C47B-48CA-9B27-1D074CC9025F}"/>
            </a:ext>
          </a:extLst>
        </xdr:cNvPr>
        <xdr:cNvSpPr>
          <a:spLocks noChangeShapeType="1"/>
        </xdr:cNvSpPr>
      </xdr:nvSpPr>
      <xdr:spPr bwMode="auto">
        <a:xfrm>
          <a:off x="1912939" y="277368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148</xdr:row>
      <xdr:rowOff>-1</xdr:rowOff>
    </xdr:from>
    <xdr:to>
      <xdr:col>2</xdr:col>
      <xdr:colOff>312424</xdr:colOff>
      <xdr:row>148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2D716D03-E305-4FD5-AD4C-9D4677716897}"/>
            </a:ext>
          </a:extLst>
        </xdr:cNvPr>
        <xdr:cNvSpPr>
          <a:spLocks noChangeShapeType="1"/>
        </xdr:cNvSpPr>
      </xdr:nvSpPr>
      <xdr:spPr bwMode="auto">
        <a:xfrm>
          <a:off x="1770067" y="30127574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41"/>
  <sheetViews>
    <sheetView tabSelected="1" zoomScale="80" zoomScaleNormal="80" workbookViewId="0"/>
  </sheetViews>
  <sheetFormatPr defaultColWidth="9.19921875" defaultRowHeight="14.25" x14ac:dyDescent="0.45"/>
  <cols>
    <col min="1" max="1" width="4.796875" style="1" bestFit="1" customWidth="1"/>
    <col min="2" max="2" width="71.53125" style="1" customWidth="1"/>
    <col min="3" max="3" width="1.59765625" style="1" customWidth="1"/>
    <col min="4" max="4" width="20.796875" style="1" customWidth="1"/>
    <col min="5" max="5" width="1.53125" style="1" customWidth="1"/>
    <col min="6" max="6" width="40.53125" style="1" customWidth="1"/>
    <col min="7" max="7" width="4.796875" style="1" customWidth="1"/>
    <col min="8" max="16384" width="9.19921875" style="1"/>
  </cols>
  <sheetData>
    <row r="2" spans="1:8" ht="17.25" x14ac:dyDescent="0.45">
      <c r="B2" s="2" t="s">
        <v>0</v>
      </c>
      <c r="C2" s="2"/>
      <c r="D2" s="3"/>
      <c r="E2" s="3"/>
      <c r="F2" s="3"/>
    </row>
    <row r="3" spans="1:8" ht="17.25" x14ac:dyDescent="0.45">
      <c r="B3" s="265" t="s">
        <v>446</v>
      </c>
      <c r="C3" s="2"/>
      <c r="D3" s="3"/>
      <c r="E3" s="3"/>
      <c r="F3" s="3"/>
    </row>
    <row r="4" spans="1:8" ht="17.25" x14ac:dyDescent="0.45">
      <c r="B4" s="761" t="s">
        <v>445</v>
      </c>
      <c r="C4" s="761"/>
      <c r="D4" s="761"/>
      <c r="E4" s="761"/>
      <c r="F4" s="761"/>
    </row>
    <row r="5" spans="1:8" ht="17.25" x14ac:dyDescent="0.45">
      <c r="B5" s="267" t="s">
        <v>447</v>
      </c>
      <c r="C5" s="2"/>
      <c r="D5" s="2"/>
      <c r="E5" s="2"/>
      <c r="F5" s="2"/>
    </row>
    <row r="6" spans="1:8" ht="15.4" x14ac:dyDescent="0.45">
      <c r="B6" s="760" t="s">
        <v>1</v>
      </c>
      <c r="C6" s="760"/>
      <c r="D6" s="760"/>
      <c r="E6" s="760"/>
      <c r="F6" s="760"/>
      <c r="G6" s="4"/>
      <c r="H6" s="4"/>
    </row>
    <row r="7" spans="1:8" ht="15.4" x14ac:dyDescent="0.45">
      <c r="B7" s="5"/>
      <c r="C7" s="5"/>
      <c r="D7" s="6"/>
      <c r="E7" s="7"/>
      <c r="F7" s="5"/>
      <c r="G7" s="5"/>
    </row>
    <row r="8" spans="1:8" ht="15.4" x14ac:dyDescent="0.45">
      <c r="A8" s="8" t="s">
        <v>2</v>
      </c>
      <c r="G8" s="8" t="s">
        <v>2</v>
      </c>
    </row>
    <row r="9" spans="1:8" ht="15.4" x14ac:dyDescent="0.45">
      <c r="A9" s="11" t="s">
        <v>6</v>
      </c>
      <c r="B9" s="9" t="s">
        <v>3</v>
      </c>
      <c r="C9" s="9"/>
      <c r="D9" s="9" t="s">
        <v>4</v>
      </c>
      <c r="E9" s="10"/>
      <c r="F9" s="9" t="s">
        <v>5</v>
      </c>
      <c r="G9" s="11" t="s">
        <v>6</v>
      </c>
    </row>
    <row r="10" spans="1:8" ht="15.4" x14ac:dyDescent="0.45">
      <c r="A10" s="711"/>
      <c r="B10" s="5"/>
      <c r="C10" s="5"/>
      <c r="D10" s="12"/>
      <c r="E10" s="12"/>
      <c r="F10" s="12"/>
      <c r="G10" s="711"/>
    </row>
    <row r="11" spans="1:8" ht="15.4" x14ac:dyDescent="0.45">
      <c r="A11" s="8">
        <v>1</v>
      </c>
      <c r="B11" s="7" t="s">
        <v>448</v>
      </c>
      <c r="C11" s="7"/>
      <c r="D11" s="12"/>
      <c r="E11" s="12"/>
      <c r="F11" s="12"/>
      <c r="G11" s="8">
        <v>1</v>
      </c>
    </row>
    <row r="12" spans="1:8" ht="15.4" x14ac:dyDescent="0.45">
      <c r="A12" s="8">
        <f>A11+1</f>
        <v>2</v>
      </c>
      <c r="B12" s="7"/>
      <c r="C12" s="7"/>
      <c r="D12" s="12"/>
      <c r="E12" s="12"/>
      <c r="F12" s="12"/>
      <c r="G12" s="8">
        <f>G11+1</f>
        <v>2</v>
      </c>
    </row>
    <row r="13" spans="1:8" ht="30.75" x14ac:dyDescent="0.45">
      <c r="A13" s="43">
        <f t="shared" ref="A13:A17" si="0">A12+1</f>
        <v>3</v>
      </c>
      <c r="B13" s="271" t="s">
        <v>440</v>
      </c>
      <c r="C13" s="13"/>
      <c r="D13" s="14">
        <f>'Pg2 Appendix XII C2 Comparison'!G28</f>
        <v>-2.7436483241132237</v>
      </c>
      <c r="E13" s="14"/>
      <c r="F13" s="12" t="s">
        <v>449</v>
      </c>
      <c r="G13" s="43">
        <f t="shared" ref="G13:G14" si="1">G12+1</f>
        <v>3</v>
      </c>
    </row>
    <row r="14" spans="1:8" ht="15.4" x14ac:dyDescent="0.45">
      <c r="A14" s="8">
        <f t="shared" si="0"/>
        <v>4</v>
      </c>
      <c r="B14" s="5"/>
      <c r="C14" s="12"/>
      <c r="D14" s="14"/>
      <c r="E14" s="14"/>
      <c r="F14" s="12"/>
      <c r="G14" s="8">
        <f t="shared" si="1"/>
        <v>4</v>
      </c>
    </row>
    <row r="15" spans="1:8" ht="15.4" x14ac:dyDescent="0.45">
      <c r="A15" s="8">
        <f t="shared" si="0"/>
        <v>5</v>
      </c>
      <c r="B15" s="5" t="s">
        <v>8</v>
      </c>
      <c r="C15" s="12"/>
      <c r="D15" s="15">
        <f>'Pg10 Appendix XII C2 Int Calc'!G66</f>
        <v>-0.44906570883551372</v>
      </c>
      <c r="E15" s="16"/>
      <c r="F15" s="12" t="s">
        <v>450</v>
      </c>
      <c r="G15" s="8">
        <f t="shared" ref="G15:G21" si="2">G14+1</f>
        <v>5</v>
      </c>
    </row>
    <row r="16" spans="1:8" ht="15.4" x14ac:dyDescent="0.45">
      <c r="A16" s="8">
        <f t="shared" si="0"/>
        <v>6</v>
      </c>
      <c r="B16" s="5"/>
      <c r="C16" s="12"/>
      <c r="D16" s="17"/>
      <c r="E16" s="17"/>
      <c r="F16" s="12"/>
      <c r="G16" s="8">
        <f t="shared" si="2"/>
        <v>6</v>
      </c>
    </row>
    <row r="17" spans="1:7" ht="15.4" x14ac:dyDescent="0.45">
      <c r="A17" s="8">
        <f t="shared" si="0"/>
        <v>7</v>
      </c>
      <c r="B17" s="709" t="s">
        <v>278</v>
      </c>
      <c r="C17" s="10"/>
      <c r="D17" s="710">
        <f>D13+D15</f>
        <v>-3.1927140329487376</v>
      </c>
      <c r="E17" s="14"/>
      <c r="F17" s="12" t="s">
        <v>438</v>
      </c>
      <c r="G17" s="8">
        <f t="shared" si="2"/>
        <v>7</v>
      </c>
    </row>
    <row r="18" spans="1:7" ht="15.4" x14ac:dyDescent="0.45">
      <c r="A18" s="8">
        <f t="shared" ref="A18:A21" si="3">A17+1</f>
        <v>8</v>
      </c>
      <c r="B18" s="5"/>
      <c r="C18" s="12"/>
      <c r="D18" s="266"/>
      <c r="E18" s="5"/>
      <c r="F18" s="5"/>
      <c r="G18" s="8">
        <f t="shared" si="2"/>
        <v>8</v>
      </c>
    </row>
    <row r="19" spans="1:7" ht="15.4" x14ac:dyDescent="0.45">
      <c r="A19" s="8">
        <f t="shared" si="3"/>
        <v>9</v>
      </c>
      <c r="B19" s="391" t="s">
        <v>277</v>
      </c>
      <c r="C19" s="12"/>
      <c r="D19" s="612">
        <v>12</v>
      </c>
      <c r="E19" s="5"/>
      <c r="F19" s="5"/>
      <c r="G19" s="8">
        <f t="shared" si="2"/>
        <v>9</v>
      </c>
    </row>
    <row r="20" spans="1:7" ht="15.4" x14ac:dyDescent="0.45">
      <c r="A20" s="8">
        <f t="shared" si="3"/>
        <v>10</v>
      </c>
      <c r="B20" s="5"/>
      <c r="C20" s="12"/>
      <c r="D20" s="266"/>
      <c r="E20" s="5"/>
      <c r="F20" s="5"/>
      <c r="G20" s="8">
        <f t="shared" si="2"/>
        <v>10</v>
      </c>
    </row>
    <row r="21" spans="1:7" ht="15.75" thickBot="1" x14ac:dyDescent="0.5">
      <c r="A21" s="8">
        <f t="shared" si="3"/>
        <v>11</v>
      </c>
      <c r="B21" s="709" t="s">
        <v>381</v>
      </c>
      <c r="C21" s="5"/>
      <c r="D21" s="758">
        <f>D17/12</f>
        <v>-0.26605950274572815</v>
      </c>
      <c r="E21" s="5"/>
      <c r="F21" s="12" t="s">
        <v>439</v>
      </c>
      <c r="G21" s="8">
        <f t="shared" si="2"/>
        <v>11</v>
      </c>
    </row>
    <row r="22" spans="1:7" ht="15.75" thickTop="1" x14ac:dyDescent="0.45">
      <c r="A22" s="8"/>
      <c r="B22" s="268"/>
      <c r="C22" s="5"/>
      <c r="D22" s="611"/>
      <c r="E22" s="5"/>
      <c r="F22" s="5"/>
      <c r="G22" s="5"/>
    </row>
    <row r="23" spans="1:7" ht="15.4" x14ac:dyDescent="0.45">
      <c r="B23" s="5"/>
      <c r="C23" s="5"/>
      <c r="D23" s="5"/>
      <c r="E23" s="5"/>
      <c r="F23" s="5"/>
      <c r="G23" s="5"/>
    </row>
    <row r="24" spans="1:7" ht="16.149999999999999" x14ac:dyDescent="0.45">
      <c r="A24" s="18">
        <v>1</v>
      </c>
      <c r="B24" s="19" t="s">
        <v>383</v>
      </c>
      <c r="C24" s="5"/>
      <c r="D24" s="5"/>
      <c r="E24" s="5"/>
      <c r="F24" s="5"/>
      <c r="G24" s="5"/>
    </row>
    <row r="25" spans="1:7" ht="15.4" x14ac:dyDescent="0.45">
      <c r="B25" s="19" t="s">
        <v>624</v>
      </c>
      <c r="C25" s="5"/>
      <c r="D25" s="5"/>
      <c r="E25" s="5"/>
      <c r="F25" s="5"/>
      <c r="G25" s="5"/>
    </row>
    <row r="26" spans="1:7" ht="15.4" x14ac:dyDescent="0.45">
      <c r="B26" s="5"/>
      <c r="C26" s="5"/>
      <c r="D26" s="5"/>
      <c r="E26" s="5"/>
      <c r="F26" s="5"/>
      <c r="G26" s="5"/>
    </row>
    <row r="27" spans="1:7" ht="15.4" x14ac:dyDescent="0.45">
      <c r="B27" s="5"/>
      <c r="C27" s="5"/>
      <c r="D27" s="5"/>
      <c r="E27" s="5"/>
      <c r="F27" s="5"/>
      <c r="G27" s="5"/>
    </row>
    <row r="28" spans="1:7" ht="15.4" x14ac:dyDescent="0.45">
      <c r="B28" s="5"/>
      <c r="C28" s="5"/>
      <c r="D28" s="5"/>
      <c r="E28" s="5"/>
      <c r="F28" s="5"/>
      <c r="G28" s="5"/>
    </row>
    <row r="29" spans="1:7" ht="16.149999999999999" x14ac:dyDescent="0.45">
      <c r="A29" s="18"/>
      <c r="B29" s="5"/>
      <c r="C29" s="5"/>
      <c r="D29" s="5"/>
      <c r="E29" s="5"/>
      <c r="F29" s="5"/>
      <c r="G29" s="5"/>
    </row>
    <row r="30" spans="1:7" ht="15.4" x14ac:dyDescent="0.45">
      <c r="B30" s="5"/>
      <c r="C30" s="5"/>
      <c r="D30" s="5"/>
      <c r="E30" s="5"/>
      <c r="F30" s="5"/>
      <c r="G30" s="5"/>
    </row>
    <row r="31" spans="1:7" ht="15.4" x14ac:dyDescent="0.45">
      <c r="B31" s="5"/>
      <c r="C31" s="5"/>
      <c r="D31" s="5"/>
      <c r="E31" s="5"/>
      <c r="F31" s="5"/>
      <c r="G31" s="5"/>
    </row>
    <row r="32" spans="1:7" ht="15.4" x14ac:dyDescent="0.45">
      <c r="B32" s="5"/>
      <c r="C32" s="5"/>
      <c r="D32" s="5"/>
      <c r="E32" s="5"/>
      <c r="F32" s="5"/>
      <c r="G32" s="5"/>
    </row>
    <row r="33" spans="2:7" ht="15.4" x14ac:dyDescent="0.45">
      <c r="B33" s="5"/>
      <c r="C33" s="5"/>
      <c r="D33" s="5"/>
      <c r="E33" s="5"/>
      <c r="F33" s="5"/>
      <c r="G33" s="5"/>
    </row>
    <row r="34" spans="2:7" ht="15.4" x14ac:dyDescent="0.45">
      <c r="B34" s="5"/>
      <c r="C34" s="5"/>
      <c r="D34" s="5"/>
      <c r="E34" s="5"/>
      <c r="F34" s="5"/>
      <c r="G34" s="5"/>
    </row>
    <row r="35" spans="2:7" ht="15.4" x14ac:dyDescent="0.45">
      <c r="B35" s="5"/>
      <c r="C35" s="5"/>
      <c r="D35" s="5"/>
      <c r="E35" s="5"/>
      <c r="F35" s="5"/>
      <c r="G35" s="5"/>
    </row>
    <row r="36" spans="2:7" ht="15.4" x14ac:dyDescent="0.45">
      <c r="B36" s="5"/>
      <c r="C36" s="5"/>
      <c r="D36" s="5"/>
      <c r="E36" s="5"/>
      <c r="F36" s="5"/>
      <c r="G36" s="5"/>
    </row>
    <row r="37" spans="2:7" ht="15.4" x14ac:dyDescent="0.45">
      <c r="B37" s="5"/>
      <c r="C37" s="5"/>
      <c r="D37" s="5"/>
      <c r="E37" s="5"/>
      <c r="F37" s="5"/>
      <c r="G37" s="5"/>
    </row>
    <row r="38" spans="2:7" ht="15.4" x14ac:dyDescent="0.45">
      <c r="B38" s="5"/>
      <c r="C38" s="5"/>
      <c r="D38" s="5"/>
      <c r="E38" s="5"/>
      <c r="F38" s="5"/>
      <c r="G38" s="5"/>
    </row>
    <row r="39" spans="2:7" ht="15.4" x14ac:dyDescent="0.45">
      <c r="B39" s="5"/>
      <c r="C39" s="5"/>
      <c r="D39" s="5"/>
      <c r="E39" s="5"/>
      <c r="F39" s="5"/>
      <c r="G39" s="5"/>
    </row>
    <row r="40" spans="2:7" ht="15.4" x14ac:dyDescent="0.45">
      <c r="B40" s="5"/>
      <c r="C40" s="5"/>
      <c r="D40" s="5"/>
      <c r="E40" s="5"/>
      <c r="F40" s="5"/>
      <c r="G40" s="5"/>
    </row>
    <row r="41" spans="2:7" ht="15.4" x14ac:dyDescent="0.45">
      <c r="B41" s="5"/>
      <c r="C41" s="5"/>
      <c r="D41" s="5"/>
      <c r="E41" s="5"/>
      <c r="F41" s="5"/>
      <c r="G41" s="5"/>
    </row>
  </sheetData>
  <mergeCells count="2">
    <mergeCell ref="B6:F6"/>
    <mergeCell ref="B4:F4"/>
  </mergeCells>
  <printOptions horizontalCentered="1"/>
  <pageMargins left="0.5" right="0.5" top="0.5" bottom="0.5" header="0.25" footer="0.25"/>
  <pageSetup scale="65" orientation="portrait" r:id="rId1"/>
  <headerFooter scaleWithDoc="0" alignWithMargins="0">
    <oddFooter>&amp;CPage 1&amp;R&amp;F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688-7ED5-421D-AD82-B5DE25D5B956}">
  <dimension ref="A1:M158"/>
  <sheetViews>
    <sheetView zoomScale="80" zoomScaleNormal="80" workbookViewId="0"/>
  </sheetViews>
  <sheetFormatPr defaultColWidth="8.86328125" defaultRowHeight="15.4" x14ac:dyDescent="0.45"/>
  <cols>
    <col min="1" max="1" width="5.265625" style="43" customWidth="1"/>
    <col min="2" max="2" width="55.3984375" style="44" customWidth="1"/>
    <col min="3" max="5" width="15.59765625" style="44" customWidth="1"/>
    <col min="6" max="6" width="1.59765625" style="44" customWidth="1"/>
    <col min="7" max="7" width="16.86328125" style="44" customWidth="1"/>
    <col min="8" max="8" width="1.59765625" style="44" customWidth="1"/>
    <col min="9" max="9" width="38.73046875" style="210" customWidth="1"/>
    <col min="10" max="10" width="5.265625" style="44" customWidth="1"/>
    <col min="11" max="11" width="27" style="44" bestFit="1" customWidth="1"/>
    <col min="12" max="12" width="15" style="44" bestFit="1" customWidth="1"/>
    <col min="13" max="13" width="10.3984375" style="44" bestFit="1" customWidth="1"/>
    <col min="14" max="16384" width="8.86328125" style="44"/>
  </cols>
  <sheetData>
    <row r="1" spans="1:10" x14ac:dyDescent="0.45">
      <c r="A1" s="588"/>
      <c r="G1" s="71"/>
      <c r="H1" s="71"/>
      <c r="I1" s="234"/>
      <c r="J1" s="43"/>
    </row>
    <row r="2" spans="1:10" x14ac:dyDescent="0.45">
      <c r="B2" s="769" t="s">
        <v>373</v>
      </c>
      <c r="C2" s="769"/>
      <c r="D2" s="769"/>
      <c r="E2" s="769"/>
      <c r="F2" s="769"/>
      <c r="G2" s="769"/>
      <c r="H2" s="769"/>
      <c r="I2" s="769"/>
      <c r="J2" s="43"/>
    </row>
    <row r="3" spans="1:10" x14ac:dyDescent="0.45">
      <c r="B3" s="769" t="s">
        <v>390</v>
      </c>
      <c r="C3" s="769"/>
      <c r="D3" s="769"/>
      <c r="E3" s="769"/>
      <c r="F3" s="769"/>
      <c r="G3" s="769"/>
      <c r="H3" s="769"/>
      <c r="I3" s="769"/>
      <c r="J3" s="43"/>
    </row>
    <row r="4" spans="1:10" x14ac:dyDescent="0.45">
      <c r="B4" s="769" t="s">
        <v>177</v>
      </c>
      <c r="C4" s="769"/>
      <c r="D4" s="769"/>
      <c r="E4" s="769"/>
      <c r="F4" s="769"/>
      <c r="G4" s="769"/>
      <c r="H4" s="769"/>
      <c r="I4" s="769"/>
      <c r="J4" s="43"/>
    </row>
    <row r="5" spans="1:10" x14ac:dyDescent="0.45">
      <c r="B5" s="770" t="s">
        <v>501</v>
      </c>
      <c r="C5" s="770"/>
      <c r="D5" s="770"/>
      <c r="E5" s="770"/>
      <c r="F5" s="770"/>
      <c r="G5" s="770"/>
      <c r="H5" s="770"/>
      <c r="I5" s="770"/>
      <c r="J5" s="43"/>
    </row>
    <row r="6" spans="1:10" x14ac:dyDescent="0.45">
      <c r="B6" s="771" t="s">
        <v>1</v>
      </c>
      <c r="C6" s="772"/>
      <c r="D6" s="772"/>
      <c r="E6" s="772"/>
      <c r="F6" s="772"/>
      <c r="G6" s="772"/>
      <c r="H6" s="772"/>
      <c r="I6" s="772"/>
      <c r="J6" s="43"/>
    </row>
    <row r="7" spans="1:10" x14ac:dyDescent="0.45">
      <c r="B7" s="43"/>
      <c r="C7" s="43"/>
      <c r="D7" s="43"/>
      <c r="E7" s="43"/>
      <c r="F7" s="43"/>
      <c r="G7" s="43"/>
      <c r="H7" s="43"/>
      <c r="I7" s="55"/>
      <c r="J7" s="43"/>
    </row>
    <row r="8" spans="1:10" x14ac:dyDescent="0.45">
      <c r="A8" s="43" t="s">
        <v>2</v>
      </c>
      <c r="B8" s="617"/>
      <c r="C8" s="617"/>
      <c r="D8" s="617"/>
      <c r="E8" s="43" t="s">
        <v>26</v>
      </c>
      <c r="F8" s="617"/>
      <c r="G8" s="617"/>
      <c r="H8" s="617"/>
      <c r="I8" s="55"/>
      <c r="J8" s="43" t="s">
        <v>2</v>
      </c>
    </row>
    <row r="9" spans="1:10" x14ac:dyDescent="0.45">
      <c r="A9" s="43" t="s">
        <v>6</v>
      </c>
      <c r="B9" s="43"/>
      <c r="C9" s="43"/>
      <c r="D9" s="43"/>
      <c r="E9" s="515" t="s">
        <v>27</v>
      </c>
      <c r="F9" s="43"/>
      <c r="G9" s="516" t="s">
        <v>4</v>
      </c>
      <c r="H9" s="617"/>
      <c r="I9" s="589" t="s">
        <v>5</v>
      </c>
      <c r="J9" s="43" t="s">
        <v>6</v>
      </c>
    </row>
    <row r="10" spans="1:10" x14ac:dyDescent="0.45">
      <c r="B10" s="43"/>
      <c r="C10" s="43"/>
      <c r="D10" s="43"/>
      <c r="E10" s="43"/>
      <c r="F10" s="43"/>
      <c r="G10" s="43"/>
      <c r="H10" s="43"/>
      <c r="I10" s="55"/>
      <c r="J10" s="43"/>
    </row>
    <row r="11" spans="1:10" x14ac:dyDescent="0.45">
      <c r="A11" s="43">
        <v>1</v>
      </c>
      <c r="B11" s="48" t="s">
        <v>178</v>
      </c>
      <c r="I11" s="55"/>
      <c r="J11" s="43">
        <f>A11</f>
        <v>1</v>
      </c>
    </row>
    <row r="12" spans="1:10" x14ac:dyDescent="0.45">
      <c r="A12" s="43">
        <f>A11+1</f>
        <v>2</v>
      </c>
      <c r="B12" s="44" t="s">
        <v>179</v>
      </c>
      <c r="E12" s="43" t="s">
        <v>180</v>
      </c>
      <c r="G12" s="211">
        <v>4776266</v>
      </c>
      <c r="H12" s="617"/>
      <c r="I12" s="214"/>
      <c r="J12" s="43">
        <f>J11+1</f>
        <v>2</v>
      </c>
    </row>
    <row r="13" spans="1:10" x14ac:dyDescent="0.45">
      <c r="A13" s="43">
        <f t="shared" ref="A13:A65" si="0">A12+1</f>
        <v>3</v>
      </c>
      <c r="B13" s="44" t="s">
        <v>181</v>
      </c>
      <c r="E13" s="43" t="s">
        <v>182</v>
      </c>
      <c r="G13" s="212">
        <v>0</v>
      </c>
      <c r="H13" s="617"/>
      <c r="I13" s="214"/>
      <c r="J13" s="43">
        <f t="shared" ref="J13:J65" si="1">J12+1</f>
        <v>3</v>
      </c>
    </row>
    <row r="14" spans="1:10" x14ac:dyDescent="0.45">
      <c r="A14" s="43">
        <f t="shared" si="0"/>
        <v>4</v>
      </c>
      <c r="B14" s="44" t="s">
        <v>183</v>
      </c>
      <c r="E14" s="43" t="s">
        <v>184</v>
      </c>
      <c r="G14" s="212">
        <v>0</v>
      </c>
      <c r="H14" s="617"/>
      <c r="I14" s="214"/>
      <c r="J14" s="43">
        <f t="shared" si="1"/>
        <v>4</v>
      </c>
    </row>
    <row r="15" spans="1:10" x14ac:dyDescent="0.45">
      <c r="A15" s="43">
        <f t="shared" si="0"/>
        <v>5</v>
      </c>
      <c r="B15" s="44" t="s">
        <v>185</v>
      </c>
      <c r="E15" s="43" t="s">
        <v>186</v>
      </c>
      <c r="G15" s="212">
        <v>0</v>
      </c>
      <c r="H15" s="617"/>
      <c r="I15" s="214"/>
      <c r="J15" s="43">
        <f t="shared" si="1"/>
        <v>5</v>
      </c>
    </row>
    <row r="16" spans="1:10" x14ac:dyDescent="0.45">
      <c r="A16" s="43">
        <f t="shared" si="0"/>
        <v>6</v>
      </c>
      <c r="B16" s="44" t="s">
        <v>187</v>
      </c>
      <c r="E16" s="43" t="s">
        <v>188</v>
      </c>
      <c r="G16" s="212">
        <v>-12609.584859999999</v>
      </c>
      <c r="H16" s="617"/>
      <c r="I16" s="214"/>
      <c r="J16" s="43">
        <f t="shared" si="1"/>
        <v>6</v>
      </c>
    </row>
    <row r="17" spans="1:10" x14ac:dyDescent="0.45">
      <c r="A17" s="43">
        <f t="shared" si="0"/>
        <v>7</v>
      </c>
      <c r="B17" s="44" t="s">
        <v>189</v>
      </c>
      <c r="G17" s="213">
        <f>SUM(G12:G16)</f>
        <v>4763656.4151400002</v>
      </c>
      <c r="H17" s="207"/>
      <c r="I17" s="55" t="str">
        <f>"Sum Lines "&amp;A12&amp;" thru "&amp;A16</f>
        <v>Sum Lines 2 thru 6</v>
      </c>
      <c r="J17" s="43">
        <f t="shared" si="1"/>
        <v>7</v>
      </c>
    </row>
    <row r="18" spans="1:10" x14ac:dyDescent="0.45">
      <c r="A18" s="43">
        <f t="shared" si="0"/>
        <v>8</v>
      </c>
      <c r="I18" s="55"/>
      <c r="J18" s="43">
        <f t="shared" si="1"/>
        <v>8</v>
      </c>
    </row>
    <row r="19" spans="1:10" x14ac:dyDescent="0.45">
      <c r="A19" s="43">
        <f t="shared" si="0"/>
        <v>9</v>
      </c>
      <c r="B19" s="48" t="s">
        <v>190</v>
      </c>
      <c r="G19" s="42"/>
      <c r="H19" s="42"/>
      <c r="I19" s="55"/>
      <c r="J19" s="43">
        <f t="shared" si="1"/>
        <v>9</v>
      </c>
    </row>
    <row r="20" spans="1:10" x14ac:dyDescent="0.45">
      <c r="A20" s="43">
        <f t="shared" si="0"/>
        <v>10</v>
      </c>
      <c r="B20" s="44" t="s">
        <v>191</v>
      </c>
      <c r="E20" s="43" t="s">
        <v>192</v>
      </c>
      <c r="G20" s="211">
        <v>200012.28902</v>
      </c>
      <c r="H20" s="617"/>
      <c r="I20" s="214"/>
      <c r="J20" s="43">
        <f t="shared" si="1"/>
        <v>10</v>
      </c>
    </row>
    <row r="21" spans="1:10" x14ac:dyDescent="0.45">
      <c r="A21" s="43">
        <f t="shared" si="0"/>
        <v>11</v>
      </c>
      <c r="B21" s="44" t="s">
        <v>193</v>
      </c>
      <c r="E21" s="43" t="s">
        <v>194</v>
      </c>
      <c r="G21" s="212">
        <v>3450.8071800000002</v>
      </c>
      <c r="H21" s="617"/>
      <c r="I21" s="214"/>
      <c r="J21" s="43">
        <f t="shared" si="1"/>
        <v>11</v>
      </c>
    </row>
    <row r="22" spans="1:10" x14ac:dyDescent="0.45">
      <c r="A22" s="43">
        <f t="shared" si="0"/>
        <v>12</v>
      </c>
      <c r="B22" s="44" t="s">
        <v>195</v>
      </c>
      <c r="E22" s="43" t="s">
        <v>196</v>
      </c>
      <c r="G22" s="212">
        <v>2799.42463</v>
      </c>
      <c r="H22" s="617"/>
      <c r="I22" s="214"/>
      <c r="J22" s="43">
        <f t="shared" si="1"/>
        <v>12</v>
      </c>
    </row>
    <row r="23" spans="1:10" x14ac:dyDescent="0.45">
      <c r="A23" s="43">
        <f t="shared" si="0"/>
        <v>13</v>
      </c>
      <c r="B23" s="44" t="s">
        <v>197</v>
      </c>
      <c r="E23" s="43" t="s">
        <v>198</v>
      </c>
      <c r="G23" s="212">
        <v>0</v>
      </c>
      <c r="H23" s="617"/>
      <c r="I23" s="214"/>
      <c r="J23" s="43">
        <f t="shared" si="1"/>
        <v>13</v>
      </c>
    </row>
    <row r="24" spans="1:10" x14ac:dyDescent="0.45">
      <c r="A24" s="43">
        <f t="shared" si="0"/>
        <v>14</v>
      </c>
      <c r="B24" s="44" t="s">
        <v>199</v>
      </c>
      <c r="E24" s="43" t="s">
        <v>200</v>
      </c>
      <c r="G24" s="212">
        <v>0</v>
      </c>
      <c r="H24" s="617"/>
      <c r="I24" s="214"/>
      <c r="J24" s="43">
        <f t="shared" si="1"/>
        <v>14</v>
      </c>
    </row>
    <row r="25" spans="1:10" x14ac:dyDescent="0.45">
      <c r="A25" s="43">
        <f t="shared" si="0"/>
        <v>15</v>
      </c>
      <c r="B25" s="44" t="s">
        <v>201</v>
      </c>
      <c r="G25" s="215">
        <f>SUM(G20:G24)</f>
        <v>206262.52082999999</v>
      </c>
      <c r="H25" s="216"/>
      <c r="I25" s="55" t="str">
        <f>"Sum Lines "&amp;A20&amp;" thru "&amp;A24</f>
        <v>Sum Lines 10 thru 14</v>
      </c>
      <c r="J25" s="43">
        <f t="shared" si="1"/>
        <v>15</v>
      </c>
    </row>
    <row r="26" spans="1:10" x14ac:dyDescent="0.45">
      <c r="A26" s="43">
        <f t="shared" si="0"/>
        <v>16</v>
      </c>
      <c r="I26" s="55"/>
      <c r="J26" s="43">
        <f t="shared" si="1"/>
        <v>16</v>
      </c>
    </row>
    <row r="27" spans="1:10" ht="15.75" thickBot="1" x14ac:dyDescent="0.5">
      <c r="A27" s="43">
        <f t="shared" si="0"/>
        <v>17</v>
      </c>
      <c r="B27" s="48" t="s">
        <v>202</v>
      </c>
      <c r="G27" s="217">
        <f>G25/G17</f>
        <v>4.329920188501632E-2</v>
      </c>
      <c r="H27" s="218"/>
      <c r="I27" s="55" t="str">
        <f>"Line "&amp;A25&amp;" / Line "&amp;A17</f>
        <v>Line 15 / Line 7</v>
      </c>
      <c r="J27" s="43">
        <f t="shared" si="1"/>
        <v>17</v>
      </c>
    </row>
    <row r="28" spans="1:10" ht="15.75" thickTop="1" x14ac:dyDescent="0.45">
      <c r="A28" s="43">
        <f t="shared" si="0"/>
        <v>18</v>
      </c>
      <c r="I28" s="55"/>
      <c r="J28" s="43">
        <f t="shared" si="1"/>
        <v>18</v>
      </c>
    </row>
    <row r="29" spans="1:10" x14ac:dyDescent="0.45">
      <c r="A29" s="43">
        <f t="shared" si="0"/>
        <v>19</v>
      </c>
      <c r="B29" s="48" t="s">
        <v>203</v>
      </c>
      <c r="I29" s="55"/>
      <c r="J29" s="43">
        <f t="shared" si="1"/>
        <v>19</v>
      </c>
    </row>
    <row r="30" spans="1:10" x14ac:dyDescent="0.45">
      <c r="A30" s="43">
        <f t="shared" si="0"/>
        <v>20</v>
      </c>
      <c r="B30" s="44" t="s">
        <v>204</v>
      </c>
      <c r="E30" s="43" t="s">
        <v>205</v>
      </c>
      <c r="G30" s="211">
        <v>0</v>
      </c>
      <c r="H30" s="617"/>
      <c r="I30" s="214"/>
      <c r="J30" s="43">
        <f t="shared" si="1"/>
        <v>20</v>
      </c>
    </row>
    <row r="31" spans="1:10" x14ac:dyDescent="0.45">
      <c r="A31" s="43">
        <f t="shared" si="0"/>
        <v>21</v>
      </c>
      <c r="B31" s="44" t="s">
        <v>206</v>
      </c>
      <c r="E31" s="43" t="s">
        <v>207</v>
      </c>
      <c r="G31" s="590">
        <v>0</v>
      </c>
      <c r="H31" s="617"/>
      <c r="I31" s="214"/>
      <c r="J31" s="43">
        <f t="shared" si="1"/>
        <v>21</v>
      </c>
    </row>
    <row r="32" spans="1:10" ht="15.75" thickBot="1" x14ac:dyDescent="0.5">
      <c r="A32" s="43">
        <f t="shared" si="0"/>
        <v>22</v>
      </c>
      <c r="B32" s="44" t="s">
        <v>208</v>
      </c>
      <c r="G32" s="217">
        <f>IFERROR((G31/G30),0)</f>
        <v>0</v>
      </c>
      <c r="H32" s="218"/>
      <c r="I32" s="55" t="str">
        <f>"Line "&amp;A31&amp;" / Line "&amp;A30</f>
        <v>Line 21 / Line 20</v>
      </c>
      <c r="J32" s="43">
        <f t="shared" si="1"/>
        <v>22</v>
      </c>
    </row>
    <row r="33" spans="1:12" ht="15.75" thickTop="1" x14ac:dyDescent="0.45">
      <c r="A33" s="43">
        <f t="shared" si="0"/>
        <v>23</v>
      </c>
      <c r="I33" s="55"/>
      <c r="J33" s="43">
        <f t="shared" si="1"/>
        <v>23</v>
      </c>
    </row>
    <row r="34" spans="1:12" x14ac:dyDescent="0.45">
      <c r="A34" s="43">
        <f t="shared" si="0"/>
        <v>24</v>
      </c>
      <c r="B34" s="48" t="s">
        <v>209</v>
      </c>
      <c r="I34" s="55"/>
      <c r="J34" s="43">
        <f t="shared" si="1"/>
        <v>24</v>
      </c>
    </row>
    <row r="35" spans="1:12" x14ac:dyDescent="0.45">
      <c r="A35" s="43">
        <f t="shared" si="0"/>
        <v>25</v>
      </c>
      <c r="B35" s="44" t="s">
        <v>210</v>
      </c>
      <c r="E35" s="43" t="s">
        <v>211</v>
      </c>
      <c r="G35" s="211">
        <v>6011923.3266400006</v>
      </c>
      <c r="H35" s="617"/>
      <c r="I35" s="214"/>
      <c r="J35" s="43">
        <f t="shared" si="1"/>
        <v>25</v>
      </c>
      <c r="K35" s="51"/>
      <c r="L35" s="591"/>
    </row>
    <row r="36" spans="1:12" x14ac:dyDescent="0.45">
      <c r="A36" s="43">
        <f t="shared" si="0"/>
        <v>26</v>
      </c>
      <c r="B36" s="44" t="s">
        <v>212</v>
      </c>
      <c r="E36" s="43" t="s">
        <v>205</v>
      </c>
      <c r="G36" s="219">
        <v>0</v>
      </c>
      <c r="H36" s="219"/>
      <c r="I36" s="55" t="str">
        <f>"Negative of Line "&amp;A30&amp;" Above"</f>
        <v>Negative of Line 20 Above</v>
      </c>
      <c r="J36" s="43">
        <f t="shared" si="1"/>
        <v>26</v>
      </c>
    </row>
    <row r="37" spans="1:12" x14ac:dyDescent="0.45">
      <c r="A37" s="43">
        <f t="shared" si="0"/>
        <v>27</v>
      </c>
      <c r="B37" s="44" t="s">
        <v>213</v>
      </c>
      <c r="E37" s="43" t="s">
        <v>214</v>
      </c>
      <c r="G37" s="212">
        <v>0</v>
      </c>
      <c r="H37" s="617"/>
      <c r="I37" s="214"/>
      <c r="J37" s="43">
        <f t="shared" si="1"/>
        <v>27</v>
      </c>
    </row>
    <row r="38" spans="1:12" x14ac:dyDescent="0.45">
      <c r="A38" s="43">
        <f t="shared" si="0"/>
        <v>28</v>
      </c>
      <c r="B38" s="44" t="s">
        <v>215</v>
      </c>
      <c r="E38" s="43" t="s">
        <v>216</v>
      </c>
      <c r="G38" s="212">
        <v>9578.0788499999999</v>
      </c>
      <c r="H38" s="617"/>
      <c r="I38" s="214"/>
      <c r="J38" s="43">
        <f t="shared" si="1"/>
        <v>28</v>
      </c>
    </row>
    <row r="39" spans="1:12" ht="15.75" thickBot="1" x14ac:dyDescent="0.5">
      <c r="A39" s="43">
        <f t="shared" si="0"/>
        <v>29</v>
      </c>
      <c r="B39" s="44" t="s">
        <v>217</v>
      </c>
      <c r="G39" s="220">
        <f>SUM(G35:G38)</f>
        <v>6021501.4054900007</v>
      </c>
      <c r="H39" s="221"/>
      <c r="I39" s="55" t="str">
        <f>"Sum Lines "&amp;A35&amp;" thru "&amp;A38</f>
        <v>Sum Lines 25 thru 28</v>
      </c>
      <c r="J39" s="43">
        <f t="shared" si="1"/>
        <v>29</v>
      </c>
    </row>
    <row r="40" spans="1:12" ht="16.149999999999999" thickTop="1" thickBot="1" x14ac:dyDescent="0.5">
      <c r="A40" s="222">
        <f t="shared" si="0"/>
        <v>30</v>
      </c>
      <c r="B40" s="127"/>
      <c r="C40" s="127"/>
      <c r="D40" s="127"/>
      <c r="E40" s="127"/>
      <c r="F40" s="127"/>
      <c r="G40" s="127"/>
      <c r="H40" s="127"/>
      <c r="I40" s="223"/>
      <c r="J40" s="222">
        <f t="shared" si="1"/>
        <v>30</v>
      </c>
    </row>
    <row r="41" spans="1:12" x14ac:dyDescent="0.45">
      <c r="A41" s="43">
        <f>A40+1</f>
        <v>31</v>
      </c>
      <c r="I41" s="55"/>
      <c r="J41" s="43">
        <f>J40+1</f>
        <v>31</v>
      </c>
    </row>
    <row r="42" spans="1:12" ht="18" thickBot="1" x14ac:dyDescent="0.5">
      <c r="A42" s="43">
        <f>A41+1</f>
        <v>32</v>
      </c>
      <c r="B42" s="48" t="s">
        <v>382</v>
      </c>
      <c r="G42" s="224">
        <v>0.112</v>
      </c>
      <c r="H42" s="617"/>
      <c r="I42" s="55" t="s">
        <v>391</v>
      </c>
      <c r="J42" s="43">
        <f>J41+1</f>
        <v>32</v>
      </c>
    </row>
    <row r="43" spans="1:12" ht="15.75" thickTop="1" x14ac:dyDescent="0.45">
      <c r="A43" s="43">
        <f t="shared" si="0"/>
        <v>33</v>
      </c>
      <c r="C43" s="77" t="s">
        <v>10</v>
      </c>
      <c r="D43" s="77" t="s">
        <v>53</v>
      </c>
      <c r="E43" s="77" t="s">
        <v>218</v>
      </c>
      <c r="F43" s="77"/>
      <c r="G43" s="77" t="s">
        <v>219</v>
      </c>
      <c r="H43" s="77"/>
      <c r="I43" s="55"/>
      <c r="J43" s="43">
        <f t="shared" si="1"/>
        <v>33</v>
      </c>
    </row>
    <row r="44" spans="1:12" x14ac:dyDescent="0.45">
      <c r="A44" s="43">
        <f t="shared" si="0"/>
        <v>34</v>
      </c>
      <c r="D44" s="43" t="s">
        <v>220</v>
      </c>
      <c r="E44" s="43" t="s">
        <v>221</v>
      </c>
      <c r="F44" s="43"/>
      <c r="G44" s="43" t="s">
        <v>222</v>
      </c>
      <c r="H44" s="43"/>
      <c r="I44" s="55"/>
      <c r="J44" s="43">
        <f t="shared" si="1"/>
        <v>34</v>
      </c>
    </row>
    <row r="45" spans="1:12" ht="17.25" x14ac:dyDescent="0.45">
      <c r="A45" s="43">
        <f t="shared" si="0"/>
        <v>35</v>
      </c>
      <c r="B45" s="48" t="s">
        <v>223</v>
      </c>
      <c r="C45" s="515" t="s">
        <v>224</v>
      </c>
      <c r="D45" s="515" t="s">
        <v>225</v>
      </c>
      <c r="E45" s="515" t="s">
        <v>226</v>
      </c>
      <c r="F45" s="515"/>
      <c r="G45" s="515" t="s">
        <v>227</v>
      </c>
      <c r="H45" s="43"/>
      <c r="I45" s="55"/>
      <c r="J45" s="43">
        <f t="shared" si="1"/>
        <v>35</v>
      </c>
    </row>
    <row r="46" spans="1:12" x14ac:dyDescent="0.45">
      <c r="A46" s="43">
        <f t="shared" si="0"/>
        <v>36</v>
      </c>
      <c r="I46" s="55"/>
      <c r="J46" s="43">
        <f t="shared" si="1"/>
        <v>36</v>
      </c>
    </row>
    <row r="47" spans="1:12" x14ac:dyDescent="0.45">
      <c r="A47" s="43">
        <f t="shared" si="0"/>
        <v>37</v>
      </c>
      <c r="B47" s="44" t="s">
        <v>228</v>
      </c>
      <c r="C47" s="68">
        <f>G17</f>
        <v>4763656.4151400002</v>
      </c>
      <c r="D47" s="225">
        <f>C47/C$50</f>
        <v>0.4416862965164971</v>
      </c>
      <c r="E47" s="226">
        <f>G27</f>
        <v>4.329920188501632E-2</v>
      </c>
      <c r="G47" s="227">
        <f>D47*E47</f>
        <v>1.9124664122712989E-2</v>
      </c>
      <c r="H47" s="227"/>
      <c r="I47" s="55" t="str">
        <f>"Col. c = Line "&amp;A27&amp;" Above"</f>
        <v>Col. c = Line 17 Above</v>
      </c>
      <c r="J47" s="43">
        <f t="shared" si="1"/>
        <v>37</v>
      </c>
    </row>
    <row r="48" spans="1:12" x14ac:dyDescent="0.45">
      <c r="A48" s="43">
        <f t="shared" si="0"/>
        <v>38</v>
      </c>
      <c r="B48" s="44" t="s">
        <v>229</v>
      </c>
      <c r="C48" s="228">
        <f>G30</f>
        <v>0</v>
      </c>
      <c r="D48" s="225">
        <f>C48/C$50</f>
        <v>0</v>
      </c>
      <c r="E48" s="226">
        <f>G32</f>
        <v>0</v>
      </c>
      <c r="G48" s="227">
        <f>D48*E48</f>
        <v>0</v>
      </c>
      <c r="H48" s="227"/>
      <c r="I48" s="55" t="str">
        <f>"Col. c = Line "&amp;A32&amp;" Above"</f>
        <v>Col. c = Line 22 Above</v>
      </c>
      <c r="J48" s="43">
        <f t="shared" si="1"/>
        <v>38</v>
      </c>
    </row>
    <row r="49" spans="1:10" x14ac:dyDescent="0.45">
      <c r="A49" s="43">
        <f t="shared" si="0"/>
        <v>39</v>
      </c>
      <c r="B49" s="44" t="s">
        <v>230</v>
      </c>
      <c r="C49" s="228">
        <f>G39</f>
        <v>6021501.4054900007</v>
      </c>
      <c r="D49" s="592">
        <f>C49/C$50</f>
        <v>0.55831370348350295</v>
      </c>
      <c r="E49" s="229">
        <f>G42</f>
        <v>0.112</v>
      </c>
      <c r="G49" s="593">
        <f>D49*E49</f>
        <v>6.2531134790152335E-2</v>
      </c>
      <c r="H49" s="218"/>
      <c r="I49" s="55" t="str">
        <f>"Col. c = Line "&amp;A42&amp;" Above"</f>
        <v>Col. c = Line 32 Above</v>
      </c>
      <c r="J49" s="43">
        <f t="shared" si="1"/>
        <v>39</v>
      </c>
    </row>
    <row r="50" spans="1:10" ht="15.75" thickBot="1" x14ac:dyDescent="0.5">
      <c r="A50" s="43">
        <f t="shared" si="0"/>
        <v>40</v>
      </c>
      <c r="B50" s="44" t="s">
        <v>231</v>
      </c>
      <c r="C50" s="230">
        <f>SUM(C47:C49)</f>
        <v>10785157.820630001</v>
      </c>
      <c r="D50" s="231">
        <f>SUM(D47:D49)</f>
        <v>1</v>
      </c>
      <c r="G50" s="217">
        <f>SUM(G47:G49)</f>
        <v>8.1655798912865327E-2</v>
      </c>
      <c r="H50" s="218"/>
      <c r="I50" s="55" t="str">
        <f>"Sum Lines "&amp;A47&amp;" thru "&amp;A49</f>
        <v>Sum Lines 37 thru 39</v>
      </c>
      <c r="J50" s="43">
        <f t="shared" si="1"/>
        <v>40</v>
      </c>
    </row>
    <row r="51" spans="1:10" ht="15.75" thickTop="1" x14ac:dyDescent="0.45">
      <c r="A51" s="43">
        <f t="shared" si="0"/>
        <v>41</v>
      </c>
      <c r="I51" s="55"/>
      <c r="J51" s="43">
        <f t="shared" si="1"/>
        <v>41</v>
      </c>
    </row>
    <row r="52" spans="1:10" ht="15.75" thickBot="1" x14ac:dyDescent="0.5">
      <c r="A52" s="43">
        <f t="shared" si="0"/>
        <v>42</v>
      </c>
      <c r="B52" s="48" t="s">
        <v>232</v>
      </c>
      <c r="G52" s="217">
        <f>G48+G49</f>
        <v>6.2531134790152335E-2</v>
      </c>
      <c r="H52" s="218"/>
      <c r="I52" s="55" t="str">
        <f>"Line "&amp;A48&amp;" + Line "&amp;A49&amp;"; Col. d"</f>
        <v>Line 38 + Line 39; Col. d</v>
      </c>
      <c r="J52" s="43">
        <f t="shared" si="1"/>
        <v>42</v>
      </c>
    </row>
    <row r="53" spans="1:10" ht="16.149999999999999" thickTop="1" thickBot="1" x14ac:dyDescent="0.5">
      <c r="A53" s="222">
        <f t="shared" si="0"/>
        <v>43</v>
      </c>
      <c r="B53" s="235"/>
      <c r="C53" s="127"/>
      <c r="D53" s="127"/>
      <c r="E53" s="127"/>
      <c r="F53" s="127"/>
      <c r="G53" s="594"/>
      <c r="H53" s="594"/>
      <c r="I53" s="223"/>
      <c r="J53" s="222">
        <f t="shared" si="1"/>
        <v>43</v>
      </c>
    </row>
    <row r="54" spans="1:10" x14ac:dyDescent="0.45">
      <c r="A54" s="43">
        <f t="shared" si="0"/>
        <v>44</v>
      </c>
      <c r="B54" s="48"/>
      <c r="G54" s="229"/>
      <c r="H54" s="229"/>
      <c r="I54" s="55"/>
      <c r="J54" s="43">
        <f t="shared" si="1"/>
        <v>44</v>
      </c>
    </row>
    <row r="55" spans="1:10" ht="15.75" thickBot="1" x14ac:dyDescent="0.5">
      <c r="A55" s="43">
        <f t="shared" si="0"/>
        <v>45</v>
      </c>
      <c r="B55" s="48" t="s">
        <v>374</v>
      </c>
      <c r="G55" s="595">
        <v>0</v>
      </c>
      <c r="H55" s="229"/>
      <c r="I55" s="55" t="s">
        <v>19</v>
      </c>
      <c r="J55" s="43">
        <f t="shared" si="1"/>
        <v>45</v>
      </c>
    </row>
    <row r="56" spans="1:10" ht="15.75" thickTop="1" x14ac:dyDescent="0.45">
      <c r="A56" s="43">
        <f t="shared" si="0"/>
        <v>46</v>
      </c>
      <c r="C56" s="77" t="s">
        <v>10</v>
      </c>
      <c r="D56" s="77" t="s">
        <v>53</v>
      </c>
      <c r="E56" s="77" t="s">
        <v>218</v>
      </c>
      <c r="F56" s="77"/>
      <c r="G56" s="77" t="s">
        <v>219</v>
      </c>
      <c r="H56" s="229"/>
      <c r="I56" s="55"/>
      <c r="J56" s="43">
        <f t="shared" si="1"/>
        <v>46</v>
      </c>
    </row>
    <row r="57" spans="1:10" x14ac:dyDescent="0.45">
      <c r="A57" s="43">
        <f t="shared" si="0"/>
        <v>47</v>
      </c>
      <c r="D57" s="43" t="s">
        <v>220</v>
      </c>
      <c r="E57" s="43" t="s">
        <v>221</v>
      </c>
      <c r="F57" s="43"/>
      <c r="G57" s="43" t="s">
        <v>222</v>
      </c>
      <c r="H57" s="229"/>
      <c r="I57" s="55"/>
      <c r="J57" s="43">
        <f t="shared" si="1"/>
        <v>47</v>
      </c>
    </row>
    <row r="58" spans="1:10" ht="17.25" x14ac:dyDescent="0.45">
      <c r="A58" s="43">
        <f t="shared" si="0"/>
        <v>48</v>
      </c>
      <c r="B58" s="48" t="s">
        <v>234</v>
      </c>
      <c r="C58" s="515" t="s">
        <v>224</v>
      </c>
      <c r="D58" s="515" t="s">
        <v>225</v>
      </c>
      <c r="E58" s="515" t="s">
        <v>226</v>
      </c>
      <c r="F58" s="515"/>
      <c r="G58" s="515" t="s">
        <v>227</v>
      </c>
      <c r="H58" s="229"/>
      <c r="I58" s="55"/>
      <c r="J58" s="43">
        <f t="shared" si="1"/>
        <v>48</v>
      </c>
    </row>
    <row r="59" spans="1:10" x14ac:dyDescent="0.45">
      <c r="A59" s="43">
        <f t="shared" si="0"/>
        <v>49</v>
      </c>
      <c r="G59" s="229"/>
      <c r="H59" s="229"/>
      <c r="I59" s="55"/>
      <c r="J59" s="43">
        <f t="shared" si="1"/>
        <v>49</v>
      </c>
    </row>
    <row r="60" spans="1:10" x14ac:dyDescent="0.45">
      <c r="A60" s="43">
        <f t="shared" si="0"/>
        <v>50</v>
      </c>
      <c r="B60" s="44" t="s">
        <v>228</v>
      </c>
      <c r="C60" s="596">
        <v>0</v>
      </c>
      <c r="D60" s="597">
        <v>0</v>
      </c>
      <c r="E60" s="232">
        <v>0</v>
      </c>
      <c r="G60" s="227">
        <f>D60*E60</f>
        <v>0</v>
      </c>
      <c r="H60" s="229"/>
      <c r="I60" s="55" t="s">
        <v>19</v>
      </c>
      <c r="J60" s="43">
        <f t="shared" si="1"/>
        <v>50</v>
      </c>
    </row>
    <row r="61" spans="1:10" x14ac:dyDescent="0.45">
      <c r="A61" s="43">
        <f t="shared" si="0"/>
        <v>51</v>
      </c>
      <c r="B61" s="44" t="s">
        <v>229</v>
      </c>
      <c r="C61" s="598">
        <v>0</v>
      </c>
      <c r="D61" s="597">
        <v>0</v>
      </c>
      <c r="E61" s="232">
        <v>0</v>
      </c>
      <c r="G61" s="227">
        <f>D61*E61</f>
        <v>0</v>
      </c>
      <c r="H61" s="229"/>
      <c r="I61" s="55" t="s">
        <v>19</v>
      </c>
      <c r="J61" s="43">
        <f t="shared" si="1"/>
        <v>51</v>
      </c>
    </row>
    <row r="62" spans="1:10" x14ac:dyDescent="0.45">
      <c r="A62" s="43">
        <f t="shared" si="0"/>
        <v>52</v>
      </c>
      <c r="B62" s="44" t="s">
        <v>230</v>
      </c>
      <c r="C62" s="598">
        <v>0</v>
      </c>
      <c r="D62" s="599">
        <v>0</v>
      </c>
      <c r="E62" s="600">
        <v>0</v>
      </c>
      <c r="G62" s="593">
        <f>D62*E62</f>
        <v>0</v>
      </c>
      <c r="H62" s="229"/>
      <c r="I62" s="55" t="s">
        <v>19</v>
      </c>
      <c r="J62" s="43">
        <f t="shared" si="1"/>
        <v>52</v>
      </c>
    </row>
    <row r="63" spans="1:10" ht="15.75" thickBot="1" x14ac:dyDescent="0.5">
      <c r="A63" s="43">
        <f t="shared" si="0"/>
        <v>53</v>
      </c>
      <c r="B63" s="44" t="s">
        <v>231</v>
      </c>
      <c r="C63" s="230">
        <f>SUM(C60:C62)</f>
        <v>0</v>
      </c>
      <c r="D63" s="217">
        <f>SUM(D60:D62)</f>
        <v>0</v>
      </c>
      <c r="G63" s="217">
        <f>SUM(G60:G62)</f>
        <v>0</v>
      </c>
      <c r="H63" s="229"/>
      <c r="I63" s="55" t="str">
        <f>"Sum Lines "&amp;A60&amp;" thru "&amp;A62</f>
        <v>Sum Lines 50 thru 52</v>
      </c>
      <c r="J63" s="43">
        <f t="shared" si="1"/>
        <v>53</v>
      </c>
    </row>
    <row r="64" spans="1:10" ht="15.75" thickTop="1" x14ac:dyDescent="0.45">
      <c r="A64" s="43">
        <f t="shared" si="0"/>
        <v>54</v>
      </c>
      <c r="H64" s="229"/>
      <c r="I64" s="55"/>
      <c r="J64" s="43">
        <f t="shared" si="1"/>
        <v>54</v>
      </c>
    </row>
    <row r="65" spans="1:10" ht="15.75" thickBot="1" x14ac:dyDescent="0.5">
      <c r="A65" s="43">
        <f t="shared" si="0"/>
        <v>55</v>
      </c>
      <c r="B65" s="48" t="s">
        <v>235</v>
      </c>
      <c r="G65" s="217">
        <f>G61+G62</f>
        <v>0</v>
      </c>
      <c r="H65" s="229"/>
      <c r="I65" s="55" t="str">
        <f>"Line "&amp;A61&amp;" + Line "&amp;A62&amp;"; Col. d"</f>
        <v>Line 51 + Line 52; Col. d</v>
      </c>
      <c r="J65" s="43">
        <f t="shared" si="1"/>
        <v>55</v>
      </c>
    </row>
    <row r="66" spans="1:10" ht="15.75" thickTop="1" x14ac:dyDescent="0.45">
      <c r="B66" s="48"/>
      <c r="G66" s="229"/>
      <c r="H66" s="229"/>
      <c r="I66" s="55"/>
      <c r="J66" s="43"/>
    </row>
    <row r="67" spans="1:10" ht="17.25" x14ac:dyDescent="0.45">
      <c r="A67" s="75">
        <v>1</v>
      </c>
      <c r="B67" s="20" t="s">
        <v>233</v>
      </c>
      <c r="G67" s="71"/>
      <c r="H67" s="71"/>
      <c r="J67" s="43" t="s">
        <v>11</v>
      </c>
    </row>
    <row r="68" spans="1:10" ht="17.25" x14ac:dyDescent="0.45">
      <c r="A68" s="75">
        <v>2</v>
      </c>
      <c r="B68" s="20" t="s">
        <v>392</v>
      </c>
      <c r="G68" s="71"/>
      <c r="H68" s="71"/>
      <c r="J68" s="43"/>
    </row>
    <row r="69" spans="1:10" ht="17.25" x14ac:dyDescent="0.45">
      <c r="A69" s="75"/>
      <c r="B69" s="20"/>
      <c r="G69" s="71"/>
      <c r="H69" s="71"/>
      <c r="J69" s="43"/>
    </row>
    <row r="70" spans="1:10" ht="17.25" x14ac:dyDescent="0.45">
      <c r="A70" s="75"/>
      <c r="B70" s="20"/>
      <c r="D70" s="43"/>
      <c r="G70" s="71"/>
      <c r="H70" s="71"/>
      <c r="I70" s="564"/>
      <c r="J70" s="43"/>
    </row>
    <row r="71" spans="1:10" x14ac:dyDescent="0.45">
      <c r="B71" s="769" t="s">
        <v>373</v>
      </c>
      <c r="C71" s="769"/>
      <c r="D71" s="769"/>
      <c r="E71" s="769"/>
      <c r="F71" s="769"/>
      <c r="G71" s="769"/>
      <c r="H71" s="769"/>
      <c r="I71" s="769"/>
      <c r="J71" s="43"/>
    </row>
    <row r="72" spans="1:10" x14ac:dyDescent="0.45">
      <c r="B72" s="769" t="s">
        <v>176</v>
      </c>
      <c r="C72" s="769"/>
      <c r="D72" s="769"/>
      <c r="E72" s="769"/>
      <c r="F72" s="769"/>
      <c r="G72" s="769"/>
      <c r="H72" s="769"/>
      <c r="I72" s="769"/>
      <c r="J72" s="43"/>
    </row>
    <row r="73" spans="1:10" x14ac:dyDescent="0.45">
      <c r="B73" s="769" t="s">
        <v>177</v>
      </c>
      <c r="C73" s="769"/>
      <c r="D73" s="769"/>
      <c r="E73" s="769"/>
      <c r="F73" s="769"/>
      <c r="G73" s="769"/>
      <c r="H73" s="769"/>
      <c r="I73" s="769"/>
      <c r="J73" s="43"/>
    </row>
    <row r="74" spans="1:10" x14ac:dyDescent="0.45">
      <c r="B74" s="770" t="str">
        <f>B5</f>
        <v>Base Period &amp; True-Up Period 12 - Months Ending December 31, 2018</v>
      </c>
      <c r="C74" s="770"/>
      <c r="D74" s="770"/>
      <c r="E74" s="770"/>
      <c r="F74" s="770"/>
      <c r="G74" s="770"/>
      <c r="H74" s="770"/>
      <c r="I74" s="770"/>
      <c r="J74" s="43"/>
    </row>
    <row r="75" spans="1:10" x14ac:dyDescent="0.45">
      <c r="B75" s="771" t="s">
        <v>1</v>
      </c>
      <c r="C75" s="772"/>
      <c r="D75" s="772"/>
      <c r="E75" s="772"/>
      <c r="F75" s="772"/>
      <c r="G75" s="772"/>
      <c r="H75" s="772"/>
      <c r="I75" s="772"/>
      <c r="J75" s="43"/>
    </row>
    <row r="76" spans="1:10" x14ac:dyDescent="0.45">
      <c r="B76" s="43"/>
      <c r="C76" s="43"/>
      <c r="D76" s="43"/>
      <c r="E76" s="43"/>
      <c r="F76" s="43"/>
      <c r="G76" s="43"/>
      <c r="H76" s="43"/>
      <c r="I76" s="55"/>
      <c r="J76" s="43"/>
    </row>
    <row r="77" spans="1:10" x14ac:dyDescent="0.45">
      <c r="A77" s="43" t="s">
        <v>2</v>
      </c>
      <c r="B77" s="617"/>
      <c r="C77" s="617"/>
      <c r="D77" s="617"/>
      <c r="E77" s="617"/>
      <c r="F77" s="617"/>
      <c r="G77" s="617"/>
      <c r="H77" s="617"/>
      <c r="I77" s="55"/>
      <c r="J77" s="43" t="s">
        <v>2</v>
      </c>
    </row>
    <row r="78" spans="1:10" x14ac:dyDescent="0.45">
      <c r="A78" s="43" t="s">
        <v>6</v>
      </c>
      <c r="B78" s="43"/>
      <c r="C78" s="43"/>
      <c r="D78" s="43"/>
      <c r="E78" s="43"/>
      <c r="F78" s="43"/>
      <c r="G78" s="515" t="s">
        <v>4</v>
      </c>
      <c r="H78" s="617"/>
      <c r="I78" s="589" t="s">
        <v>5</v>
      </c>
      <c r="J78" s="43" t="s">
        <v>6</v>
      </c>
    </row>
    <row r="79" spans="1:10" x14ac:dyDescent="0.45">
      <c r="G79" s="43"/>
      <c r="H79" s="43"/>
      <c r="I79" s="55"/>
      <c r="J79" s="43"/>
    </row>
    <row r="80" spans="1:10" ht="17.649999999999999" x14ac:dyDescent="0.45">
      <c r="A80" s="43">
        <v>1</v>
      </c>
      <c r="B80" s="48" t="s">
        <v>375</v>
      </c>
      <c r="E80" s="617"/>
      <c r="F80" s="617"/>
      <c r="G80" s="236"/>
      <c r="H80" s="236"/>
      <c r="I80" s="55"/>
      <c r="J80" s="43">
        <v>1</v>
      </c>
    </row>
    <row r="81" spans="1:13" x14ac:dyDescent="0.45">
      <c r="A81" s="43">
        <f>A80+1</f>
        <v>2</v>
      </c>
      <c r="B81" s="237"/>
      <c r="E81" s="617"/>
      <c r="F81" s="617"/>
      <c r="G81" s="236"/>
      <c r="H81" s="236"/>
      <c r="I81" s="55"/>
      <c r="J81" s="43">
        <f>J80+1</f>
        <v>2</v>
      </c>
    </row>
    <row r="82" spans="1:13" x14ac:dyDescent="0.45">
      <c r="A82" s="43">
        <f>A81+1</f>
        <v>3</v>
      </c>
      <c r="B82" s="48" t="s">
        <v>376</v>
      </c>
      <c r="E82" s="617"/>
      <c r="F82" s="617"/>
      <c r="G82" s="236"/>
      <c r="H82" s="236"/>
      <c r="I82" s="55"/>
      <c r="J82" s="43">
        <f>J81+1</f>
        <v>3</v>
      </c>
    </row>
    <row r="83" spans="1:13" x14ac:dyDescent="0.45">
      <c r="A83" s="43">
        <f>A82+1</f>
        <v>4</v>
      </c>
      <c r="B83" s="617"/>
      <c r="C83" s="617"/>
      <c r="D83" s="617"/>
      <c r="E83" s="617"/>
      <c r="F83" s="617"/>
      <c r="G83" s="236"/>
      <c r="H83" s="236"/>
      <c r="I83" s="55"/>
      <c r="J83" s="43">
        <f>J82+1</f>
        <v>4</v>
      </c>
    </row>
    <row r="84" spans="1:13" x14ac:dyDescent="0.45">
      <c r="A84" s="43">
        <f t="shared" ref="A84:A110" si="2">A83+1</f>
        <v>5</v>
      </c>
      <c r="B84" s="50" t="s">
        <v>236</v>
      </c>
      <c r="C84" s="617"/>
      <c r="D84" s="617"/>
      <c r="E84" s="617"/>
      <c r="F84" s="617"/>
      <c r="G84" s="236"/>
      <c r="H84" s="236"/>
      <c r="I84" s="238"/>
      <c r="J84" s="43">
        <f t="shared" ref="J84:J110" si="3">J83+1</f>
        <v>5</v>
      </c>
    </row>
    <row r="85" spans="1:13" x14ac:dyDescent="0.45">
      <c r="A85" s="43">
        <f t="shared" si="2"/>
        <v>6</v>
      </c>
      <c r="B85" s="44" t="s">
        <v>237</v>
      </c>
      <c r="D85" s="617"/>
      <c r="E85" s="617"/>
      <c r="F85" s="617"/>
      <c r="G85" s="239">
        <f>G52</f>
        <v>6.2531134790152335E-2</v>
      </c>
      <c r="H85" s="617"/>
      <c r="I85" s="55" t="s">
        <v>576</v>
      </c>
      <c r="J85" s="43">
        <f t="shared" si="3"/>
        <v>6</v>
      </c>
      <c r="L85" s="43"/>
    </row>
    <row r="86" spans="1:13" x14ac:dyDescent="0.45">
      <c r="A86" s="43">
        <f t="shared" si="2"/>
        <v>7</v>
      </c>
      <c r="B86" s="44" t="s">
        <v>238</v>
      </c>
      <c r="D86" s="617"/>
      <c r="E86" s="617"/>
      <c r="F86" s="617"/>
      <c r="G86" s="240">
        <v>264.76299999999998</v>
      </c>
      <c r="H86" s="617"/>
      <c r="I86" s="55" t="s">
        <v>577</v>
      </c>
      <c r="J86" s="43">
        <f t="shared" si="3"/>
        <v>7</v>
      </c>
      <c r="L86" s="43"/>
    </row>
    <row r="87" spans="1:13" ht="17.25" x14ac:dyDescent="0.45">
      <c r="A87" s="43">
        <f t="shared" si="2"/>
        <v>8</v>
      </c>
      <c r="B87" s="44" t="s">
        <v>377</v>
      </c>
      <c r="D87" s="617"/>
      <c r="E87" s="617"/>
      <c r="F87" s="617"/>
      <c r="G87" s="241">
        <v>6529.0768399999988</v>
      </c>
      <c r="H87" s="617"/>
      <c r="I87" s="234" t="s">
        <v>578</v>
      </c>
      <c r="J87" s="43">
        <f t="shared" si="3"/>
        <v>8</v>
      </c>
      <c r="L87" s="617"/>
    </row>
    <row r="88" spans="1:13" ht="15.75" x14ac:dyDescent="0.5">
      <c r="A88" s="43">
        <f t="shared" si="2"/>
        <v>9</v>
      </c>
      <c r="B88" s="44" t="s">
        <v>240</v>
      </c>
      <c r="D88" s="617"/>
      <c r="E88" s="242"/>
      <c r="F88" s="617"/>
      <c r="G88" s="243">
        <f>'Pg9 Revised AV-4'!C36</f>
        <v>3929429.4886983386</v>
      </c>
      <c r="H88" s="29" t="s">
        <v>16</v>
      </c>
      <c r="I88" s="234" t="s">
        <v>579</v>
      </c>
      <c r="J88" s="43">
        <f t="shared" si="3"/>
        <v>9</v>
      </c>
    </row>
    <row r="89" spans="1:13" x14ac:dyDescent="0.45">
      <c r="A89" s="43">
        <f t="shared" si="2"/>
        <v>10</v>
      </c>
      <c r="B89" s="44" t="s">
        <v>241</v>
      </c>
      <c r="D89" s="244"/>
      <c r="E89" s="617"/>
      <c r="F89" s="617"/>
      <c r="G89" s="601">
        <v>0.21</v>
      </c>
      <c r="H89" s="617"/>
      <c r="I89" s="55" t="s">
        <v>242</v>
      </c>
      <c r="J89" s="43">
        <f t="shared" si="3"/>
        <v>10</v>
      </c>
      <c r="M89" s="245"/>
    </row>
    <row r="90" spans="1:13" x14ac:dyDescent="0.45">
      <c r="A90" s="43">
        <f t="shared" si="2"/>
        <v>11</v>
      </c>
      <c r="G90" s="43"/>
      <c r="H90" s="43"/>
      <c r="J90" s="43">
        <f t="shared" si="3"/>
        <v>11</v>
      </c>
    </row>
    <row r="91" spans="1:13" x14ac:dyDescent="0.45">
      <c r="A91" s="43">
        <f t="shared" si="2"/>
        <v>12</v>
      </c>
      <c r="B91" s="44" t="s">
        <v>243</v>
      </c>
      <c r="D91" s="617"/>
      <c r="E91" s="617"/>
      <c r="F91" s="617"/>
      <c r="G91" s="246">
        <f>(((G85)+(G87/G88))*G89-(G86/G88))/(1-G89)</f>
        <v>1.6978596742986529E-2</v>
      </c>
      <c r="H91" s="246"/>
      <c r="I91" s="55" t="s">
        <v>244</v>
      </c>
      <c r="J91" s="43">
        <f t="shared" si="3"/>
        <v>12</v>
      </c>
      <c r="M91" s="247"/>
    </row>
    <row r="92" spans="1:13" x14ac:dyDescent="0.45">
      <c r="A92" s="43">
        <f t="shared" si="2"/>
        <v>13</v>
      </c>
      <c r="B92" s="248" t="s">
        <v>245</v>
      </c>
      <c r="G92" s="43"/>
      <c r="H92" s="43"/>
      <c r="J92" s="43">
        <f t="shared" si="3"/>
        <v>13</v>
      </c>
    </row>
    <row r="93" spans="1:13" x14ac:dyDescent="0.45">
      <c r="A93" s="43">
        <f t="shared" si="2"/>
        <v>14</v>
      </c>
      <c r="G93" s="43"/>
      <c r="H93" s="43"/>
      <c r="J93" s="43">
        <f t="shared" si="3"/>
        <v>14</v>
      </c>
    </row>
    <row r="94" spans="1:13" x14ac:dyDescent="0.45">
      <c r="A94" s="43">
        <f t="shared" si="2"/>
        <v>15</v>
      </c>
      <c r="B94" s="48" t="s">
        <v>246</v>
      </c>
      <c r="C94" s="617"/>
      <c r="D94" s="617"/>
      <c r="E94" s="617"/>
      <c r="F94" s="617"/>
      <c r="G94" s="249"/>
      <c r="H94" s="249"/>
      <c r="I94" s="250"/>
      <c r="J94" s="43">
        <f t="shared" si="3"/>
        <v>15</v>
      </c>
      <c r="L94" s="251"/>
    </row>
    <row r="95" spans="1:13" x14ac:dyDescent="0.45">
      <c r="A95" s="43">
        <f t="shared" si="2"/>
        <v>16</v>
      </c>
      <c r="B95" s="61"/>
      <c r="C95" s="617"/>
      <c r="D95" s="617"/>
      <c r="E95" s="617"/>
      <c r="F95" s="617"/>
      <c r="G95" s="249"/>
      <c r="H95" s="249"/>
      <c r="I95" s="252"/>
      <c r="J95" s="43">
        <f t="shared" si="3"/>
        <v>16</v>
      </c>
      <c r="L95" s="617"/>
    </row>
    <row r="96" spans="1:13" x14ac:dyDescent="0.45">
      <c r="A96" s="43">
        <f t="shared" si="2"/>
        <v>17</v>
      </c>
      <c r="B96" s="50" t="s">
        <v>236</v>
      </c>
      <c r="C96" s="617"/>
      <c r="D96" s="617"/>
      <c r="E96" s="617"/>
      <c r="F96" s="617"/>
      <c r="G96" s="249"/>
      <c r="H96" s="249"/>
      <c r="I96" s="252"/>
      <c r="J96" s="43">
        <f t="shared" si="3"/>
        <v>17</v>
      </c>
      <c r="L96" s="617"/>
    </row>
    <row r="97" spans="1:13" x14ac:dyDescent="0.45">
      <c r="A97" s="43">
        <f t="shared" si="2"/>
        <v>18</v>
      </c>
      <c r="B97" s="44" t="s">
        <v>237</v>
      </c>
      <c r="D97" s="617"/>
      <c r="E97" s="617"/>
      <c r="F97" s="617"/>
      <c r="G97" s="225">
        <f>G85</f>
        <v>6.2531134790152335E-2</v>
      </c>
      <c r="H97" s="225"/>
      <c r="I97" s="55" t="s">
        <v>580</v>
      </c>
      <c r="J97" s="43">
        <f t="shared" si="3"/>
        <v>18</v>
      </c>
      <c r="L97" s="43"/>
    </row>
    <row r="98" spans="1:13" x14ac:dyDescent="0.45">
      <c r="A98" s="43">
        <f t="shared" si="2"/>
        <v>19</v>
      </c>
      <c r="B98" s="44" t="s">
        <v>247</v>
      </c>
      <c r="D98" s="617"/>
      <c r="E98" s="617"/>
      <c r="F98" s="617"/>
      <c r="G98" s="253">
        <f>G87</f>
        <v>6529.0768399999988</v>
      </c>
      <c r="H98" s="253"/>
      <c r="I98" s="55" t="s">
        <v>581</v>
      </c>
      <c r="J98" s="43">
        <f t="shared" si="3"/>
        <v>19</v>
      </c>
      <c r="L98" s="43"/>
    </row>
    <row r="99" spans="1:13" ht="15.75" x14ac:dyDescent="0.5">
      <c r="A99" s="43">
        <f t="shared" si="2"/>
        <v>20</v>
      </c>
      <c r="B99" s="44" t="s">
        <v>248</v>
      </c>
      <c r="D99" s="617"/>
      <c r="E99" s="617"/>
      <c r="F99" s="617"/>
      <c r="G99" s="254">
        <f>G88</f>
        <v>3929429.4886983386</v>
      </c>
      <c r="H99" s="29" t="s">
        <v>16</v>
      </c>
      <c r="I99" s="55" t="s">
        <v>582</v>
      </c>
      <c r="J99" s="43">
        <f t="shared" si="3"/>
        <v>20</v>
      </c>
      <c r="L99" s="43"/>
    </row>
    <row r="100" spans="1:13" x14ac:dyDescent="0.45">
      <c r="A100" s="43">
        <f t="shared" si="2"/>
        <v>21</v>
      </c>
      <c r="B100" s="44" t="s">
        <v>249</v>
      </c>
      <c r="D100" s="617"/>
      <c r="E100" s="617"/>
      <c r="F100" s="617"/>
      <c r="G100" s="255">
        <f>G91</f>
        <v>1.6978596742986529E-2</v>
      </c>
      <c r="H100" s="255"/>
      <c r="I100" s="55" t="s">
        <v>583</v>
      </c>
      <c r="J100" s="43">
        <f t="shared" si="3"/>
        <v>21</v>
      </c>
    </row>
    <row r="101" spans="1:13" x14ac:dyDescent="0.45">
      <c r="A101" s="43">
        <f t="shared" si="2"/>
        <v>22</v>
      </c>
      <c r="B101" s="44" t="s">
        <v>250</v>
      </c>
      <c r="D101" s="617"/>
      <c r="E101" s="617"/>
      <c r="F101" s="617"/>
      <c r="G101" s="602" t="s">
        <v>251</v>
      </c>
      <c r="H101" s="617"/>
      <c r="I101" s="55" t="s">
        <v>252</v>
      </c>
      <c r="J101" s="43">
        <f t="shared" si="3"/>
        <v>22</v>
      </c>
    </row>
    <row r="102" spans="1:13" x14ac:dyDescent="0.45">
      <c r="A102" s="43">
        <f t="shared" si="2"/>
        <v>23</v>
      </c>
      <c r="B102" s="618"/>
      <c r="D102" s="617"/>
      <c r="E102" s="617"/>
      <c r="F102" s="617"/>
      <c r="G102" s="256"/>
      <c r="H102" s="256"/>
      <c r="I102" s="252"/>
      <c r="J102" s="43">
        <f t="shared" si="3"/>
        <v>23</v>
      </c>
    </row>
    <row r="103" spans="1:13" x14ac:dyDescent="0.45">
      <c r="A103" s="43">
        <f t="shared" si="2"/>
        <v>24</v>
      </c>
      <c r="B103" s="44" t="s">
        <v>253</v>
      </c>
      <c r="C103" s="43"/>
      <c r="D103" s="43"/>
      <c r="E103" s="617"/>
      <c r="F103" s="617"/>
      <c r="G103" s="603">
        <f>((G97)+(G98/G99)+G91)*G101/(1-G101)</f>
        <v>7.8713737228615945E-3</v>
      </c>
      <c r="H103" s="257"/>
      <c r="I103" s="55" t="s">
        <v>254</v>
      </c>
      <c r="J103" s="43">
        <f t="shared" si="3"/>
        <v>24</v>
      </c>
    </row>
    <row r="104" spans="1:13" x14ac:dyDescent="0.45">
      <c r="A104" s="43">
        <f t="shared" si="2"/>
        <v>25</v>
      </c>
      <c r="B104" s="248" t="s">
        <v>255</v>
      </c>
      <c r="G104" s="43"/>
      <c r="H104" s="43"/>
      <c r="I104" s="55"/>
      <c r="J104" s="43">
        <f t="shared" si="3"/>
        <v>25</v>
      </c>
      <c r="L104" s="43"/>
    </row>
    <row r="105" spans="1:13" x14ac:dyDescent="0.45">
      <c r="A105" s="43">
        <f t="shared" si="2"/>
        <v>26</v>
      </c>
      <c r="G105" s="43"/>
      <c r="H105" s="43"/>
      <c r="I105" s="55"/>
      <c r="J105" s="43">
        <f t="shared" si="3"/>
        <v>26</v>
      </c>
      <c r="L105" s="43"/>
    </row>
    <row r="106" spans="1:13" x14ac:dyDescent="0.45">
      <c r="A106" s="43">
        <f t="shared" si="2"/>
        <v>27</v>
      </c>
      <c r="B106" s="48" t="s">
        <v>256</v>
      </c>
      <c r="G106" s="246">
        <f>G103+G91</f>
        <v>2.4849970465848123E-2</v>
      </c>
      <c r="H106" s="246"/>
      <c r="I106" s="55" t="s">
        <v>584</v>
      </c>
      <c r="J106" s="43">
        <f t="shared" si="3"/>
        <v>27</v>
      </c>
      <c r="L106" s="43"/>
    </row>
    <row r="107" spans="1:13" x14ac:dyDescent="0.45">
      <c r="A107" s="43">
        <f t="shared" si="2"/>
        <v>28</v>
      </c>
      <c r="G107" s="43"/>
      <c r="H107" s="43"/>
      <c r="I107" s="55"/>
      <c r="J107" s="43">
        <f t="shared" si="3"/>
        <v>28</v>
      </c>
      <c r="L107" s="43"/>
    </row>
    <row r="108" spans="1:13" x14ac:dyDescent="0.45">
      <c r="A108" s="43">
        <f t="shared" si="2"/>
        <v>29</v>
      </c>
      <c r="B108" s="48" t="s">
        <v>257</v>
      </c>
      <c r="G108" s="604">
        <f>G50</f>
        <v>8.1655798912865327E-2</v>
      </c>
      <c r="H108" s="617"/>
      <c r="I108" s="55" t="s">
        <v>585</v>
      </c>
      <c r="J108" s="43">
        <f t="shared" si="3"/>
        <v>29</v>
      </c>
      <c r="L108" s="43"/>
    </row>
    <row r="109" spans="1:13" x14ac:dyDescent="0.45">
      <c r="A109" s="43">
        <f t="shared" si="2"/>
        <v>30</v>
      </c>
      <c r="G109" s="225"/>
      <c r="H109" s="225"/>
      <c r="I109" s="55"/>
      <c r="J109" s="43">
        <f t="shared" si="3"/>
        <v>30</v>
      </c>
      <c r="L109" s="43"/>
    </row>
    <row r="110" spans="1:13" ht="18" thickBot="1" x14ac:dyDescent="0.5">
      <c r="A110" s="43">
        <f t="shared" si="2"/>
        <v>31</v>
      </c>
      <c r="B110" s="48" t="s">
        <v>378</v>
      </c>
      <c r="G110" s="258">
        <f>G106+G108</f>
        <v>0.10650576937871345</v>
      </c>
      <c r="H110" s="257"/>
      <c r="I110" s="55" t="s">
        <v>586</v>
      </c>
      <c r="J110" s="43">
        <f t="shared" si="3"/>
        <v>31</v>
      </c>
      <c r="L110" s="259"/>
      <c r="M110" s="247"/>
    </row>
    <row r="111" spans="1:13" ht="15.75" thickTop="1" x14ac:dyDescent="0.45">
      <c r="B111" s="48"/>
      <c r="G111" s="261"/>
      <c r="H111" s="261"/>
      <c r="I111" s="55"/>
      <c r="J111" s="43"/>
      <c r="L111" s="259"/>
      <c r="M111" s="247"/>
    </row>
    <row r="112" spans="1:13" ht="15.75" x14ac:dyDescent="0.5">
      <c r="A112" s="29" t="s">
        <v>16</v>
      </c>
      <c r="B112" s="26" t="s">
        <v>388</v>
      </c>
      <c r="G112" s="261"/>
      <c r="H112" s="261"/>
      <c r="I112" s="55"/>
      <c r="J112" s="43"/>
      <c r="L112" s="259"/>
      <c r="M112" s="247"/>
    </row>
    <row r="113" spans="1:13" ht="17.649999999999999" x14ac:dyDescent="0.45">
      <c r="A113" s="605">
        <v>1</v>
      </c>
      <c r="B113" s="20" t="s">
        <v>393</v>
      </c>
      <c r="G113" s="261"/>
      <c r="H113" s="261"/>
      <c r="I113" s="55"/>
      <c r="J113" s="43"/>
      <c r="L113" s="259"/>
      <c r="M113" s="247"/>
    </row>
    <row r="114" spans="1:13" ht="17.649999999999999" x14ac:dyDescent="0.45">
      <c r="A114" s="605"/>
      <c r="B114" s="20"/>
      <c r="G114" s="261"/>
      <c r="H114" s="261"/>
      <c r="I114" s="55"/>
      <c r="J114" s="43"/>
      <c r="L114" s="259"/>
      <c r="M114" s="247"/>
    </row>
    <row r="115" spans="1:13" x14ac:dyDescent="0.45">
      <c r="A115" s="262"/>
      <c r="B115" s="618"/>
      <c r="C115" s="45"/>
      <c r="D115" s="45"/>
      <c r="E115" s="45"/>
      <c r="F115" s="45"/>
      <c r="G115" s="263"/>
      <c r="H115" s="263"/>
      <c r="I115" s="606"/>
      <c r="J115" s="43"/>
    </row>
    <row r="116" spans="1:13" x14ac:dyDescent="0.45">
      <c r="B116" s="769" t="s">
        <v>24</v>
      </c>
      <c r="C116" s="769"/>
      <c r="D116" s="769"/>
      <c r="E116" s="769"/>
      <c r="F116" s="769"/>
      <c r="G116" s="769"/>
      <c r="H116" s="769"/>
      <c r="I116" s="769"/>
    </row>
    <row r="117" spans="1:13" x14ac:dyDescent="0.45">
      <c r="B117" s="769" t="s">
        <v>176</v>
      </c>
      <c r="C117" s="769"/>
      <c r="D117" s="769"/>
      <c r="E117" s="769"/>
      <c r="F117" s="769"/>
      <c r="G117" s="769"/>
      <c r="H117" s="769"/>
      <c r="I117" s="769"/>
    </row>
    <row r="118" spans="1:13" x14ac:dyDescent="0.45">
      <c r="B118" s="769" t="s">
        <v>177</v>
      </c>
      <c r="C118" s="769"/>
      <c r="D118" s="769"/>
      <c r="E118" s="769"/>
      <c r="F118" s="769"/>
      <c r="G118" s="769"/>
      <c r="H118" s="769"/>
      <c r="I118" s="769"/>
    </row>
    <row r="119" spans="1:13" x14ac:dyDescent="0.45">
      <c r="B119" s="770" t="str">
        <f>B5</f>
        <v>Base Period &amp; True-Up Period 12 - Months Ending December 31, 2018</v>
      </c>
      <c r="C119" s="770"/>
      <c r="D119" s="770"/>
      <c r="E119" s="770"/>
      <c r="F119" s="770"/>
      <c r="G119" s="770"/>
      <c r="H119" s="770"/>
      <c r="I119" s="770"/>
    </row>
    <row r="120" spans="1:13" x14ac:dyDescent="0.45">
      <c r="B120" s="771" t="s">
        <v>1</v>
      </c>
      <c r="C120" s="772"/>
      <c r="D120" s="772"/>
      <c r="E120" s="772"/>
      <c r="F120" s="772"/>
      <c r="G120" s="772"/>
      <c r="H120" s="772"/>
      <c r="I120" s="772"/>
    </row>
    <row r="122" spans="1:13" x14ac:dyDescent="0.45">
      <c r="A122" s="43" t="s">
        <v>2</v>
      </c>
      <c r="B122" s="617"/>
      <c r="C122" s="617"/>
      <c r="D122" s="617"/>
      <c r="E122" s="617"/>
      <c r="F122" s="617"/>
      <c r="G122" s="617"/>
      <c r="H122" s="617"/>
      <c r="I122" s="55"/>
      <c r="J122" s="43" t="s">
        <v>2</v>
      </c>
    </row>
    <row r="123" spans="1:13" x14ac:dyDescent="0.45">
      <c r="A123" s="43" t="s">
        <v>6</v>
      </c>
      <c r="B123" s="43"/>
      <c r="C123" s="43"/>
      <c r="D123" s="43"/>
      <c r="E123" s="43"/>
      <c r="F123" s="43"/>
      <c r="G123" s="515" t="s">
        <v>4</v>
      </c>
      <c r="H123" s="617"/>
      <c r="I123" s="589" t="s">
        <v>5</v>
      </c>
      <c r="J123" s="43" t="s">
        <v>6</v>
      </c>
    </row>
    <row r="125" spans="1:13" ht="17.649999999999999" x14ac:dyDescent="0.45">
      <c r="A125" s="43">
        <v>1</v>
      </c>
      <c r="B125" s="48" t="s">
        <v>379</v>
      </c>
      <c r="J125" s="43">
        <v>1</v>
      </c>
    </row>
    <row r="126" spans="1:13" x14ac:dyDescent="0.45">
      <c r="A126" s="43">
        <f>A125+1</f>
        <v>2</v>
      </c>
      <c r="B126" s="237"/>
      <c r="J126" s="43">
        <f>J125+1</f>
        <v>2</v>
      </c>
    </row>
    <row r="127" spans="1:13" x14ac:dyDescent="0.45">
      <c r="A127" s="43">
        <f>A126+1</f>
        <v>3</v>
      </c>
      <c r="B127" s="48" t="s">
        <v>376</v>
      </c>
      <c r="J127" s="43">
        <f>J126+1</f>
        <v>3</v>
      </c>
    </row>
    <row r="128" spans="1:13" x14ac:dyDescent="0.45">
      <c r="A128" s="43">
        <f>A127+1</f>
        <v>4</v>
      </c>
      <c r="B128" s="617"/>
      <c r="J128" s="43">
        <f>J127+1</f>
        <v>4</v>
      </c>
    </row>
    <row r="129" spans="1:10" x14ac:dyDescent="0.45">
      <c r="A129" s="43">
        <f t="shared" ref="A129:A155" si="4">A128+1</f>
        <v>5</v>
      </c>
      <c r="B129" s="50" t="s">
        <v>236</v>
      </c>
      <c r="J129" s="43">
        <f t="shared" ref="J129:J155" si="5">J128+1</f>
        <v>5</v>
      </c>
    </row>
    <row r="130" spans="1:10" x14ac:dyDescent="0.45">
      <c r="A130" s="43">
        <f t="shared" si="4"/>
        <v>6</v>
      </c>
      <c r="B130" s="44" t="str">
        <f>B85</f>
        <v xml:space="preserve">     A = Sum of Preferred Stock and Return on Equity Component</v>
      </c>
      <c r="G130" s="239">
        <f>G65</f>
        <v>0</v>
      </c>
      <c r="I130" s="55" t="str">
        <f>"AV1; Line "&amp;A65</f>
        <v>AV1; Line 55</v>
      </c>
      <c r="J130" s="43">
        <f t="shared" si="5"/>
        <v>6</v>
      </c>
    </row>
    <row r="131" spans="1:10" x14ac:dyDescent="0.45">
      <c r="A131" s="43">
        <f t="shared" si="4"/>
        <v>7</v>
      </c>
      <c r="B131" s="44" t="str">
        <f>B86</f>
        <v xml:space="preserve">     B = Transmission Total Federal Tax Adjustments</v>
      </c>
      <c r="G131" s="260">
        <v>0</v>
      </c>
      <c r="I131" s="234" t="s">
        <v>19</v>
      </c>
      <c r="J131" s="43">
        <f t="shared" si="5"/>
        <v>7</v>
      </c>
    </row>
    <row r="132" spans="1:10" x14ac:dyDescent="0.45">
      <c r="A132" s="43">
        <f t="shared" si="4"/>
        <v>8</v>
      </c>
      <c r="B132" s="44" t="s">
        <v>239</v>
      </c>
      <c r="G132" s="607">
        <v>0</v>
      </c>
      <c r="I132" s="234" t="s">
        <v>19</v>
      </c>
      <c r="J132" s="43">
        <f t="shared" si="5"/>
        <v>8</v>
      </c>
    </row>
    <row r="133" spans="1:10" x14ac:dyDescent="0.45">
      <c r="A133" s="43">
        <f t="shared" si="4"/>
        <v>9</v>
      </c>
      <c r="B133" s="44" t="s">
        <v>258</v>
      </c>
      <c r="G133" s="607">
        <v>0</v>
      </c>
      <c r="I133" s="234" t="s">
        <v>19</v>
      </c>
      <c r="J133" s="43">
        <f t="shared" si="5"/>
        <v>9</v>
      </c>
    </row>
    <row r="134" spans="1:10" x14ac:dyDescent="0.45">
      <c r="A134" s="43">
        <f t="shared" si="4"/>
        <v>10</v>
      </c>
      <c r="B134" s="44" t="str">
        <f>B89</f>
        <v xml:space="preserve">     FT = Federal Income Tax Rate for Rate Effective Period</v>
      </c>
      <c r="G134" s="608">
        <f>G89</f>
        <v>0.21</v>
      </c>
      <c r="I134" s="55" t="str">
        <f>"AV2; Line "&amp;A89</f>
        <v>AV2; Line 10</v>
      </c>
      <c r="J134" s="43">
        <f t="shared" si="5"/>
        <v>10</v>
      </c>
    </row>
    <row r="135" spans="1:10" x14ac:dyDescent="0.45">
      <c r="A135" s="43">
        <f t="shared" si="4"/>
        <v>11</v>
      </c>
      <c r="G135" s="43"/>
      <c r="J135" s="43">
        <f t="shared" si="5"/>
        <v>11</v>
      </c>
    </row>
    <row r="136" spans="1:10" x14ac:dyDescent="0.45">
      <c r="A136" s="43">
        <f t="shared" si="4"/>
        <v>12</v>
      </c>
      <c r="B136" s="44" t="s">
        <v>259</v>
      </c>
      <c r="G136" s="246">
        <f>IFERROR((((G130)+(G132/G133))*G134-(G131/G133))/(1-G134),0)</f>
        <v>0</v>
      </c>
      <c r="I136" s="55" t="s">
        <v>260</v>
      </c>
      <c r="J136" s="43">
        <f t="shared" si="5"/>
        <v>12</v>
      </c>
    </row>
    <row r="137" spans="1:10" x14ac:dyDescent="0.45">
      <c r="A137" s="43">
        <f t="shared" si="4"/>
        <v>13</v>
      </c>
      <c r="B137" s="248" t="s">
        <v>245</v>
      </c>
      <c r="G137" s="233"/>
      <c r="J137" s="43">
        <f t="shared" si="5"/>
        <v>13</v>
      </c>
    </row>
    <row r="138" spans="1:10" x14ac:dyDescent="0.45">
      <c r="A138" s="43">
        <f t="shared" si="4"/>
        <v>14</v>
      </c>
      <c r="G138" s="43"/>
      <c r="J138" s="43">
        <f t="shared" si="5"/>
        <v>14</v>
      </c>
    </row>
    <row r="139" spans="1:10" x14ac:dyDescent="0.45">
      <c r="A139" s="43">
        <f t="shared" si="4"/>
        <v>15</v>
      </c>
      <c r="B139" s="48" t="s">
        <v>246</v>
      </c>
      <c r="G139" s="249"/>
      <c r="I139" s="250"/>
      <c r="J139" s="43">
        <f t="shared" si="5"/>
        <v>15</v>
      </c>
    </row>
    <row r="140" spans="1:10" x14ac:dyDescent="0.45">
      <c r="A140" s="43">
        <f t="shared" si="4"/>
        <v>16</v>
      </c>
      <c r="B140" s="61"/>
      <c r="G140" s="249"/>
      <c r="I140" s="238"/>
      <c r="J140" s="43">
        <f t="shared" si="5"/>
        <v>16</v>
      </c>
    </row>
    <row r="141" spans="1:10" x14ac:dyDescent="0.45">
      <c r="A141" s="43">
        <f t="shared" si="4"/>
        <v>17</v>
      </c>
      <c r="B141" s="50" t="s">
        <v>236</v>
      </c>
      <c r="G141" s="249"/>
      <c r="I141" s="238"/>
      <c r="J141" s="43">
        <f t="shared" si="5"/>
        <v>17</v>
      </c>
    </row>
    <row r="142" spans="1:10" x14ac:dyDescent="0.45">
      <c r="A142" s="43">
        <f t="shared" si="4"/>
        <v>18</v>
      </c>
      <c r="B142" s="44" t="str">
        <f>B97</f>
        <v xml:space="preserve">     A = Sum of Preferred Stock and Return on Equity Component</v>
      </c>
      <c r="G142" s="225">
        <f>G130</f>
        <v>0</v>
      </c>
      <c r="I142" s="55" t="str">
        <f>"Line "&amp;A130&amp;" Above"</f>
        <v>Line 6 Above</v>
      </c>
      <c r="J142" s="43">
        <f t="shared" si="5"/>
        <v>18</v>
      </c>
    </row>
    <row r="143" spans="1:10" x14ac:dyDescent="0.45">
      <c r="A143" s="43">
        <f t="shared" si="4"/>
        <v>19</v>
      </c>
      <c r="B143" s="44" t="str">
        <f>B98</f>
        <v xml:space="preserve">     B = Equity AFUDC Component of Transmission Depreciation Expense</v>
      </c>
      <c r="G143" s="253">
        <f>G132</f>
        <v>0</v>
      </c>
      <c r="I143" s="55" t="str">
        <f>"Line "&amp;A132&amp;" Above"</f>
        <v>Line 8 Above</v>
      </c>
      <c r="J143" s="43">
        <f t="shared" si="5"/>
        <v>19</v>
      </c>
    </row>
    <row r="144" spans="1:10" x14ac:dyDescent="0.45">
      <c r="A144" s="43">
        <f t="shared" si="4"/>
        <v>20</v>
      </c>
      <c r="B144" s="44" t="s">
        <v>261</v>
      </c>
      <c r="G144" s="253">
        <f>G133</f>
        <v>0</v>
      </c>
      <c r="I144" s="55" t="str">
        <f>"Line "&amp;A133&amp;" Above"</f>
        <v>Line 9 Above</v>
      </c>
      <c r="J144" s="43">
        <f t="shared" si="5"/>
        <v>20</v>
      </c>
    </row>
    <row r="145" spans="1:10" x14ac:dyDescent="0.45">
      <c r="A145" s="43">
        <f t="shared" si="4"/>
        <v>21</v>
      </c>
      <c r="B145" s="44" t="str">
        <f>B100</f>
        <v xml:space="preserve">     FT = Federal Income Tax Expense</v>
      </c>
      <c r="G145" s="255">
        <f>G136</f>
        <v>0</v>
      </c>
      <c r="I145" s="55" t="str">
        <f>"Line "&amp;A136&amp;" Above"</f>
        <v>Line 12 Above</v>
      </c>
      <c r="J145" s="43">
        <f t="shared" si="5"/>
        <v>21</v>
      </c>
    </row>
    <row r="146" spans="1:10" x14ac:dyDescent="0.45">
      <c r="A146" s="43">
        <f t="shared" si="4"/>
        <v>22</v>
      </c>
      <c r="B146" s="44" t="str">
        <f>B101</f>
        <v xml:space="preserve">     ST = State Income Tax Rate for Rate Effective Period</v>
      </c>
      <c r="G146" s="609" t="str">
        <f>G101</f>
        <v>8.84%</v>
      </c>
      <c r="I146" s="55" t="str">
        <f>"AV2; Line "&amp;A101</f>
        <v>AV2; Line 22</v>
      </c>
      <c r="J146" s="43">
        <f t="shared" si="5"/>
        <v>22</v>
      </c>
    </row>
    <row r="147" spans="1:10" x14ac:dyDescent="0.45">
      <c r="A147" s="43">
        <f t="shared" si="4"/>
        <v>23</v>
      </c>
      <c r="B147" s="618"/>
      <c r="G147" s="256"/>
      <c r="I147" s="252"/>
      <c r="J147" s="43">
        <f t="shared" si="5"/>
        <v>23</v>
      </c>
    </row>
    <row r="148" spans="1:10" x14ac:dyDescent="0.45">
      <c r="A148" s="43">
        <f t="shared" si="4"/>
        <v>24</v>
      </c>
      <c r="B148" s="44" t="s">
        <v>253</v>
      </c>
      <c r="G148" s="603">
        <f>IFERROR(((G142)+(G143/G144)+G136)*G146/(1-G146),0)</f>
        <v>0</v>
      </c>
      <c r="I148" s="55" t="s">
        <v>254</v>
      </c>
      <c r="J148" s="43">
        <f t="shared" si="5"/>
        <v>24</v>
      </c>
    </row>
    <row r="149" spans="1:10" x14ac:dyDescent="0.45">
      <c r="A149" s="43">
        <f t="shared" si="4"/>
        <v>25</v>
      </c>
      <c r="B149" s="248" t="s">
        <v>255</v>
      </c>
      <c r="G149" s="43"/>
      <c r="I149" s="55"/>
      <c r="J149" s="43">
        <f t="shared" si="5"/>
        <v>25</v>
      </c>
    </row>
    <row r="150" spans="1:10" x14ac:dyDescent="0.45">
      <c r="A150" s="43">
        <f t="shared" si="4"/>
        <v>26</v>
      </c>
      <c r="G150" s="43"/>
      <c r="I150" s="55"/>
      <c r="J150" s="43">
        <f t="shared" si="5"/>
        <v>26</v>
      </c>
    </row>
    <row r="151" spans="1:10" x14ac:dyDescent="0.45">
      <c r="A151" s="43">
        <f t="shared" si="4"/>
        <v>27</v>
      </c>
      <c r="B151" s="48" t="s">
        <v>256</v>
      </c>
      <c r="G151" s="246">
        <f>G148+G136</f>
        <v>0</v>
      </c>
      <c r="I151" s="55" t="str">
        <f>"Line "&amp;A136&amp;" + Line "&amp;A148</f>
        <v>Line 12 + Line 24</v>
      </c>
      <c r="J151" s="43">
        <f t="shared" si="5"/>
        <v>27</v>
      </c>
    </row>
    <row r="152" spans="1:10" x14ac:dyDescent="0.45">
      <c r="A152" s="43">
        <f t="shared" si="4"/>
        <v>28</v>
      </c>
      <c r="G152" s="43"/>
      <c r="I152" s="55"/>
      <c r="J152" s="43">
        <f t="shared" si="5"/>
        <v>28</v>
      </c>
    </row>
    <row r="153" spans="1:10" x14ac:dyDescent="0.45">
      <c r="A153" s="43">
        <f t="shared" si="4"/>
        <v>29</v>
      </c>
      <c r="B153" s="48" t="s">
        <v>262</v>
      </c>
      <c r="G153" s="610">
        <f>G63</f>
        <v>0</v>
      </c>
      <c r="I153" s="55" t="str">
        <f>"AV1; Line "&amp;A63</f>
        <v>AV1; Line 53</v>
      </c>
      <c r="J153" s="43">
        <f t="shared" si="5"/>
        <v>29</v>
      </c>
    </row>
    <row r="154" spans="1:10" x14ac:dyDescent="0.45">
      <c r="A154" s="43">
        <f t="shared" si="4"/>
        <v>30</v>
      </c>
      <c r="G154" s="43"/>
      <c r="I154" s="55"/>
      <c r="J154" s="43">
        <f t="shared" si="5"/>
        <v>30</v>
      </c>
    </row>
    <row r="155" spans="1:10" ht="18" thickBot="1" x14ac:dyDescent="0.5">
      <c r="A155" s="43">
        <f t="shared" si="4"/>
        <v>31</v>
      </c>
      <c r="B155" s="48" t="s">
        <v>380</v>
      </c>
      <c r="G155" s="264">
        <f>G151+G153</f>
        <v>0</v>
      </c>
      <c r="I155" s="55" t="str">
        <f>"Line "&amp;A151&amp;" + Line "&amp;A153</f>
        <v>Line 27 + Line 29</v>
      </c>
      <c r="J155" s="43">
        <f t="shared" si="5"/>
        <v>31</v>
      </c>
    </row>
    <row r="156" spans="1:10" ht="15.75" thickTop="1" x14ac:dyDescent="0.45"/>
    <row r="158" spans="1:10" ht="17.25" x14ac:dyDescent="0.45">
      <c r="A158" s="75"/>
      <c r="B158" s="20"/>
    </row>
  </sheetData>
  <mergeCells count="15">
    <mergeCell ref="B119:I119"/>
    <mergeCell ref="B120:I120"/>
    <mergeCell ref="B2:I2"/>
    <mergeCell ref="B3:I3"/>
    <mergeCell ref="B4:I4"/>
    <mergeCell ref="B5:I5"/>
    <mergeCell ref="B6:I6"/>
    <mergeCell ref="B116:I116"/>
    <mergeCell ref="B117:I117"/>
    <mergeCell ref="B118:I118"/>
    <mergeCell ref="B71:I71"/>
    <mergeCell ref="B72:I72"/>
    <mergeCell ref="B73:I73"/>
    <mergeCell ref="B74:I74"/>
    <mergeCell ref="B75:I75"/>
  </mergeCells>
  <printOptions horizontalCentered="1"/>
  <pageMargins left="0.25" right="0.25" top="0.5" bottom="0.5" header="0.35" footer="0.25"/>
  <pageSetup scale="52" orientation="portrait" r:id="rId1"/>
  <headerFooter scaleWithDoc="0" alignWithMargins="0">
    <oddHeader>&amp;C&amp;"Times New Roman,Bold"REVISED</oddHeader>
    <oddFooter>&amp;CPage 8.&amp;P&amp;R&amp;F</oddFooter>
  </headerFooter>
  <rowBreaks count="2" manualBreakCount="2">
    <brk id="69" max="16383" man="1"/>
    <brk id="114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A4F7-9917-43F8-A761-1FC65E78BD1D}">
  <dimension ref="A1:H87"/>
  <sheetViews>
    <sheetView zoomScale="80" zoomScaleNormal="80" workbookViewId="0"/>
  </sheetViews>
  <sheetFormatPr defaultColWidth="8.73046875" defaultRowHeight="15.4" x14ac:dyDescent="0.45"/>
  <cols>
    <col min="1" max="1" width="5.1328125" style="707" customWidth="1"/>
    <col min="2" max="2" width="83" style="654" customWidth="1"/>
    <col min="3" max="3" width="16.86328125" style="654" customWidth="1"/>
    <col min="4" max="4" width="1.59765625" style="654" customWidth="1"/>
    <col min="5" max="5" width="38.73046875" style="654" customWidth="1"/>
    <col min="6" max="6" width="5.1328125" style="707" customWidth="1"/>
    <col min="7" max="16384" width="8.73046875" style="654"/>
  </cols>
  <sheetData>
    <row r="1" spans="1:6" x14ac:dyDescent="0.45">
      <c r="A1" s="624"/>
      <c r="B1" s="274"/>
      <c r="C1" s="653"/>
      <c r="D1" s="653"/>
      <c r="E1" s="614"/>
      <c r="F1" s="624"/>
    </row>
    <row r="2" spans="1:6" x14ac:dyDescent="0.45">
      <c r="A2" s="624"/>
      <c r="B2" s="762" t="s">
        <v>24</v>
      </c>
      <c r="C2" s="782"/>
      <c r="D2" s="782"/>
      <c r="E2" s="782"/>
      <c r="F2" s="624"/>
    </row>
    <row r="3" spans="1:6" x14ac:dyDescent="0.45">
      <c r="A3" s="624" t="s">
        <v>11</v>
      </c>
      <c r="B3" s="762" t="s">
        <v>394</v>
      </c>
      <c r="C3" s="782"/>
      <c r="D3" s="782"/>
      <c r="E3" s="782"/>
      <c r="F3" s="624" t="s">
        <v>11</v>
      </c>
    </row>
    <row r="4" spans="1:6" x14ac:dyDescent="0.45">
      <c r="A4" s="624"/>
      <c r="B4" s="779" t="s">
        <v>501</v>
      </c>
      <c r="C4" s="780"/>
      <c r="D4" s="780"/>
      <c r="E4" s="780"/>
      <c r="F4" s="624"/>
    </row>
    <row r="5" spans="1:6" x14ac:dyDescent="0.45">
      <c r="A5" s="624"/>
      <c r="B5" s="781" t="s">
        <v>1</v>
      </c>
      <c r="C5" s="782"/>
      <c r="D5" s="782"/>
      <c r="E5" s="782"/>
      <c r="F5" s="624"/>
    </row>
    <row r="6" spans="1:6" x14ac:dyDescent="0.45">
      <c r="A6" s="624"/>
      <c r="B6" s="655"/>
      <c r="C6" s="274"/>
      <c r="D6" s="274"/>
      <c r="E6" s="274"/>
      <c r="F6" s="624"/>
    </row>
    <row r="7" spans="1:6" x14ac:dyDescent="0.45">
      <c r="A7" s="624" t="s">
        <v>2</v>
      </c>
      <c r="B7" s="274"/>
      <c r="C7" s="656"/>
      <c r="D7" s="656"/>
      <c r="E7" s="622"/>
      <c r="F7" s="624" t="s">
        <v>2</v>
      </c>
    </row>
    <row r="8" spans="1:6" x14ac:dyDescent="0.45">
      <c r="A8" s="624" t="s">
        <v>6</v>
      </c>
      <c r="B8" s="274" t="s">
        <v>11</v>
      </c>
      <c r="C8" s="657" t="s">
        <v>4</v>
      </c>
      <c r="D8" s="656"/>
      <c r="E8" s="658" t="s">
        <v>5</v>
      </c>
      <c r="F8" s="624" t="s">
        <v>6</v>
      </c>
    </row>
    <row r="9" spans="1:6" x14ac:dyDescent="0.45">
      <c r="A9" s="624"/>
      <c r="B9" s="519" t="s">
        <v>395</v>
      </c>
      <c r="C9" s="659"/>
      <c r="D9" s="656"/>
      <c r="E9" s="622"/>
      <c r="F9" s="624"/>
    </row>
    <row r="10" spans="1:6" x14ac:dyDescent="0.45">
      <c r="A10" s="624"/>
      <c r="B10" s="660"/>
      <c r="C10" s="659"/>
      <c r="D10" s="656"/>
      <c r="E10" s="622"/>
      <c r="F10" s="624"/>
    </row>
    <row r="11" spans="1:6" x14ac:dyDescent="0.45">
      <c r="A11" s="624">
        <v>1</v>
      </c>
      <c r="B11" s="519" t="s">
        <v>396</v>
      </c>
      <c r="C11" s="659"/>
      <c r="D11" s="659"/>
      <c r="E11" s="622"/>
      <c r="F11" s="624">
        <f>A11</f>
        <v>1</v>
      </c>
    </row>
    <row r="12" spans="1:6" x14ac:dyDescent="0.45">
      <c r="A12" s="624">
        <f>A11+1</f>
        <v>2</v>
      </c>
      <c r="B12" s="295" t="s">
        <v>397</v>
      </c>
      <c r="C12" s="661">
        <f>C77</f>
        <v>4558369.6291265385</v>
      </c>
      <c r="D12" s="662"/>
      <c r="E12" s="321" t="str">
        <f>"Page 2; Line "&amp;A77</f>
        <v>Page 2; Line 16</v>
      </c>
      <c r="F12" s="624">
        <f>F11+1</f>
        <v>2</v>
      </c>
    </row>
    <row r="13" spans="1:6" x14ac:dyDescent="0.45">
      <c r="A13" s="624">
        <f t="shared" ref="A13:A48" si="0">A12+1</f>
        <v>3</v>
      </c>
      <c r="B13" s="295" t="s">
        <v>20</v>
      </c>
      <c r="C13" s="663">
        <f>C78</f>
        <v>5863.0679868925545</v>
      </c>
      <c r="D13" s="664"/>
      <c r="E13" s="321" t="str">
        <f>"Page 2; Line "&amp;A78</f>
        <v>Page 2; Line 17</v>
      </c>
      <c r="F13" s="624">
        <f t="shared" ref="F13:F48" si="1">F12+1</f>
        <v>3</v>
      </c>
    </row>
    <row r="14" spans="1:6" x14ac:dyDescent="0.45">
      <c r="A14" s="624">
        <f t="shared" si="0"/>
        <v>4</v>
      </c>
      <c r="B14" s="295" t="s">
        <v>21</v>
      </c>
      <c r="C14" s="663">
        <f>C79</f>
        <v>25019.600360902012</v>
      </c>
      <c r="D14" s="664"/>
      <c r="E14" s="321" t="str">
        <f>"Page 2; Line "&amp;A79</f>
        <v>Page 2; Line 18</v>
      </c>
      <c r="F14" s="624">
        <f t="shared" si="1"/>
        <v>4</v>
      </c>
    </row>
    <row r="15" spans="1:6" x14ac:dyDescent="0.45">
      <c r="A15" s="624">
        <f t="shared" si="0"/>
        <v>5</v>
      </c>
      <c r="B15" s="295" t="s">
        <v>398</v>
      </c>
      <c r="C15" s="665">
        <f>C80</f>
        <v>47895.496741946881</v>
      </c>
      <c r="D15" s="664"/>
      <c r="E15" s="321" t="str">
        <f>"Page 2; Line "&amp;A80</f>
        <v>Page 2; Line 19</v>
      </c>
      <c r="F15" s="624">
        <f t="shared" si="1"/>
        <v>5</v>
      </c>
    </row>
    <row r="16" spans="1:6" x14ac:dyDescent="0.45">
      <c r="A16" s="624">
        <f t="shared" si="0"/>
        <v>6</v>
      </c>
      <c r="B16" s="295" t="s">
        <v>399</v>
      </c>
      <c r="C16" s="666">
        <f>SUM(C12:C15)</f>
        <v>4637147.7942162799</v>
      </c>
      <c r="D16" s="667"/>
      <c r="E16" s="321" t="str">
        <f>"Sum Lines "&amp;A12&amp;" thru "&amp;A15</f>
        <v>Sum Lines 2 thru 5</v>
      </c>
      <c r="F16" s="624">
        <f t="shared" si="1"/>
        <v>6</v>
      </c>
    </row>
    <row r="17" spans="1:6" x14ac:dyDescent="0.45">
      <c r="A17" s="624">
        <f t="shared" si="0"/>
        <v>7</v>
      </c>
      <c r="B17" s="518"/>
      <c r="C17" s="668"/>
      <c r="D17" s="669"/>
      <c r="E17" s="622"/>
      <c r="F17" s="624">
        <f t="shared" si="1"/>
        <v>7</v>
      </c>
    </row>
    <row r="18" spans="1:6" x14ac:dyDescent="0.45">
      <c r="A18" s="624">
        <f t="shared" si="0"/>
        <v>8</v>
      </c>
      <c r="B18" s="519" t="s">
        <v>400</v>
      </c>
      <c r="C18" s="668"/>
      <c r="D18" s="669"/>
      <c r="E18" s="622"/>
      <c r="F18" s="624">
        <f t="shared" si="1"/>
        <v>8</v>
      </c>
    </row>
    <row r="19" spans="1:6" x14ac:dyDescent="0.45">
      <c r="A19" s="624">
        <f t="shared" si="0"/>
        <v>9</v>
      </c>
      <c r="B19" s="295" t="s">
        <v>401</v>
      </c>
      <c r="C19" s="670">
        <v>950.34505384615397</v>
      </c>
      <c r="D19" s="656"/>
      <c r="E19" s="321" t="s">
        <v>587</v>
      </c>
      <c r="F19" s="624">
        <f t="shared" si="1"/>
        <v>9</v>
      </c>
    </row>
    <row r="20" spans="1:6" x14ac:dyDescent="0.45">
      <c r="A20" s="624">
        <f t="shared" si="0"/>
        <v>10</v>
      </c>
      <c r="B20" s="295" t="s">
        <v>402</v>
      </c>
      <c r="C20" s="671">
        <v>0</v>
      </c>
      <c r="D20" s="656"/>
      <c r="E20" s="321" t="s">
        <v>588</v>
      </c>
      <c r="F20" s="624">
        <f t="shared" si="1"/>
        <v>10</v>
      </c>
    </row>
    <row r="21" spans="1:6" x14ac:dyDescent="0.45">
      <c r="A21" s="624">
        <f t="shared" si="0"/>
        <v>11</v>
      </c>
      <c r="B21" s="295" t="s">
        <v>403</v>
      </c>
      <c r="C21" s="672">
        <f>C19+C20</f>
        <v>950.34505384615397</v>
      </c>
      <c r="D21" s="673"/>
      <c r="E21" s="321" t="str">
        <f>"Line "&amp;A19&amp;" + Line "&amp;A20</f>
        <v>Line 9 + Line 10</v>
      </c>
      <c r="F21" s="624">
        <f t="shared" si="1"/>
        <v>11</v>
      </c>
    </row>
    <row r="22" spans="1:6" x14ac:dyDescent="0.45">
      <c r="A22" s="624">
        <f t="shared" si="0"/>
        <v>12</v>
      </c>
      <c r="B22" s="295"/>
      <c r="C22" s="674"/>
      <c r="D22" s="653"/>
      <c r="E22" s="622"/>
      <c r="F22" s="624">
        <f t="shared" si="1"/>
        <v>12</v>
      </c>
    </row>
    <row r="23" spans="1:6" x14ac:dyDescent="0.45">
      <c r="A23" s="624">
        <f t="shared" si="0"/>
        <v>13</v>
      </c>
      <c r="B23" s="519" t="s">
        <v>404</v>
      </c>
      <c r="C23" s="668"/>
      <c r="D23" s="669"/>
      <c r="E23" s="622"/>
      <c r="F23" s="624">
        <f t="shared" si="1"/>
        <v>13</v>
      </c>
    </row>
    <row r="24" spans="1:6" x14ac:dyDescent="0.45">
      <c r="A24" s="624">
        <f t="shared" si="0"/>
        <v>14</v>
      </c>
      <c r="B24" s="518" t="s">
        <v>405</v>
      </c>
      <c r="C24" s="675">
        <v>-789049.57673542202</v>
      </c>
      <c r="D24" s="656"/>
      <c r="E24" s="321" t="s">
        <v>589</v>
      </c>
      <c r="F24" s="624">
        <f t="shared" si="1"/>
        <v>14</v>
      </c>
    </row>
    <row r="25" spans="1:6" x14ac:dyDescent="0.45">
      <c r="A25" s="624">
        <f t="shared" si="0"/>
        <v>15</v>
      </c>
      <c r="B25" s="518" t="s">
        <v>406</v>
      </c>
      <c r="C25" s="676">
        <v>0</v>
      </c>
      <c r="D25" s="656"/>
      <c r="E25" s="321" t="s">
        <v>590</v>
      </c>
      <c r="F25" s="624">
        <f t="shared" si="1"/>
        <v>15</v>
      </c>
    </row>
    <row r="26" spans="1:6" x14ac:dyDescent="0.45">
      <c r="A26" s="624">
        <f t="shared" si="0"/>
        <v>16</v>
      </c>
      <c r="B26" s="295" t="s">
        <v>407</v>
      </c>
      <c r="C26" s="666">
        <f>SUM(C24:C25)</f>
        <v>-789049.57673542202</v>
      </c>
      <c r="D26" s="667"/>
      <c r="E26" s="321" t="str">
        <f>"Line "&amp;A24&amp;" + Line "&amp;A25</f>
        <v>Line 14 + Line 15</v>
      </c>
      <c r="F26" s="624">
        <f t="shared" si="1"/>
        <v>16</v>
      </c>
    </row>
    <row r="27" spans="1:6" x14ac:dyDescent="0.45">
      <c r="A27" s="624">
        <f t="shared" si="0"/>
        <v>17</v>
      </c>
      <c r="B27" s="274"/>
      <c r="C27" s="677"/>
      <c r="D27" s="678"/>
      <c r="E27" s="622"/>
      <c r="F27" s="624">
        <f t="shared" si="1"/>
        <v>17</v>
      </c>
    </row>
    <row r="28" spans="1:6" x14ac:dyDescent="0.45">
      <c r="A28" s="624">
        <f t="shared" si="0"/>
        <v>18</v>
      </c>
      <c r="B28" s="519" t="s">
        <v>408</v>
      </c>
      <c r="C28" s="677"/>
      <c r="D28" s="678"/>
      <c r="E28" s="622"/>
      <c r="F28" s="624">
        <f t="shared" si="1"/>
        <v>18</v>
      </c>
    </row>
    <row r="29" spans="1:6" x14ac:dyDescent="0.45">
      <c r="A29" s="624">
        <f t="shared" si="0"/>
        <v>19</v>
      </c>
      <c r="B29" s="295" t="s">
        <v>409</v>
      </c>
      <c r="C29" s="661">
        <f>'Pg7 Revised Stmt AL'!G15</f>
        <v>52122.705552521453</v>
      </c>
      <c r="D29" s="656"/>
      <c r="E29" s="321" t="s">
        <v>511</v>
      </c>
      <c r="F29" s="624">
        <f t="shared" si="1"/>
        <v>19</v>
      </c>
    </row>
    <row r="30" spans="1:6" x14ac:dyDescent="0.45">
      <c r="A30" s="624">
        <f t="shared" si="0"/>
        <v>20</v>
      </c>
      <c r="B30" s="295" t="s">
        <v>410</v>
      </c>
      <c r="C30" s="663">
        <f>'Pg7 Revised Stmt AL'!G19</f>
        <v>19698.911876068967</v>
      </c>
      <c r="D30" s="656"/>
      <c r="E30" s="321" t="s">
        <v>512</v>
      </c>
      <c r="F30" s="624">
        <f t="shared" si="1"/>
        <v>20</v>
      </c>
    </row>
    <row r="31" spans="1:6" ht="15.75" x14ac:dyDescent="0.5">
      <c r="A31" s="624">
        <f t="shared" si="0"/>
        <v>21</v>
      </c>
      <c r="B31" s="295" t="s">
        <v>411</v>
      </c>
      <c r="C31" s="679">
        <f>'Pg7 Revised Stmt AL'!E29</f>
        <v>8559.3087350445276</v>
      </c>
      <c r="D31" s="29" t="s">
        <v>16</v>
      </c>
      <c r="E31" s="321" t="s">
        <v>513</v>
      </c>
      <c r="F31" s="624">
        <f t="shared" si="1"/>
        <v>21</v>
      </c>
    </row>
    <row r="32" spans="1:6" ht="15.75" x14ac:dyDescent="0.5">
      <c r="A32" s="624">
        <f t="shared" si="0"/>
        <v>22</v>
      </c>
      <c r="B32" s="295" t="s">
        <v>412</v>
      </c>
      <c r="C32" s="680">
        <f>SUM(C29:C31)</f>
        <v>80380.926163634955</v>
      </c>
      <c r="D32" s="29" t="s">
        <v>16</v>
      </c>
      <c r="E32" s="321" t="str">
        <f>"Sum Lines "&amp;A29&amp;" thru "&amp;A31</f>
        <v>Sum Lines 19 thru 21</v>
      </c>
      <c r="F32" s="624">
        <f t="shared" si="1"/>
        <v>22</v>
      </c>
    </row>
    <row r="33" spans="1:6" x14ac:dyDescent="0.45">
      <c r="A33" s="624">
        <f t="shared" si="0"/>
        <v>23</v>
      </c>
      <c r="B33" s="297"/>
      <c r="C33" s="681"/>
      <c r="D33" s="682"/>
      <c r="E33" s="622"/>
      <c r="F33" s="624">
        <f t="shared" si="1"/>
        <v>23</v>
      </c>
    </row>
    <row r="34" spans="1:6" x14ac:dyDescent="0.45">
      <c r="A34" s="624">
        <f t="shared" si="0"/>
        <v>24</v>
      </c>
      <c r="B34" s="295" t="s">
        <v>413</v>
      </c>
      <c r="C34" s="683">
        <v>0</v>
      </c>
      <c r="D34" s="656"/>
      <c r="E34" s="321" t="s">
        <v>591</v>
      </c>
      <c r="F34" s="624">
        <f t="shared" si="1"/>
        <v>24</v>
      </c>
    </row>
    <row r="35" spans="1:6" x14ac:dyDescent="0.45">
      <c r="A35" s="624">
        <f t="shared" si="0"/>
        <v>25</v>
      </c>
      <c r="B35" s="295"/>
      <c r="C35" s="681"/>
      <c r="D35" s="682"/>
      <c r="E35" s="622"/>
      <c r="F35" s="624">
        <f t="shared" si="1"/>
        <v>25</v>
      </c>
    </row>
    <row r="36" spans="1:6" ht="16.149999999999999" thickBot="1" x14ac:dyDescent="0.55000000000000004">
      <c r="A36" s="624">
        <f t="shared" si="0"/>
        <v>26</v>
      </c>
      <c r="B36" s="295" t="s">
        <v>414</v>
      </c>
      <c r="C36" s="684">
        <f>C16+C21+C26+C32+C34</f>
        <v>3929429.4886983386</v>
      </c>
      <c r="D36" s="29" t="s">
        <v>16</v>
      </c>
      <c r="E36" s="321" t="str">
        <f>"Sum Lines "&amp;A16&amp;", "&amp;A21&amp;", "&amp;A26&amp;", "&amp;A32&amp;", "&amp;A34</f>
        <v>Sum Lines 6, 11, 16, 22, 24</v>
      </c>
      <c r="F36" s="624">
        <f t="shared" si="1"/>
        <v>26</v>
      </c>
    </row>
    <row r="37" spans="1:6" ht="15.75" thickTop="1" x14ac:dyDescent="0.45">
      <c r="A37" s="624">
        <f t="shared" si="0"/>
        <v>27</v>
      </c>
      <c r="B37" s="297"/>
      <c r="C37" s="685"/>
      <c r="D37" s="667"/>
      <c r="E37" s="622"/>
      <c r="F37" s="624">
        <f t="shared" si="1"/>
        <v>27</v>
      </c>
    </row>
    <row r="38" spans="1:6" x14ac:dyDescent="0.45">
      <c r="A38" s="624">
        <f t="shared" si="0"/>
        <v>28</v>
      </c>
      <c r="B38" s="519" t="s">
        <v>415</v>
      </c>
      <c r="C38" s="685"/>
      <c r="D38" s="667"/>
      <c r="E38" s="622"/>
      <c r="F38" s="624">
        <f t="shared" si="1"/>
        <v>28</v>
      </c>
    </row>
    <row r="39" spans="1:6" x14ac:dyDescent="0.45">
      <c r="A39" s="624">
        <f t="shared" si="0"/>
        <v>29</v>
      </c>
      <c r="B39" s="295" t="s">
        <v>416</v>
      </c>
      <c r="C39" s="686">
        <v>0</v>
      </c>
      <c r="D39" s="687"/>
      <c r="E39" s="321" t="s">
        <v>19</v>
      </c>
      <c r="F39" s="624">
        <f t="shared" si="1"/>
        <v>29</v>
      </c>
    </row>
    <row r="40" spans="1:6" x14ac:dyDescent="0.45">
      <c r="A40" s="624">
        <f t="shared" si="0"/>
        <v>30</v>
      </c>
      <c r="B40" s="295" t="s">
        <v>417</v>
      </c>
      <c r="C40" s="688">
        <v>0</v>
      </c>
      <c r="D40" s="656"/>
      <c r="E40" s="321" t="s">
        <v>19</v>
      </c>
      <c r="F40" s="624">
        <f t="shared" si="1"/>
        <v>30</v>
      </c>
    </row>
    <row r="41" spans="1:6" x14ac:dyDescent="0.45">
      <c r="A41" s="624">
        <f t="shared" si="0"/>
        <v>31</v>
      </c>
      <c r="B41" s="518" t="s">
        <v>418</v>
      </c>
      <c r="C41" s="680">
        <f>C39+C40</f>
        <v>0</v>
      </c>
      <c r="D41" s="667"/>
      <c r="E41" s="321" t="str">
        <f>"Line "&amp;A39&amp;" + Line "&amp;A40</f>
        <v>Line 29 + Line 30</v>
      </c>
      <c r="F41" s="624">
        <f t="shared" si="1"/>
        <v>31</v>
      </c>
    </row>
    <row r="42" spans="1:6" x14ac:dyDescent="0.45">
      <c r="A42" s="624">
        <f t="shared" si="0"/>
        <v>32</v>
      </c>
      <c r="B42" s="297"/>
      <c r="C42" s="685"/>
      <c r="D42" s="667"/>
      <c r="E42" s="622"/>
      <c r="F42" s="624">
        <f t="shared" si="1"/>
        <v>32</v>
      </c>
    </row>
    <row r="43" spans="1:6" x14ac:dyDescent="0.45">
      <c r="A43" s="624">
        <f t="shared" si="0"/>
        <v>33</v>
      </c>
      <c r="B43" s="519" t="s">
        <v>419</v>
      </c>
      <c r="C43" s="685"/>
      <c r="D43" s="667"/>
      <c r="E43" s="622"/>
      <c r="F43" s="624">
        <f t="shared" si="1"/>
        <v>33</v>
      </c>
    </row>
    <row r="44" spans="1:6" x14ac:dyDescent="0.45">
      <c r="A44" s="624">
        <f t="shared" si="0"/>
        <v>34</v>
      </c>
      <c r="B44" s="295" t="s">
        <v>420</v>
      </c>
      <c r="C44" s="686">
        <v>0</v>
      </c>
      <c r="D44" s="656"/>
      <c r="E44" s="321" t="s">
        <v>19</v>
      </c>
      <c r="F44" s="624">
        <f t="shared" si="1"/>
        <v>34</v>
      </c>
    </row>
    <row r="45" spans="1:6" x14ac:dyDescent="0.45">
      <c r="A45" s="624">
        <f t="shared" si="0"/>
        <v>35</v>
      </c>
      <c r="B45" s="518" t="s">
        <v>421</v>
      </c>
      <c r="C45" s="689">
        <v>0</v>
      </c>
      <c r="D45" s="656"/>
      <c r="E45" s="321" t="s">
        <v>19</v>
      </c>
      <c r="F45" s="624">
        <f t="shared" si="1"/>
        <v>35</v>
      </c>
    </row>
    <row r="46" spans="1:6" x14ac:dyDescent="0.45">
      <c r="A46" s="624">
        <f t="shared" si="0"/>
        <v>36</v>
      </c>
      <c r="B46" s="518" t="s">
        <v>422</v>
      </c>
      <c r="C46" s="680">
        <f>C44+C45</f>
        <v>0</v>
      </c>
      <c r="D46" s="667"/>
      <c r="E46" s="321" t="str">
        <f>"Line "&amp;A44&amp;" + Line "&amp;A45</f>
        <v>Line 34 + Line 35</v>
      </c>
      <c r="F46" s="624">
        <f t="shared" si="1"/>
        <v>36</v>
      </c>
    </row>
    <row r="47" spans="1:6" x14ac:dyDescent="0.45">
      <c r="A47" s="624">
        <f t="shared" si="0"/>
        <v>37</v>
      </c>
      <c r="B47" s="297"/>
      <c r="C47" s="685"/>
      <c r="D47" s="667"/>
      <c r="E47" s="622"/>
      <c r="F47" s="624">
        <f t="shared" si="1"/>
        <v>37</v>
      </c>
    </row>
    <row r="48" spans="1:6" ht="15.75" thickBot="1" x14ac:dyDescent="0.5">
      <c r="A48" s="624">
        <f t="shared" si="0"/>
        <v>38</v>
      </c>
      <c r="B48" s="519" t="s">
        <v>423</v>
      </c>
      <c r="C48" s="690">
        <v>0</v>
      </c>
      <c r="D48" s="656"/>
      <c r="E48" s="321" t="s">
        <v>19</v>
      </c>
      <c r="F48" s="624">
        <f t="shared" si="1"/>
        <v>38</v>
      </c>
    </row>
    <row r="49" spans="1:8" ht="15.75" thickTop="1" x14ac:dyDescent="0.45">
      <c r="A49" s="624"/>
      <c r="B49" s="519"/>
      <c r="C49" s="708"/>
      <c r="D49" s="656"/>
      <c r="E49" s="321"/>
      <c r="F49" s="624"/>
    </row>
    <row r="50" spans="1:8" ht="15.75" x14ac:dyDescent="0.5">
      <c r="A50" s="29" t="s">
        <v>16</v>
      </c>
      <c r="B50" s="26" t="s">
        <v>388</v>
      </c>
      <c r="C50" s="708"/>
      <c r="D50" s="656"/>
      <c r="E50" s="321"/>
      <c r="F50" s="624"/>
    </row>
    <row r="51" spans="1:8" x14ac:dyDescent="0.45">
      <c r="A51" s="624"/>
      <c r="B51" s="297"/>
      <c r="C51" s="685"/>
      <c r="D51" s="667"/>
      <c r="E51" s="622"/>
      <c r="F51" s="624"/>
    </row>
    <row r="52" spans="1:8" x14ac:dyDescent="0.45">
      <c r="A52" s="624"/>
      <c r="B52" s="622"/>
      <c r="C52" s="274"/>
      <c r="D52" s="274"/>
      <c r="E52" s="274"/>
      <c r="F52" s="624"/>
    </row>
    <row r="53" spans="1:8" x14ac:dyDescent="0.45">
      <c r="A53" s="624"/>
      <c r="B53" s="762" t="str">
        <f>B2</f>
        <v>SAN DIEGO GAS &amp; ELECTRIC COMPANY</v>
      </c>
      <c r="C53" s="782"/>
      <c r="D53" s="782"/>
      <c r="E53" s="782"/>
      <c r="F53" s="624"/>
    </row>
    <row r="54" spans="1:8" x14ac:dyDescent="0.45">
      <c r="A54" s="624"/>
      <c r="B54" s="762" t="str">
        <f>B3</f>
        <v xml:space="preserve">Derivation of End Use Transmission Rate Base </v>
      </c>
      <c r="C54" s="782"/>
      <c r="D54" s="782"/>
      <c r="E54" s="782"/>
      <c r="F54" s="624"/>
    </row>
    <row r="55" spans="1:8" x14ac:dyDescent="0.45">
      <c r="A55" s="624"/>
      <c r="B55" s="779" t="str">
        <f>B4</f>
        <v>Base Period &amp; True-Up Period 12 - Months Ending December 31, 2018</v>
      </c>
      <c r="C55" s="780"/>
      <c r="D55" s="780"/>
      <c r="E55" s="780"/>
      <c r="F55" s="624"/>
    </row>
    <row r="56" spans="1:8" x14ac:dyDescent="0.45">
      <c r="A56" s="624"/>
      <c r="B56" s="781" t="s">
        <v>1</v>
      </c>
      <c r="C56" s="782"/>
      <c r="D56" s="782"/>
      <c r="E56" s="782"/>
      <c r="F56" s="624"/>
    </row>
    <row r="57" spans="1:8" x14ac:dyDescent="0.45">
      <c r="A57" s="624"/>
      <c r="B57" s="655"/>
      <c r="C57" s="274"/>
      <c r="D57" s="274"/>
      <c r="E57" s="274"/>
      <c r="F57" s="624"/>
    </row>
    <row r="58" spans="1:8" x14ac:dyDescent="0.45">
      <c r="A58" s="624" t="s">
        <v>2</v>
      </c>
      <c r="B58" s="655"/>
      <c r="C58" s="274"/>
      <c r="D58" s="274"/>
      <c r="E58" s="274"/>
      <c r="F58" s="624"/>
    </row>
    <row r="59" spans="1:8" x14ac:dyDescent="0.45">
      <c r="A59" s="624" t="s">
        <v>6</v>
      </c>
      <c r="B59" s="655"/>
      <c r="C59" s="274"/>
      <c r="D59" s="274"/>
      <c r="E59" s="274"/>
      <c r="F59" s="624"/>
    </row>
    <row r="60" spans="1:8" x14ac:dyDescent="0.45">
      <c r="A60" s="624"/>
      <c r="B60" s="519" t="s">
        <v>424</v>
      </c>
      <c r="C60" s="274"/>
      <c r="D60" s="274"/>
      <c r="E60" s="274"/>
      <c r="F60" s="624"/>
    </row>
    <row r="61" spans="1:8" x14ac:dyDescent="0.45">
      <c r="A61" s="624"/>
      <c r="B61" s="660"/>
      <c r="C61" s="656"/>
      <c r="D61" s="656"/>
      <c r="E61" s="622"/>
      <c r="F61" s="624"/>
    </row>
    <row r="62" spans="1:8" x14ac:dyDescent="0.45">
      <c r="A62" s="624">
        <v>1</v>
      </c>
      <c r="B62" s="519" t="s">
        <v>425</v>
      </c>
      <c r="C62" s="656"/>
      <c r="D62" s="656"/>
      <c r="E62" s="622"/>
      <c r="F62" s="624">
        <f t="shared" ref="F62:F86" si="2">A62</f>
        <v>1</v>
      </c>
    </row>
    <row r="63" spans="1:8" x14ac:dyDescent="0.45">
      <c r="A63" s="624">
        <v>2</v>
      </c>
      <c r="B63" s="295" t="s">
        <v>397</v>
      </c>
      <c r="C63" s="691">
        <v>5678390.0500223078</v>
      </c>
      <c r="D63" s="656"/>
      <c r="E63" s="321" t="s">
        <v>592</v>
      </c>
      <c r="F63" s="624">
        <f t="shared" si="2"/>
        <v>2</v>
      </c>
      <c r="G63" s="692"/>
      <c r="H63" s="693"/>
    </row>
    <row r="64" spans="1:8" x14ac:dyDescent="0.45">
      <c r="A64" s="624">
        <v>3</v>
      </c>
      <c r="B64" s="295" t="s">
        <v>426</v>
      </c>
      <c r="C64" s="694">
        <v>17866.07612325966</v>
      </c>
      <c r="D64" s="656"/>
      <c r="E64" s="321" t="s">
        <v>593</v>
      </c>
      <c r="F64" s="624">
        <f t="shared" si="2"/>
        <v>3</v>
      </c>
      <c r="G64" s="692"/>
      <c r="H64" s="693"/>
    </row>
    <row r="65" spans="1:8" x14ac:dyDescent="0.45">
      <c r="A65" s="624">
        <v>4</v>
      </c>
      <c r="B65" s="295" t="s">
        <v>21</v>
      </c>
      <c r="C65" s="694">
        <v>40941.349529324259</v>
      </c>
      <c r="D65" s="656"/>
      <c r="E65" s="321" t="s">
        <v>557</v>
      </c>
      <c r="F65" s="624">
        <f t="shared" si="2"/>
        <v>4</v>
      </c>
      <c r="G65" s="692"/>
      <c r="H65" s="695"/>
    </row>
    <row r="66" spans="1:8" x14ac:dyDescent="0.45">
      <c r="A66" s="624">
        <v>5</v>
      </c>
      <c r="B66" s="295" t="s">
        <v>398</v>
      </c>
      <c r="C66" s="696">
        <v>92197.606041814492</v>
      </c>
      <c r="D66" s="656"/>
      <c r="E66" s="321" t="s">
        <v>558</v>
      </c>
      <c r="F66" s="624">
        <f t="shared" si="2"/>
        <v>5</v>
      </c>
      <c r="G66" s="693"/>
      <c r="H66" s="693"/>
    </row>
    <row r="67" spans="1:8" x14ac:dyDescent="0.45">
      <c r="A67" s="624">
        <v>6</v>
      </c>
      <c r="B67" s="295" t="s">
        <v>427</v>
      </c>
      <c r="C67" s="666">
        <f>SUM(C63:C66)</f>
        <v>5829395.081716706</v>
      </c>
      <c r="D67" s="667"/>
      <c r="E67" s="321" t="s">
        <v>594</v>
      </c>
      <c r="F67" s="624">
        <f t="shared" si="2"/>
        <v>6</v>
      </c>
      <c r="G67" s="692"/>
      <c r="H67" s="693"/>
    </row>
    <row r="68" spans="1:8" x14ac:dyDescent="0.45">
      <c r="A68" s="624">
        <v>7</v>
      </c>
      <c r="B68" s="518"/>
      <c r="C68" s="697"/>
      <c r="D68" s="656"/>
      <c r="E68" s="622"/>
      <c r="F68" s="624">
        <f t="shared" si="2"/>
        <v>7</v>
      </c>
      <c r="G68" s="693"/>
      <c r="H68" s="693"/>
    </row>
    <row r="69" spans="1:8" x14ac:dyDescent="0.45">
      <c r="A69" s="624">
        <v>8</v>
      </c>
      <c r="B69" s="517" t="s">
        <v>428</v>
      </c>
      <c r="C69" s="697"/>
      <c r="D69" s="656"/>
      <c r="E69" s="622"/>
      <c r="F69" s="624">
        <f t="shared" si="2"/>
        <v>8</v>
      </c>
      <c r="G69" s="693"/>
      <c r="H69" s="693"/>
    </row>
    <row r="70" spans="1:8" x14ac:dyDescent="0.45">
      <c r="A70" s="624">
        <v>9</v>
      </c>
      <c r="B70" s="518" t="s">
        <v>429</v>
      </c>
      <c r="C70" s="691">
        <v>1120020.4208957693</v>
      </c>
      <c r="D70" s="656"/>
      <c r="E70" s="321" t="s">
        <v>595</v>
      </c>
      <c r="F70" s="624">
        <f t="shared" si="2"/>
        <v>9</v>
      </c>
      <c r="G70" s="693"/>
      <c r="H70" s="693"/>
    </row>
    <row r="71" spans="1:8" x14ac:dyDescent="0.45">
      <c r="A71" s="624">
        <v>10</v>
      </c>
      <c r="B71" s="518" t="s">
        <v>430</v>
      </c>
      <c r="C71" s="694">
        <v>12003.008136367105</v>
      </c>
      <c r="D71" s="656"/>
      <c r="E71" s="321" t="s">
        <v>596</v>
      </c>
      <c r="F71" s="624">
        <f t="shared" si="2"/>
        <v>10</v>
      </c>
      <c r="G71" s="693"/>
      <c r="H71" s="693"/>
    </row>
    <row r="72" spans="1:8" x14ac:dyDescent="0.45">
      <c r="A72" s="624">
        <v>11</v>
      </c>
      <c r="B72" s="518" t="s">
        <v>431</v>
      </c>
      <c r="C72" s="694">
        <v>15921.749168422246</v>
      </c>
      <c r="D72" s="656"/>
      <c r="E72" s="321" t="s">
        <v>597</v>
      </c>
      <c r="F72" s="624">
        <f t="shared" si="2"/>
        <v>11</v>
      </c>
      <c r="G72" s="693"/>
      <c r="H72" s="693"/>
    </row>
    <row r="73" spans="1:8" x14ac:dyDescent="0.45">
      <c r="A73" s="624">
        <v>12</v>
      </c>
      <c r="B73" s="518" t="s">
        <v>432</v>
      </c>
      <c r="C73" s="696">
        <v>44302.10929986761</v>
      </c>
      <c r="D73" s="656"/>
      <c r="E73" s="321" t="s">
        <v>598</v>
      </c>
      <c r="F73" s="624">
        <f t="shared" si="2"/>
        <v>12</v>
      </c>
      <c r="G73" s="693"/>
      <c r="H73" s="693"/>
    </row>
    <row r="74" spans="1:8" x14ac:dyDescent="0.45">
      <c r="A74" s="624">
        <v>13</v>
      </c>
      <c r="B74" s="698" t="s">
        <v>433</v>
      </c>
      <c r="C74" s="666">
        <f>SUM(C70:C73)</f>
        <v>1192247.2875004264</v>
      </c>
      <c r="D74" s="667"/>
      <c r="E74" s="321" t="s">
        <v>599</v>
      </c>
      <c r="F74" s="624">
        <f t="shared" si="2"/>
        <v>13</v>
      </c>
      <c r="G74" s="693"/>
      <c r="H74" s="693"/>
    </row>
    <row r="75" spans="1:8" x14ac:dyDescent="0.45">
      <c r="A75" s="624">
        <v>14</v>
      </c>
      <c r="B75" s="698"/>
      <c r="C75" s="677"/>
      <c r="D75" s="678"/>
      <c r="E75" s="622"/>
      <c r="F75" s="624">
        <f t="shared" si="2"/>
        <v>14</v>
      </c>
      <c r="G75" s="693"/>
      <c r="H75" s="693"/>
    </row>
    <row r="76" spans="1:8" x14ac:dyDescent="0.45">
      <c r="A76" s="624">
        <v>15</v>
      </c>
      <c r="B76" s="519" t="s">
        <v>396</v>
      </c>
      <c r="C76" s="677"/>
      <c r="D76" s="678"/>
      <c r="E76" s="622"/>
      <c r="F76" s="624">
        <f t="shared" si="2"/>
        <v>15</v>
      </c>
      <c r="G76" s="693"/>
      <c r="H76" s="693"/>
    </row>
    <row r="77" spans="1:8" x14ac:dyDescent="0.45">
      <c r="A77" s="624">
        <v>16</v>
      </c>
      <c r="B77" s="295" t="s">
        <v>397</v>
      </c>
      <c r="C77" s="699">
        <f>C63-C70</f>
        <v>4558369.6291265385</v>
      </c>
      <c r="D77" s="700"/>
      <c r="E77" s="321" t="s">
        <v>600</v>
      </c>
      <c r="F77" s="624">
        <f t="shared" si="2"/>
        <v>16</v>
      </c>
      <c r="G77" s="693"/>
      <c r="H77" s="693"/>
    </row>
    <row r="78" spans="1:8" x14ac:dyDescent="0.45">
      <c r="A78" s="624">
        <v>17</v>
      </c>
      <c r="B78" s="295" t="s">
        <v>20</v>
      </c>
      <c r="C78" s="701">
        <f>C64-C71</f>
        <v>5863.0679868925545</v>
      </c>
      <c r="D78" s="702"/>
      <c r="E78" s="321" t="s">
        <v>601</v>
      </c>
      <c r="F78" s="624">
        <f t="shared" si="2"/>
        <v>17</v>
      </c>
      <c r="G78" s="693"/>
      <c r="H78" s="693"/>
    </row>
    <row r="79" spans="1:8" x14ac:dyDescent="0.45">
      <c r="A79" s="624">
        <v>18</v>
      </c>
      <c r="B79" s="295" t="s">
        <v>21</v>
      </c>
      <c r="C79" s="701">
        <f>C65-C72</f>
        <v>25019.600360902012</v>
      </c>
      <c r="D79" s="702"/>
      <c r="E79" s="321" t="s">
        <v>602</v>
      </c>
      <c r="F79" s="624">
        <f t="shared" si="2"/>
        <v>18</v>
      </c>
    </row>
    <row r="80" spans="1:8" x14ac:dyDescent="0.45">
      <c r="A80" s="624">
        <v>19</v>
      </c>
      <c r="B80" s="295" t="s">
        <v>398</v>
      </c>
      <c r="C80" s="703">
        <f>C66-C73</f>
        <v>47895.496741946881</v>
      </c>
      <c r="D80" s="704"/>
      <c r="E80" s="321" t="s">
        <v>603</v>
      </c>
      <c r="F80" s="624">
        <f t="shared" si="2"/>
        <v>19</v>
      </c>
    </row>
    <row r="81" spans="1:6" ht="15.75" thickBot="1" x14ac:dyDescent="0.5">
      <c r="A81" s="624">
        <v>20</v>
      </c>
      <c r="B81" s="518" t="s">
        <v>399</v>
      </c>
      <c r="C81" s="705">
        <f>SUM(C77:C80)</f>
        <v>4637147.7942162799</v>
      </c>
      <c r="D81" s="667"/>
      <c r="E81" s="321" t="s">
        <v>604</v>
      </c>
      <c r="F81" s="624">
        <f t="shared" si="2"/>
        <v>20</v>
      </c>
    </row>
    <row r="82" spans="1:6" ht="15.75" thickTop="1" x14ac:dyDescent="0.45">
      <c r="A82" s="624">
        <v>21</v>
      </c>
      <c r="B82" s="297"/>
      <c r="C82" s="667"/>
      <c r="D82" s="667"/>
      <c r="E82" s="622"/>
      <c r="F82" s="624">
        <f t="shared" si="2"/>
        <v>21</v>
      </c>
    </row>
    <row r="83" spans="1:6" x14ac:dyDescent="0.45">
      <c r="A83" s="624">
        <v>22</v>
      </c>
      <c r="B83" s="519" t="s">
        <v>434</v>
      </c>
      <c r="C83" s="667"/>
      <c r="D83" s="667"/>
      <c r="E83" s="622"/>
      <c r="F83" s="624">
        <f t="shared" si="2"/>
        <v>22</v>
      </c>
    </row>
    <row r="84" spans="1:6" x14ac:dyDescent="0.45">
      <c r="A84" s="624">
        <v>23</v>
      </c>
      <c r="B84" s="295" t="s">
        <v>435</v>
      </c>
      <c r="C84" s="686">
        <v>0</v>
      </c>
      <c r="D84" s="667"/>
      <c r="E84" s="321" t="s">
        <v>19</v>
      </c>
      <c r="F84" s="624">
        <f t="shared" si="2"/>
        <v>23</v>
      </c>
    </row>
    <row r="85" spans="1:6" x14ac:dyDescent="0.45">
      <c r="A85" s="624">
        <v>24</v>
      </c>
      <c r="B85" s="518" t="s">
        <v>436</v>
      </c>
      <c r="C85" s="689">
        <v>0</v>
      </c>
      <c r="D85" s="667"/>
      <c r="E85" s="321" t="s">
        <v>19</v>
      </c>
      <c r="F85" s="624">
        <f t="shared" si="2"/>
        <v>24</v>
      </c>
    </row>
    <row r="86" spans="1:6" ht="15.75" thickBot="1" x14ac:dyDescent="0.5">
      <c r="A86" s="624">
        <v>25</v>
      </c>
      <c r="B86" s="295" t="s">
        <v>437</v>
      </c>
      <c r="C86" s="706">
        <f>C84-C85</f>
        <v>0</v>
      </c>
      <c r="D86" s="667"/>
      <c r="E86" s="321" t="s">
        <v>605</v>
      </c>
      <c r="F86" s="624">
        <f t="shared" si="2"/>
        <v>25</v>
      </c>
    </row>
    <row r="87" spans="1:6" ht="15.75" thickTop="1" x14ac:dyDescent="0.45">
      <c r="A87" s="624"/>
    </row>
  </sheetData>
  <mergeCells count="8">
    <mergeCell ref="B55:E55"/>
    <mergeCell ref="B56:E56"/>
    <mergeCell ref="B2:E2"/>
    <mergeCell ref="B3:E3"/>
    <mergeCell ref="B4:E4"/>
    <mergeCell ref="B5:E5"/>
    <mergeCell ref="B53:E53"/>
    <mergeCell ref="B54:E54"/>
  </mergeCells>
  <printOptions horizontalCentered="1"/>
  <pageMargins left="0.25" right="0.25" top="0.5" bottom="0.5" header="0.35" footer="0.25"/>
  <pageSetup scale="67" orientation="portrait" r:id="rId1"/>
  <headerFooter scaleWithDoc="0" alignWithMargins="0">
    <oddHeader>&amp;C&amp;"Times New Roman,Bold"REVISED</oddHeader>
    <oddFooter>&amp;CPg 9.&amp;P&amp;R&amp;F</oddFooter>
  </headerFooter>
  <rowBreaks count="1" manualBreakCount="1">
    <brk id="5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10F14-BC51-4FF8-B83F-F1280320731E}">
  <sheetPr>
    <pageSetUpPr fitToPage="1"/>
  </sheetPr>
  <dimension ref="A2:L72"/>
  <sheetViews>
    <sheetView zoomScale="80" zoomScaleNormal="80" workbookViewId="0"/>
  </sheetViews>
  <sheetFormatPr defaultColWidth="9.1328125" defaultRowHeight="15.4" x14ac:dyDescent="0.45"/>
  <cols>
    <col min="1" max="1" width="5.1328125" style="707" customWidth="1"/>
    <col min="2" max="2" width="12.59765625" style="717" customWidth="1"/>
    <col min="3" max="3" width="20" style="717" customWidth="1"/>
    <col min="4" max="4" width="23.265625" style="717" bestFit="1" customWidth="1"/>
    <col min="5" max="8" width="21.59765625" style="717" customWidth="1"/>
    <col min="9" max="9" width="5.1328125" style="707" customWidth="1"/>
    <col min="10" max="10" width="13.59765625" style="717" customWidth="1"/>
    <col min="11" max="11" width="12.59765625" style="717" customWidth="1"/>
    <col min="12" max="16384" width="9.1328125" style="717"/>
  </cols>
  <sheetData>
    <row r="2" spans="1:9" x14ac:dyDescent="0.45">
      <c r="B2" s="783" t="s">
        <v>24</v>
      </c>
      <c r="C2" s="783"/>
      <c r="D2" s="783"/>
      <c r="E2" s="783"/>
      <c r="F2" s="783"/>
      <c r="G2" s="783"/>
      <c r="H2" s="783"/>
    </row>
    <row r="3" spans="1:9" x14ac:dyDescent="0.45">
      <c r="B3" s="783" t="s">
        <v>264</v>
      </c>
      <c r="C3" s="783"/>
      <c r="D3" s="783"/>
      <c r="E3" s="783"/>
      <c r="F3" s="783"/>
      <c r="G3" s="783"/>
      <c r="H3" s="783"/>
      <c r="I3" s="718"/>
    </row>
    <row r="4" spans="1:9" x14ac:dyDescent="0.45">
      <c r="B4" s="784" t="s">
        <v>451</v>
      </c>
      <c r="C4" s="784"/>
      <c r="D4" s="784"/>
      <c r="E4" s="784"/>
      <c r="F4" s="784"/>
      <c r="G4" s="784"/>
      <c r="H4" s="784"/>
      <c r="I4" s="718"/>
    </row>
    <row r="5" spans="1:9" x14ac:dyDescent="0.45">
      <c r="B5" s="784" t="s">
        <v>490</v>
      </c>
      <c r="C5" s="784"/>
      <c r="D5" s="784"/>
      <c r="E5" s="784"/>
      <c r="F5" s="784"/>
      <c r="G5" s="784"/>
      <c r="H5" s="784"/>
      <c r="I5" s="718"/>
    </row>
    <row r="6" spans="1:9" x14ac:dyDescent="0.45">
      <c r="B6" s="785" t="s">
        <v>1</v>
      </c>
      <c r="C6" s="785"/>
      <c r="D6" s="785"/>
      <c r="E6" s="785"/>
      <c r="F6" s="785"/>
      <c r="G6" s="785"/>
      <c r="H6" s="785"/>
      <c r="I6" s="718"/>
    </row>
    <row r="7" spans="1:9" x14ac:dyDescent="0.45">
      <c r="A7" s="718"/>
      <c r="B7" s="718"/>
      <c r="C7" s="718"/>
      <c r="D7" s="718"/>
      <c r="E7" s="718"/>
      <c r="F7" s="718"/>
      <c r="G7" s="718"/>
      <c r="H7" s="718"/>
      <c r="I7" s="718"/>
    </row>
    <row r="8" spans="1:9" x14ac:dyDescent="0.45">
      <c r="A8" s="43" t="s">
        <v>2</v>
      </c>
      <c r="B8" s="61"/>
      <c r="I8" s="43" t="s">
        <v>2</v>
      </c>
    </row>
    <row r="9" spans="1:9" x14ac:dyDescent="0.45">
      <c r="A9" s="515" t="s">
        <v>6</v>
      </c>
      <c r="B9" s="61"/>
      <c r="I9" s="515" t="s">
        <v>6</v>
      </c>
    </row>
    <row r="10" spans="1:9" x14ac:dyDescent="0.45">
      <c r="A10" s="43">
        <v>1</v>
      </c>
      <c r="C10" s="719" t="s">
        <v>453</v>
      </c>
      <c r="D10" s="719" t="s">
        <v>454</v>
      </c>
      <c r="E10" s="719" t="s">
        <v>455</v>
      </c>
      <c r="F10" s="719" t="s">
        <v>456</v>
      </c>
      <c r="G10" s="719" t="s">
        <v>457</v>
      </c>
      <c r="H10" s="719" t="s">
        <v>458</v>
      </c>
      <c r="I10" s="43">
        <v>1</v>
      </c>
    </row>
    <row r="11" spans="1:9" x14ac:dyDescent="0.45">
      <c r="A11" s="43">
        <f t="shared" ref="A11:A66" si="0">A10+1</f>
        <v>2</v>
      </c>
      <c r="B11" s="720" t="s">
        <v>459</v>
      </c>
      <c r="C11" s="43"/>
      <c r="D11" s="77" t="s">
        <v>460</v>
      </c>
      <c r="E11" s="43"/>
      <c r="F11" s="43" t="s">
        <v>461</v>
      </c>
      <c r="G11" s="43" t="s">
        <v>462</v>
      </c>
      <c r="H11" s="77" t="s">
        <v>463</v>
      </c>
      <c r="I11" s="43">
        <f t="shared" ref="I11:I66" si="1">I10+1</f>
        <v>2</v>
      </c>
    </row>
    <row r="12" spans="1:9" x14ac:dyDescent="0.45">
      <c r="A12" s="43">
        <f t="shared" si="0"/>
        <v>3</v>
      </c>
      <c r="B12" s="720"/>
      <c r="C12" s="43"/>
      <c r="D12" s="77"/>
      <c r="E12" s="43"/>
      <c r="F12" s="43"/>
      <c r="G12" s="43"/>
      <c r="H12" s="77"/>
      <c r="I12" s="43">
        <f t="shared" si="1"/>
        <v>3</v>
      </c>
    </row>
    <row r="13" spans="1:9" x14ac:dyDescent="0.45">
      <c r="A13" s="43">
        <f t="shared" si="0"/>
        <v>4</v>
      </c>
      <c r="C13" s="719"/>
      <c r="F13" s="714" t="s">
        <v>464</v>
      </c>
      <c r="H13" s="714" t="s">
        <v>464</v>
      </c>
      <c r="I13" s="43">
        <f t="shared" si="1"/>
        <v>4</v>
      </c>
    </row>
    <row r="14" spans="1:9" x14ac:dyDescent="0.45">
      <c r="A14" s="43">
        <f t="shared" si="0"/>
        <v>5</v>
      </c>
      <c r="C14" s="719"/>
      <c r="D14" s="714" t="s">
        <v>465</v>
      </c>
      <c r="E14" s="714"/>
      <c r="F14" s="714" t="s">
        <v>466</v>
      </c>
      <c r="H14" s="714" t="s">
        <v>466</v>
      </c>
      <c r="I14" s="43">
        <f t="shared" si="1"/>
        <v>5</v>
      </c>
    </row>
    <row r="15" spans="1:9" x14ac:dyDescent="0.45">
      <c r="A15" s="43">
        <f t="shared" si="0"/>
        <v>6</v>
      </c>
      <c r="C15" s="714"/>
      <c r="D15" s="714" t="s">
        <v>466</v>
      </c>
      <c r="E15" s="714" t="s">
        <v>465</v>
      </c>
      <c r="F15" s="714" t="s">
        <v>467</v>
      </c>
      <c r="H15" s="714" t="s">
        <v>467</v>
      </c>
      <c r="I15" s="43">
        <f t="shared" si="1"/>
        <v>6</v>
      </c>
    </row>
    <row r="16" spans="1:9" x14ac:dyDescent="0.45">
      <c r="A16" s="43">
        <f t="shared" si="0"/>
        <v>7</v>
      </c>
      <c r="C16" s="714"/>
      <c r="D16" s="714" t="s">
        <v>467</v>
      </c>
      <c r="E16" s="714" t="s">
        <v>319</v>
      </c>
      <c r="F16" s="714" t="s">
        <v>468</v>
      </c>
      <c r="G16" s="714"/>
      <c r="H16" s="714" t="s">
        <v>468</v>
      </c>
      <c r="I16" s="43">
        <f t="shared" si="1"/>
        <v>7</v>
      </c>
    </row>
    <row r="17" spans="1:12" ht="17.25" x14ac:dyDescent="0.45">
      <c r="A17" s="43">
        <f t="shared" si="0"/>
        <v>8</v>
      </c>
      <c r="B17" s="721" t="s">
        <v>469</v>
      </c>
      <c r="C17" s="721" t="s">
        <v>470</v>
      </c>
      <c r="D17" s="531" t="s">
        <v>468</v>
      </c>
      <c r="E17" s="531" t="s">
        <v>471</v>
      </c>
      <c r="F17" s="531" t="s">
        <v>472</v>
      </c>
      <c r="G17" s="722" t="s">
        <v>319</v>
      </c>
      <c r="H17" s="531" t="s">
        <v>473</v>
      </c>
      <c r="I17" s="43">
        <f t="shared" si="1"/>
        <v>8</v>
      </c>
    </row>
    <row r="18" spans="1:12" x14ac:dyDescent="0.45">
      <c r="A18" s="43">
        <f t="shared" si="0"/>
        <v>9</v>
      </c>
      <c r="B18" s="208" t="s">
        <v>474</v>
      </c>
      <c r="C18" s="723">
        <v>2018</v>
      </c>
      <c r="D18" s="751">
        <f>'Pg2 Appendix XII C2 Comparison'!G28/12</f>
        <v>-0.22863736034276863</v>
      </c>
      <c r="E18" s="725">
        <v>3.5999999999999999E-3</v>
      </c>
      <c r="F18" s="726">
        <f>D18</f>
        <v>-0.22863736034276863</v>
      </c>
      <c r="G18" s="727">
        <f>(D18/2)*E18</f>
        <v>-4.1154724861698351E-4</v>
      </c>
      <c r="H18" s="727">
        <f t="shared" ref="H18:H65" si="2">F18+G18</f>
        <v>-0.2290489075913856</v>
      </c>
      <c r="I18" s="43">
        <f t="shared" si="1"/>
        <v>9</v>
      </c>
      <c r="J18" s="728"/>
    </row>
    <row r="19" spans="1:12" x14ac:dyDescent="0.45">
      <c r="A19" s="43">
        <f t="shared" si="0"/>
        <v>10</v>
      </c>
      <c r="B19" s="208" t="s">
        <v>475</v>
      </c>
      <c r="C19" s="723">
        <f>C18</f>
        <v>2018</v>
      </c>
      <c r="D19" s="752">
        <f>D18</f>
        <v>-0.22863736034276863</v>
      </c>
      <c r="E19" s="725">
        <v>3.3E-3</v>
      </c>
      <c r="F19" s="729">
        <f>H18+D19</f>
        <v>-0.45768626793415423</v>
      </c>
      <c r="G19" s="730">
        <f t="shared" ref="G19:G65" si="3">(H18+F19)/2*E19</f>
        <v>-1.1331130396171408E-3</v>
      </c>
      <c r="H19" s="730">
        <f t="shared" si="2"/>
        <v>-0.4588193809737714</v>
      </c>
      <c r="I19" s="43">
        <f t="shared" si="1"/>
        <v>10</v>
      </c>
      <c r="J19" s="731"/>
    </row>
    <row r="20" spans="1:12" x14ac:dyDescent="0.45">
      <c r="A20" s="43">
        <f t="shared" si="0"/>
        <v>11</v>
      </c>
      <c r="B20" s="208" t="s">
        <v>476</v>
      </c>
      <c r="C20" s="723">
        <f>C18</f>
        <v>2018</v>
      </c>
      <c r="D20" s="752">
        <f>D19</f>
        <v>-0.22863736034276863</v>
      </c>
      <c r="E20" s="725">
        <v>3.5999999999999999E-3</v>
      </c>
      <c r="F20" s="729">
        <f>H19+D20</f>
        <v>-0.68745674131654</v>
      </c>
      <c r="G20" s="730">
        <f>(H19+F20)/2*E20</f>
        <v>-2.0632970201225607E-3</v>
      </c>
      <c r="H20" s="730">
        <f t="shared" si="2"/>
        <v>-0.68952003833666253</v>
      </c>
      <c r="I20" s="43">
        <f t="shared" si="1"/>
        <v>11</v>
      </c>
      <c r="J20" s="731"/>
    </row>
    <row r="21" spans="1:12" x14ac:dyDescent="0.45">
      <c r="A21" s="43">
        <f t="shared" si="0"/>
        <v>12</v>
      </c>
      <c r="B21" s="208" t="s">
        <v>477</v>
      </c>
      <c r="C21" s="723">
        <f>C18</f>
        <v>2018</v>
      </c>
      <c r="D21" s="752">
        <f t="shared" ref="D21:D29" si="4">D20</f>
        <v>-0.22863736034276863</v>
      </c>
      <c r="E21" s="725">
        <v>3.7000000000000002E-3</v>
      </c>
      <c r="F21" s="729">
        <f>H20+D21</f>
        <v>-0.91815739867943114</v>
      </c>
      <c r="G21" s="730">
        <f>(H20+F21)/2*E21</f>
        <v>-2.9742032584797735E-3</v>
      </c>
      <c r="H21" s="730">
        <f t="shared" si="2"/>
        <v>-0.92113160193791088</v>
      </c>
      <c r="I21" s="43">
        <f t="shared" si="1"/>
        <v>12</v>
      </c>
      <c r="J21" s="731"/>
      <c r="L21" s="732"/>
    </row>
    <row r="22" spans="1:12" x14ac:dyDescent="0.45">
      <c r="A22" s="43">
        <f t="shared" si="0"/>
        <v>13</v>
      </c>
      <c r="B22" s="208" t="s">
        <v>478</v>
      </c>
      <c r="C22" s="723">
        <f>C18</f>
        <v>2018</v>
      </c>
      <c r="D22" s="752">
        <f t="shared" si="4"/>
        <v>-0.22863736034276863</v>
      </c>
      <c r="E22" s="725">
        <v>3.8E-3</v>
      </c>
      <c r="F22" s="729">
        <f t="shared" ref="F22:F65" si="5">H21+D22</f>
        <v>-1.1497689622806795</v>
      </c>
      <c r="G22" s="730">
        <f t="shared" si="3"/>
        <v>-3.9347110720153221E-3</v>
      </c>
      <c r="H22" s="730">
        <f t="shared" si="2"/>
        <v>-1.1537036733526949</v>
      </c>
      <c r="I22" s="43">
        <f t="shared" si="1"/>
        <v>13</v>
      </c>
      <c r="J22" s="731"/>
    </row>
    <row r="23" spans="1:12" x14ac:dyDescent="0.45">
      <c r="A23" s="43">
        <f t="shared" si="0"/>
        <v>14</v>
      </c>
      <c r="B23" s="208" t="s">
        <v>479</v>
      </c>
      <c r="C23" s="723">
        <f>C18</f>
        <v>2018</v>
      </c>
      <c r="D23" s="752">
        <f t="shared" si="4"/>
        <v>-0.22863736034276863</v>
      </c>
      <c r="E23" s="725">
        <v>3.7000000000000002E-3</v>
      </c>
      <c r="F23" s="729">
        <f t="shared" si="5"/>
        <v>-1.3823410336954636</v>
      </c>
      <c r="G23" s="730">
        <f>(H22+F23)/2*E23</f>
        <v>-4.6916827080390926E-3</v>
      </c>
      <c r="H23" s="730">
        <f t="shared" si="2"/>
        <v>-1.3870327164035026</v>
      </c>
      <c r="I23" s="43">
        <f t="shared" si="1"/>
        <v>14</v>
      </c>
      <c r="J23" s="731"/>
    </row>
    <row r="24" spans="1:12" x14ac:dyDescent="0.45">
      <c r="A24" s="43">
        <f t="shared" si="0"/>
        <v>15</v>
      </c>
      <c r="B24" s="208" t="s">
        <v>480</v>
      </c>
      <c r="C24" s="723">
        <f>C18</f>
        <v>2018</v>
      </c>
      <c r="D24" s="752">
        <f t="shared" si="4"/>
        <v>-0.22863736034276863</v>
      </c>
      <c r="E24" s="725">
        <v>4.0000000000000001E-3</v>
      </c>
      <c r="F24" s="729">
        <f t="shared" si="5"/>
        <v>-1.6156700767462713</v>
      </c>
      <c r="G24" s="730">
        <f t="shared" si="3"/>
        <v>-6.0054055862995472E-3</v>
      </c>
      <c r="H24" s="730">
        <f t="shared" si="2"/>
        <v>-1.6216754823325708</v>
      </c>
      <c r="I24" s="43">
        <f t="shared" si="1"/>
        <v>15</v>
      </c>
      <c r="J24" s="731"/>
    </row>
    <row r="25" spans="1:12" x14ac:dyDescent="0.45">
      <c r="A25" s="43">
        <f t="shared" si="0"/>
        <v>16</v>
      </c>
      <c r="B25" s="208" t="s">
        <v>481</v>
      </c>
      <c r="C25" s="723">
        <f>C18</f>
        <v>2018</v>
      </c>
      <c r="D25" s="752">
        <f t="shared" si="4"/>
        <v>-0.22863736034276863</v>
      </c>
      <c r="E25" s="725">
        <v>4.0000000000000001E-3</v>
      </c>
      <c r="F25" s="729">
        <f t="shared" si="5"/>
        <v>-1.8503128426753395</v>
      </c>
      <c r="G25" s="730">
        <f t="shared" si="3"/>
        <v>-6.94397665001582E-3</v>
      </c>
      <c r="H25" s="730">
        <f t="shared" si="2"/>
        <v>-1.8572568193253554</v>
      </c>
      <c r="I25" s="43">
        <f t="shared" si="1"/>
        <v>16</v>
      </c>
      <c r="J25" s="731"/>
    </row>
    <row r="26" spans="1:12" x14ac:dyDescent="0.45">
      <c r="A26" s="43">
        <f t="shared" si="0"/>
        <v>17</v>
      </c>
      <c r="B26" s="208" t="s">
        <v>482</v>
      </c>
      <c r="C26" s="723">
        <f>C18</f>
        <v>2018</v>
      </c>
      <c r="D26" s="752">
        <f t="shared" si="4"/>
        <v>-0.22863736034276863</v>
      </c>
      <c r="E26" s="725">
        <v>3.8999999999999998E-3</v>
      </c>
      <c r="F26" s="729">
        <f t="shared" si="5"/>
        <v>-2.0858941796681241</v>
      </c>
      <c r="G26" s="730">
        <f t="shared" si="3"/>
        <v>-7.6891444480372837E-3</v>
      </c>
      <c r="H26" s="730">
        <f t="shared" si="2"/>
        <v>-2.0935833241161612</v>
      </c>
      <c r="I26" s="43">
        <f t="shared" si="1"/>
        <v>17</v>
      </c>
      <c r="J26" s="731"/>
    </row>
    <row r="27" spans="1:12" x14ac:dyDescent="0.45">
      <c r="A27" s="43">
        <f t="shared" si="0"/>
        <v>18</v>
      </c>
      <c r="B27" s="208" t="s">
        <v>483</v>
      </c>
      <c r="C27" s="723">
        <f>C18</f>
        <v>2018</v>
      </c>
      <c r="D27" s="752">
        <f t="shared" si="4"/>
        <v>-0.22863736034276863</v>
      </c>
      <c r="E27" s="725">
        <v>4.1999999999999997E-3</v>
      </c>
      <c r="F27" s="729">
        <f t="shared" si="5"/>
        <v>-2.3222206844589297</v>
      </c>
      <c r="G27" s="730">
        <f t="shared" si="3"/>
        <v>-9.2731884180076891E-3</v>
      </c>
      <c r="H27" s="730">
        <f t="shared" si="2"/>
        <v>-2.3314938728769374</v>
      </c>
      <c r="I27" s="43">
        <f t="shared" si="1"/>
        <v>18</v>
      </c>
      <c r="J27" s="731"/>
    </row>
    <row r="28" spans="1:12" x14ac:dyDescent="0.45">
      <c r="A28" s="43">
        <f t="shared" si="0"/>
        <v>19</v>
      </c>
      <c r="B28" s="208" t="s">
        <v>484</v>
      </c>
      <c r="C28" s="723">
        <f>C18</f>
        <v>2018</v>
      </c>
      <c r="D28" s="752">
        <f t="shared" si="4"/>
        <v>-0.22863736034276863</v>
      </c>
      <c r="E28" s="725">
        <v>4.1000000000000003E-3</v>
      </c>
      <c r="F28" s="729">
        <f t="shared" si="5"/>
        <v>-2.5601312332197059</v>
      </c>
      <c r="G28" s="733">
        <f t="shared" si="3"/>
        <v>-1.0027831467498121E-2</v>
      </c>
      <c r="H28" s="733">
        <f t="shared" si="2"/>
        <v>-2.5701590646872039</v>
      </c>
      <c r="I28" s="43">
        <f t="shared" si="1"/>
        <v>19</v>
      </c>
      <c r="J28" s="731"/>
    </row>
    <row r="29" spans="1:12" x14ac:dyDescent="0.45">
      <c r="A29" s="43">
        <f t="shared" si="0"/>
        <v>20</v>
      </c>
      <c r="B29" s="734" t="s">
        <v>485</v>
      </c>
      <c r="C29" s="735">
        <f>C18</f>
        <v>2018</v>
      </c>
      <c r="D29" s="753">
        <f t="shared" si="4"/>
        <v>-0.22863736034276863</v>
      </c>
      <c r="E29" s="737">
        <v>4.1999999999999997E-3</v>
      </c>
      <c r="F29" s="738">
        <f t="shared" si="5"/>
        <v>-2.7987964250299724</v>
      </c>
      <c r="G29" s="739">
        <f t="shared" si="3"/>
        <v>-1.1274806528406071E-2</v>
      </c>
      <c r="H29" s="739">
        <f t="shared" si="2"/>
        <v>-2.8100712315583785</v>
      </c>
      <c r="I29" s="43">
        <f t="shared" si="1"/>
        <v>20</v>
      </c>
      <c r="J29" s="731"/>
    </row>
    <row r="30" spans="1:12" x14ac:dyDescent="0.45">
      <c r="A30" s="43">
        <f t="shared" si="0"/>
        <v>21</v>
      </c>
      <c r="B30" s="208" t="s">
        <v>474</v>
      </c>
      <c r="C30" s="723">
        <f>C29+1</f>
        <v>2019</v>
      </c>
      <c r="D30" s="724"/>
      <c r="E30" s="725">
        <v>4.4000000000000003E-3</v>
      </c>
      <c r="F30" s="740">
        <f t="shared" si="5"/>
        <v>-2.8100712315583785</v>
      </c>
      <c r="G30" s="296">
        <f t="shared" si="3"/>
        <v>-1.2364313418856866E-2</v>
      </c>
      <c r="H30" s="296">
        <f t="shared" si="2"/>
        <v>-2.8224355449772354</v>
      </c>
      <c r="I30" s="43">
        <f t="shared" si="1"/>
        <v>21</v>
      </c>
      <c r="J30" s="731"/>
    </row>
    <row r="31" spans="1:12" x14ac:dyDescent="0.45">
      <c r="A31" s="43">
        <f t="shared" si="0"/>
        <v>22</v>
      </c>
      <c r="B31" s="208" t="s">
        <v>475</v>
      </c>
      <c r="C31" s="723">
        <f>C30</f>
        <v>2019</v>
      </c>
      <c r="D31" s="724"/>
      <c r="E31" s="725">
        <v>4.0000000000000001E-3</v>
      </c>
      <c r="F31" s="740">
        <f t="shared" si="5"/>
        <v>-2.8224355449772354</v>
      </c>
      <c r="G31" s="296">
        <f t="shared" si="3"/>
        <v>-1.1289742179908942E-2</v>
      </c>
      <c r="H31" s="296">
        <f t="shared" si="2"/>
        <v>-2.8337252871571441</v>
      </c>
      <c r="I31" s="43">
        <f t="shared" si="1"/>
        <v>22</v>
      </c>
      <c r="J31" s="731"/>
    </row>
    <row r="32" spans="1:12" x14ac:dyDescent="0.45">
      <c r="A32" s="43">
        <f t="shared" si="0"/>
        <v>23</v>
      </c>
      <c r="B32" s="208" t="s">
        <v>476</v>
      </c>
      <c r="C32" s="723">
        <f t="shared" ref="C32:C40" si="6">C31</f>
        <v>2019</v>
      </c>
      <c r="D32" s="724"/>
      <c r="E32" s="725">
        <v>4.4000000000000003E-3</v>
      </c>
      <c r="F32" s="740">
        <f t="shared" si="5"/>
        <v>-2.8337252871571441</v>
      </c>
      <c r="G32" s="296">
        <f t="shared" si="3"/>
        <v>-1.2468391263491434E-2</v>
      </c>
      <c r="H32" s="296">
        <f t="shared" si="2"/>
        <v>-2.8461936784206356</v>
      </c>
      <c r="I32" s="43">
        <f t="shared" si="1"/>
        <v>23</v>
      </c>
      <c r="J32" s="731"/>
    </row>
    <row r="33" spans="1:10" x14ac:dyDescent="0.45">
      <c r="A33" s="43">
        <f t="shared" si="0"/>
        <v>24</v>
      </c>
      <c r="B33" s="208" t="s">
        <v>477</v>
      </c>
      <c r="C33" s="723">
        <f t="shared" si="6"/>
        <v>2019</v>
      </c>
      <c r="D33" s="724"/>
      <c r="E33" s="725">
        <v>4.4999999999999997E-3</v>
      </c>
      <c r="F33" s="740">
        <f t="shared" si="5"/>
        <v>-2.8461936784206356</v>
      </c>
      <c r="G33" s="296">
        <f t="shared" si="3"/>
        <v>-1.280787155289286E-2</v>
      </c>
      <c r="H33" s="296">
        <f t="shared" si="2"/>
        <v>-2.8590015499735286</v>
      </c>
      <c r="I33" s="43">
        <f t="shared" si="1"/>
        <v>24</v>
      </c>
      <c r="J33" s="731"/>
    </row>
    <row r="34" spans="1:10" x14ac:dyDescent="0.45">
      <c r="A34" s="43">
        <f t="shared" si="0"/>
        <v>25</v>
      </c>
      <c r="B34" s="208" t="s">
        <v>478</v>
      </c>
      <c r="C34" s="723">
        <f t="shared" si="6"/>
        <v>2019</v>
      </c>
      <c r="D34" s="724"/>
      <c r="E34" s="725">
        <v>4.5999999999999999E-3</v>
      </c>
      <c r="F34" s="740">
        <f t="shared" si="5"/>
        <v>-2.8590015499735286</v>
      </c>
      <c r="G34" s="296">
        <f t="shared" si="3"/>
        <v>-1.3151407129878232E-2</v>
      </c>
      <c r="H34" s="296">
        <f t="shared" si="2"/>
        <v>-2.872152957103407</v>
      </c>
      <c r="I34" s="43">
        <f t="shared" si="1"/>
        <v>25</v>
      </c>
      <c r="J34" s="731"/>
    </row>
    <row r="35" spans="1:10" x14ac:dyDescent="0.45">
      <c r="A35" s="43">
        <f t="shared" si="0"/>
        <v>26</v>
      </c>
      <c r="B35" s="208" t="s">
        <v>479</v>
      </c>
      <c r="C35" s="723">
        <f t="shared" si="6"/>
        <v>2019</v>
      </c>
      <c r="D35" s="724"/>
      <c r="E35" s="725">
        <v>4.4999999999999997E-3</v>
      </c>
      <c r="F35" s="740">
        <f t="shared" si="5"/>
        <v>-2.872152957103407</v>
      </c>
      <c r="G35" s="296">
        <f t="shared" si="3"/>
        <v>-1.292468830696533E-2</v>
      </c>
      <c r="H35" s="296">
        <f t="shared" si="2"/>
        <v>-2.8850776454103721</v>
      </c>
      <c r="I35" s="43">
        <f t="shared" si="1"/>
        <v>26</v>
      </c>
      <c r="J35" s="731"/>
    </row>
    <row r="36" spans="1:10" x14ac:dyDescent="0.45">
      <c r="A36" s="43">
        <f t="shared" si="0"/>
        <v>27</v>
      </c>
      <c r="B36" s="208" t="s">
        <v>480</v>
      </c>
      <c r="C36" s="723">
        <f t="shared" si="6"/>
        <v>2019</v>
      </c>
      <c r="D36" s="724"/>
      <c r="E36" s="725">
        <v>4.7000000000000002E-3</v>
      </c>
      <c r="F36" s="740">
        <f t="shared" si="5"/>
        <v>-2.8850776454103721</v>
      </c>
      <c r="G36" s="296">
        <f t="shared" si="3"/>
        <v>-1.3559864933428749E-2</v>
      </c>
      <c r="H36" s="296">
        <f t="shared" si="2"/>
        <v>-2.8986375103438009</v>
      </c>
      <c r="I36" s="43">
        <f t="shared" si="1"/>
        <v>27</v>
      </c>
      <c r="J36" s="731"/>
    </row>
    <row r="37" spans="1:10" x14ac:dyDescent="0.45">
      <c r="A37" s="43">
        <f t="shared" si="0"/>
        <v>28</v>
      </c>
      <c r="B37" s="208" t="s">
        <v>481</v>
      </c>
      <c r="C37" s="723">
        <f t="shared" si="6"/>
        <v>2019</v>
      </c>
      <c r="D37" s="724"/>
      <c r="E37" s="725">
        <v>4.7000000000000002E-3</v>
      </c>
      <c r="F37" s="740">
        <f t="shared" si="5"/>
        <v>-2.8986375103438009</v>
      </c>
      <c r="G37" s="296">
        <f t="shared" si="3"/>
        <v>-1.3623596298615865E-2</v>
      </c>
      <c r="H37" s="296">
        <f t="shared" si="2"/>
        <v>-2.9122611066424167</v>
      </c>
      <c r="I37" s="43">
        <f t="shared" si="1"/>
        <v>28</v>
      </c>
      <c r="J37" s="731"/>
    </row>
    <row r="38" spans="1:10" x14ac:dyDescent="0.45">
      <c r="A38" s="43">
        <f t="shared" si="0"/>
        <v>29</v>
      </c>
      <c r="B38" s="208" t="s">
        <v>482</v>
      </c>
      <c r="C38" s="723">
        <f t="shared" si="6"/>
        <v>2019</v>
      </c>
      <c r="D38" s="724"/>
      <c r="E38" s="725">
        <v>4.4999999999999997E-3</v>
      </c>
      <c r="F38" s="740">
        <f t="shared" si="5"/>
        <v>-2.9122611066424167</v>
      </c>
      <c r="G38" s="296">
        <f t="shared" si="3"/>
        <v>-1.3105174979890874E-2</v>
      </c>
      <c r="H38" s="296">
        <f t="shared" si="2"/>
        <v>-2.9253662816223076</v>
      </c>
      <c r="I38" s="43">
        <f t="shared" si="1"/>
        <v>29</v>
      </c>
      <c r="J38" s="731"/>
    </row>
    <row r="39" spans="1:10" x14ac:dyDescent="0.45">
      <c r="A39" s="43">
        <f t="shared" si="0"/>
        <v>30</v>
      </c>
      <c r="B39" s="208" t="s">
        <v>483</v>
      </c>
      <c r="C39" s="723">
        <f t="shared" si="6"/>
        <v>2019</v>
      </c>
      <c r="D39" s="724"/>
      <c r="E39" s="725">
        <v>4.5999999999999999E-3</v>
      </c>
      <c r="F39" s="740">
        <f t="shared" si="5"/>
        <v>-2.9253662816223076</v>
      </c>
      <c r="G39" s="296">
        <f t="shared" si="3"/>
        <v>-1.3456684895462616E-2</v>
      </c>
      <c r="H39" s="296">
        <f t="shared" si="2"/>
        <v>-2.9388229665177703</v>
      </c>
      <c r="I39" s="43">
        <f t="shared" si="1"/>
        <v>30</v>
      </c>
      <c r="J39" s="731"/>
    </row>
    <row r="40" spans="1:10" x14ac:dyDescent="0.45">
      <c r="A40" s="43">
        <f t="shared" si="0"/>
        <v>31</v>
      </c>
      <c r="B40" s="208" t="s">
        <v>484</v>
      </c>
      <c r="C40" s="723">
        <f t="shared" si="6"/>
        <v>2019</v>
      </c>
      <c r="D40" s="724"/>
      <c r="E40" s="725">
        <v>4.4999999999999997E-3</v>
      </c>
      <c r="F40" s="740">
        <f t="shared" si="5"/>
        <v>-2.9388229665177703</v>
      </c>
      <c r="G40" s="296">
        <f t="shared" si="3"/>
        <v>-1.3224703349329965E-2</v>
      </c>
      <c r="H40" s="296">
        <f t="shared" si="2"/>
        <v>-2.9520476698671003</v>
      </c>
      <c r="I40" s="43">
        <f t="shared" si="1"/>
        <v>31</v>
      </c>
      <c r="J40" s="731"/>
    </row>
    <row r="41" spans="1:10" x14ac:dyDescent="0.45">
      <c r="A41" s="43">
        <f t="shared" si="0"/>
        <v>32</v>
      </c>
      <c r="B41" s="734" t="s">
        <v>485</v>
      </c>
      <c r="C41" s="735">
        <f>C40</f>
        <v>2019</v>
      </c>
      <c r="D41" s="736"/>
      <c r="E41" s="737">
        <v>4.5999999999999999E-3</v>
      </c>
      <c r="F41" s="738">
        <f t="shared" si="5"/>
        <v>-2.9520476698671003</v>
      </c>
      <c r="G41" s="739">
        <f t="shared" si="3"/>
        <v>-1.3579419281388661E-2</v>
      </c>
      <c r="H41" s="739">
        <f t="shared" si="2"/>
        <v>-2.965627089148489</v>
      </c>
      <c r="I41" s="43">
        <f t="shared" si="1"/>
        <v>32</v>
      </c>
      <c r="J41" s="731"/>
    </row>
    <row r="42" spans="1:10" x14ac:dyDescent="0.45">
      <c r="A42" s="43">
        <f t="shared" si="0"/>
        <v>33</v>
      </c>
      <c r="B42" s="208" t="s">
        <v>474</v>
      </c>
      <c r="C42" s="723">
        <f>C41+1</f>
        <v>2020</v>
      </c>
      <c r="D42" s="724"/>
      <c r="E42" s="725">
        <v>4.1999999999999997E-3</v>
      </c>
      <c r="F42" s="740">
        <f t="shared" si="5"/>
        <v>-2.965627089148489</v>
      </c>
      <c r="G42" s="296">
        <f t="shared" si="3"/>
        <v>-1.2455633774423653E-2</v>
      </c>
      <c r="H42" s="296">
        <f t="shared" si="2"/>
        <v>-2.9780827229229128</v>
      </c>
      <c r="I42" s="43">
        <f t="shared" si="1"/>
        <v>33</v>
      </c>
      <c r="J42" s="731"/>
    </row>
    <row r="43" spans="1:10" x14ac:dyDescent="0.45">
      <c r="A43" s="43">
        <f t="shared" si="0"/>
        <v>34</v>
      </c>
      <c r="B43" s="208" t="s">
        <v>475</v>
      </c>
      <c r="C43" s="723">
        <f>C42</f>
        <v>2020</v>
      </c>
      <c r="D43" s="724"/>
      <c r="E43" s="725">
        <v>3.8999999999999998E-3</v>
      </c>
      <c r="F43" s="740">
        <f t="shared" si="5"/>
        <v>-2.9780827229229128</v>
      </c>
      <c r="G43" s="296">
        <f t="shared" si="3"/>
        <v>-1.1614522619399359E-2</v>
      </c>
      <c r="H43" s="296">
        <f t="shared" si="2"/>
        <v>-2.9896972455423123</v>
      </c>
      <c r="I43" s="43">
        <f t="shared" si="1"/>
        <v>34</v>
      </c>
      <c r="J43" s="731"/>
    </row>
    <row r="44" spans="1:10" x14ac:dyDescent="0.45">
      <c r="A44" s="43">
        <f t="shared" si="0"/>
        <v>35</v>
      </c>
      <c r="B44" s="208" t="s">
        <v>476</v>
      </c>
      <c r="C44" s="723">
        <f t="shared" ref="C44:C52" si="7">C43</f>
        <v>2020</v>
      </c>
      <c r="D44" s="724"/>
      <c r="E44" s="725">
        <v>4.1999999999999997E-3</v>
      </c>
      <c r="F44" s="740">
        <f t="shared" si="5"/>
        <v>-2.9896972455423123</v>
      </c>
      <c r="G44" s="296">
        <f t="shared" si="3"/>
        <v>-1.2556728431277711E-2</v>
      </c>
      <c r="H44" s="296">
        <f t="shared" si="2"/>
        <v>-3.0022539739735898</v>
      </c>
      <c r="I44" s="43">
        <f t="shared" si="1"/>
        <v>35</v>
      </c>
      <c r="J44" s="731"/>
    </row>
    <row r="45" spans="1:10" x14ac:dyDescent="0.45">
      <c r="A45" s="43">
        <f t="shared" si="0"/>
        <v>36</v>
      </c>
      <c r="B45" s="208" t="s">
        <v>477</v>
      </c>
      <c r="C45" s="723">
        <f t="shared" si="7"/>
        <v>2020</v>
      </c>
      <c r="D45" s="724"/>
      <c r="E45" s="725">
        <v>3.8999999999999998E-3</v>
      </c>
      <c r="F45" s="740">
        <f t="shared" si="5"/>
        <v>-3.0022539739735898</v>
      </c>
      <c r="G45" s="296">
        <f t="shared" si="3"/>
        <v>-1.1708790498496999E-2</v>
      </c>
      <c r="H45" s="296">
        <f t="shared" si="2"/>
        <v>-3.0139627644720868</v>
      </c>
      <c r="I45" s="43">
        <f t="shared" si="1"/>
        <v>36</v>
      </c>
      <c r="J45" s="731"/>
    </row>
    <row r="46" spans="1:10" x14ac:dyDescent="0.45">
      <c r="A46" s="43">
        <f t="shared" si="0"/>
        <v>37</v>
      </c>
      <c r="B46" s="208" t="s">
        <v>478</v>
      </c>
      <c r="C46" s="723">
        <f t="shared" si="7"/>
        <v>2020</v>
      </c>
      <c r="D46" s="724"/>
      <c r="E46" s="725">
        <v>4.0000000000000001E-3</v>
      </c>
      <c r="F46" s="740">
        <f t="shared" si="5"/>
        <v>-3.0139627644720868</v>
      </c>
      <c r="G46" s="296">
        <f t="shared" si="3"/>
        <v>-1.2055851057888348E-2</v>
      </c>
      <c r="H46" s="296">
        <f t="shared" si="2"/>
        <v>-3.0260186155299751</v>
      </c>
      <c r="I46" s="43">
        <f t="shared" si="1"/>
        <v>37</v>
      </c>
      <c r="J46" s="731"/>
    </row>
    <row r="47" spans="1:10" x14ac:dyDescent="0.45">
      <c r="A47" s="43">
        <f t="shared" si="0"/>
        <v>38</v>
      </c>
      <c r="B47" s="208" t="s">
        <v>479</v>
      </c>
      <c r="C47" s="723">
        <f t="shared" si="7"/>
        <v>2020</v>
      </c>
      <c r="D47" s="724"/>
      <c r="E47" s="725">
        <v>3.8999999999999998E-3</v>
      </c>
      <c r="F47" s="740">
        <f t="shared" si="5"/>
        <v>-3.0260186155299751</v>
      </c>
      <c r="G47" s="296">
        <f t="shared" si="3"/>
        <v>-1.1801472600566902E-2</v>
      </c>
      <c r="H47" s="296">
        <f t="shared" si="2"/>
        <v>-3.0378200881305419</v>
      </c>
      <c r="I47" s="43">
        <f t="shared" si="1"/>
        <v>38</v>
      </c>
      <c r="J47" s="731"/>
    </row>
    <row r="48" spans="1:10" x14ac:dyDescent="0.45">
      <c r="A48" s="43">
        <f t="shared" si="0"/>
        <v>39</v>
      </c>
      <c r="B48" s="208" t="s">
        <v>480</v>
      </c>
      <c r="C48" s="723">
        <f t="shared" si="7"/>
        <v>2020</v>
      </c>
      <c r="D48" s="724"/>
      <c r="E48" s="725">
        <v>2.8999999999999998E-3</v>
      </c>
      <c r="F48" s="740">
        <f t="shared" si="5"/>
        <v>-3.0378200881305419</v>
      </c>
      <c r="G48" s="296">
        <f t="shared" si="3"/>
        <v>-8.8096782555785718E-3</v>
      </c>
      <c r="H48" s="296">
        <f t="shared" si="2"/>
        <v>-3.0466297663861206</v>
      </c>
      <c r="I48" s="43">
        <f t="shared" si="1"/>
        <v>39</v>
      </c>
      <c r="J48" s="731"/>
    </row>
    <row r="49" spans="1:10" x14ac:dyDescent="0.45">
      <c r="A49" s="43">
        <f t="shared" si="0"/>
        <v>40</v>
      </c>
      <c r="B49" s="208" t="s">
        <v>481</v>
      </c>
      <c r="C49" s="723">
        <f t="shared" si="7"/>
        <v>2020</v>
      </c>
      <c r="D49" s="724"/>
      <c r="E49" s="725">
        <v>2.8999999999999998E-3</v>
      </c>
      <c r="F49" s="740">
        <f t="shared" si="5"/>
        <v>-3.0466297663861206</v>
      </c>
      <c r="G49" s="296">
        <f t="shared" si="3"/>
        <v>-8.8352263225197486E-3</v>
      </c>
      <c r="H49" s="296">
        <f t="shared" si="2"/>
        <v>-3.0554649927086404</v>
      </c>
      <c r="I49" s="43">
        <f t="shared" si="1"/>
        <v>40</v>
      </c>
      <c r="J49" s="731"/>
    </row>
    <row r="50" spans="1:10" x14ac:dyDescent="0.45">
      <c r="A50" s="43">
        <f t="shared" si="0"/>
        <v>41</v>
      </c>
      <c r="B50" s="208" t="s">
        <v>482</v>
      </c>
      <c r="C50" s="723">
        <f t="shared" si="7"/>
        <v>2020</v>
      </c>
      <c r="D50" s="724"/>
      <c r="E50" s="725">
        <v>2.8E-3</v>
      </c>
      <c r="F50" s="740">
        <f t="shared" si="5"/>
        <v>-3.0554649927086404</v>
      </c>
      <c r="G50" s="296">
        <f t="shared" si="3"/>
        <v>-8.5553019795841928E-3</v>
      </c>
      <c r="H50" s="296">
        <f t="shared" si="2"/>
        <v>-3.0640202946882247</v>
      </c>
      <c r="I50" s="43">
        <f t="shared" si="1"/>
        <v>41</v>
      </c>
      <c r="J50" s="731"/>
    </row>
    <row r="51" spans="1:10" x14ac:dyDescent="0.45">
      <c r="A51" s="43">
        <f t="shared" si="0"/>
        <v>42</v>
      </c>
      <c r="B51" s="208" t="s">
        <v>483</v>
      </c>
      <c r="C51" s="723">
        <f t="shared" si="7"/>
        <v>2020</v>
      </c>
      <c r="D51" s="724"/>
      <c r="E51" s="725">
        <v>2.8E-3</v>
      </c>
      <c r="F51" s="740">
        <f t="shared" si="5"/>
        <v>-3.0640202946882247</v>
      </c>
      <c r="G51" s="296">
        <f t="shared" si="3"/>
        <v>-8.5792568251270296E-3</v>
      </c>
      <c r="H51" s="296">
        <f t="shared" si="2"/>
        <v>-3.0725995515133517</v>
      </c>
      <c r="I51" s="43">
        <f t="shared" si="1"/>
        <v>42</v>
      </c>
      <c r="J51" s="731"/>
    </row>
    <row r="52" spans="1:10" x14ac:dyDescent="0.45">
      <c r="A52" s="43">
        <f t="shared" si="0"/>
        <v>43</v>
      </c>
      <c r="B52" s="208" t="s">
        <v>484</v>
      </c>
      <c r="C52" s="723">
        <f t="shared" si="7"/>
        <v>2020</v>
      </c>
      <c r="D52" s="724"/>
      <c r="E52" s="725">
        <v>2.7000000000000001E-3</v>
      </c>
      <c r="F52" s="740">
        <f t="shared" si="5"/>
        <v>-3.0725995515133517</v>
      </c>
      <c r="G52" s="296">
        <f t="shared" si="3"/>
        <v>-8.2960187890860505E-3</v>
      </c>
      <c r="H52" s="296">
        <f t="shared" si="2"/>
        <v>-3.0808955703024377</v>
      </c>
      <c r="I52" s="43">
        <f t="shared" si="1"/>
        <v>43</v>
      </c>
      <c r="J52" s="731"/>
    </row>
    <row r="53" spans="1:10" x14ac:dyDescent="0.45">
      <c r="A53" s="43">
        <f t="shared" si="0"/>
        <v>44</v>
      </c>
      <c r="B53" s="734" t="s">
        <v>485</v>
      </c>
      <c r="C53" s="735">
        <f>C52</f>
        <v>2020</v>
      </c>
      <c r="D53" s="736"/>
      <c r="E53" s="737">
        <v>2.8E-3</v>
      </c>
      <c r="F53" s="738">
        <f t="shared" si="5"/>
        <v>-3.0808955703024377</v>
      </c>
      <c r="G53" s="739">
        <f t="shared" si="3"/>
        <v>-8.6265075968468257E-3</v>
      </c>
      <c r="H53" s="739">
        <f t="shared" si="2"/>
        <v>-3.0895220778992845</v>
      </c>
      <c r="I53" s="43">
        <f t="shared" si="1"/>
        <v>44</v>
      </c>
      <c r="J53" s="731"/>
    </row>
    <row r="54" spans="1:10" x14ac:dyDescent="0.45">
      <c r="A54" s="43">
        <f t="shared" si="0"/>
        <v>45</v>
      </c>
      <c r="B54" s="208" t="s">
        <v>474</v>
      </c>
      <c r="C54" s="723">
        <f>C53+1</f>
        <v>2021</v>
      </c>
      <c r="D54" s="724"/>
      <c r="E54" s="725">
        <v>2.8E-3</v>
      </c>
      <c r="F54" s="740">
        <f t="shared" si="5"/>
        <v>-3.0895220778992845</v>
      </c>
      <c r="G54" s="296">
        <f t="shared" si="3"/>
        <v>-8.6506618181179957E-3</v>
      </c>
      <c r="H54" s="296">
        <f t="shared" si="2"/>
        <v>-3.0981727397174024</v>
      </c>
      <c r="I54" s="43">
        <f t="shared" si="1"/>
        <v>45</v>
      </c>
      <c r="J54" s="731"/>
    </row>
    <row r="55" spans="1:10" x14ac:dyDescent="0.45">
      <c r="A55" s="43">
        <f t="shared" si="0"/>
        <v>46</v>
      </c>
      <c r="B55" s="208" t="s">
        <v>475</v>
      </c>
      <c r="C55" s="723">
        <f>C54</f>
        <v>2021</v>
      </c>
      <c r="D55" s="724"/>
      <c r="E55" s="725">
        <v>2.5000000000000001E-3</v>
      </c>
      <c r="F55" s="740">
        <f t="shared" si="5"/>
        <v>-3.0981727397174024</v>
      </c>
      <c r="G55" s="296">
        <f t="shared" si="3"/>
        <v>-7.7454318492935059E-3</v>
      </c>
      <c r="H55" s="296">
        <f t="shared" si="2"/>
        <v>-3.1059181715666959</v>
      </c>
      <c r="I55" s="43">
        <f t="shared" si="1"/>
        <v>46</v>
      </c>
      <c r="J55" s="731"/>
    </row>
    <row r="56" spans="1:10" x14ac:dyDescent="0.45">
      <c r="A56" s="43">
        <f t="shared" si="0"/>
        <v>47</v>
      </c>
      <c r="B56" s="208" t="s">
        <v>476</v>
      </c>
      <c r="C56" s="723">
        <f t="shared" ref="C56:C64" si="8">C55</f>
        <v>2021</v>
      </c>
      <c r="D56" s="724"/>
      <c r="E56" s="725">
        <v>2.8E-3</v>
      </c>
      <c r="F56" s="740">
        <f t="shared" si="5"/>
        <v>-3.1059181715666959</v>
      </c>
      <c r="G56" s="296">
        <f t="shared" si="3"/>
        <v>-8.6965708803867486E-3</v>
      </c>
      <c r="H56" s="296">
        <f t="shared" si="2"/>
        <v>-3.1146147424470825</v>
      </c>
      <c r="I56" s="43">
        <f t="shared" si="1"/>
        <v>47</v>
      </c>
      <c r="J56" s="731"/>
    </row>
    <row r="57" spans="1:10" x14ac:dyDescent="0.45">
      <c r="A57" s="43">
        <f t="shared" si="0"/>
        <v>48</v>
      </c>
      <c r="B57" s="208" t="s">
        <v>477</v>
      </c>
      <c r="C57" s="723">
        <f t="shared" si="8"/>
        <v>2021</v>
      </c>
      <c r="D57" s="724"/>
      <c r="E57" s="725">
        <v>2.7000000000000001E-3</v>
      </c>
      <c r="F57" s="740">
        <f t="shared" si="5"/>
        <v>-3.1146147424470825</v>
      </c>
      <c r="G57" s="296">
        <f t="shared" si="3"/>
        <v>-8.4094598046071233E-3</v>
      </c>
      <c r="H57" s="296">
        <f t="shared" si="2"/>
        <v>-3.1230242022516896</v>
      </c>
      <c r="I57" s="43">
        <f t="shared" si="1"/>
        <v>48</v>
      </c>
      <c r="J57" s="731"/>
    </row>
    <row r="58" spans="1:10" x14ac:dyDescent="0.45">
      <c r="A58" s="43">
        <f t="shared" si="0"/>
        <v>49</v>
      </c>
      <c r="B58" s="208" t="s">
        <v>478</v>
      </c>
      <c r="C58" s="723">
        <f t="shared" si="8"/>
        <v>2021</v>
      </c>
      <c r="D58" s="724"/>
      <c r="E58" s="725">
        <v>2.8E-3</v>
      </c>
      <c r="F58" s="740">
        <f t="shared" si="5"/>
        <v>-3.1230242022516896</v>
      </c>
      <c r="G58" s="296">
        <f t="shared" si="3"/>
        <v>-8.7444677663047303E-3</v>
      </c>
      <c r="H58" s="296">
        <f t="shared" si="2"/>
        <v>-3.1317686700179945</v>
      </c>
      <c r="I58" s="43">
        <f t="shared" si="1"/>
        <v>49</v>
      </c>
      <c r="J58" s="731"/>
    </row>
    <row r="59" spans="1:10" x14ac:dyDescent="0.45">
      <c r="A59" s="43">
        <f t="shared" si="0"/>
        <v>50</v>
      </c>
      <c r="B59" s="208" t="s">
        <v>479</v>
      </c>
      <c r="C59" s="723">
        <f t="shared" si="8"/>
        <v>2021</v>
      </c>
      <c r="D59" s="724"/>
      <c r="E59" s="725">
        <v>2.7000000000000001E-3</v>
      </c>
      <c r="F59" s="740">
        <f t="shared" si="5"/>
        <v>-3.1317686700179945</v>
      </c>
      <c r="G59" s="296">
        <f t="shared" si="3"/>
        <v>-8.4557754090485854E-3</v>
      </c>
      <c r="H59" s="296">
        <f t="shared" si="2"/>
        <v>-3.1402244454270432</v>
      </c>
      <c r="I59" s="43">
        <f t="shared" si="1"/>
        <v>50</v>
      </c>
      <c r="J59" s="731"/>
    </row>
    <row r="60" spans="1:10" x14ac:dyDescent="0.45">
      <c r="A60" s="43">
        <f t="shared" si="0"/>
        <v>51</v>
      </c>
      <c r="B60" s="208" t="s">
        <v>480</v>
      </c>
      <c r="C60" s="723">
        <f t="shared" si="8"/>
        <v>2021</v>
      </c>
      <c r="D60" s="724"/>
      <c r="E60" s="725">
        <v>2.8E-3</v>
      </c>
      <c r="F60" s="740">
        <f t="shared" si="5"/>
        <v>-3.1402244454270432</v>
      </c>
      <c r="G60" s="296">
        <f t="shared" si="3"/>
        <v>-8.7926284471957199E-3</v>
      </c>
      <c r="H60" s="296">
        <f t="shared" si="2"/>
        <v>-3.1490170738742389</v>
      </c>
      <c r="I60" s="43">
        <f t="shared" si="1"/>
        <v>51</v>
      </c>
      <c r="J60" s="731"/>
    </row>
    <row r="61" spans="1:10" x14ac:dyDescent="0.45">
      <c r="A61" s="43">
        <f t="shared" si="0"/>
        <v>52</v>
      </c>
      <c r="B61" s="208" t="s">
        <v>481</v>
      </c>
      <c r="C61" s="723">
        <f t="shared" si="8"/>
        <v>2021</v>
      </c>
      <c r="D61" s="724"/>
      <c r="E61" s="725">
        <v>2.8E-3</v>
      </c>
      <c r="F61" s="740">
        <f t="shared" si="5"/>
        <v>-3.1490170738742389</v>
      </c>
      <c r="G61" s="296">
        <f t="shared" si="3"/>
        <v>-8.8172478068478683E-3</v>
      </c>
      <c r="H61" s="296">
        <f t="shared" si="2"/>
        <v>-3.1578343216810869</v>
      </c>
      <c r="I61" s="43">
        <f t="shared" si="1"/>
        <v>52</v>
      </c>
      <c r="J61" s="731"/>
    </row>
    <row r="62" spans="1:10" x14ac:dyDescent="0.45">
      <c r="A62" s="43">
        <f t="shared" si="0"/>
        <v>53</v>
      </c>
      <c r="B62" s="208" t="s">
        <v>482</v>
      </c>
      <c r="C62" s="723">
        <f t="shared" si="8"/>
        <v>2021</v>
      </c>
      <c r="D62" s="724"/>
      <c r="E62" s="725">
        <v>2.7000000000000001E-3</v>
      </c>
      <c r="F62" s="740">
        <f t="shared" si="5"/>
        <v>-3.1578343216810869</v>
      </c>
      <c r="G62" s="296">
        <f t="shared" si="3"/>
        <v>-8.5261526685389347E-3</v>
      </c>
      <c r="H62" s="296">
        <f t="shared" si="2"/>
        <v>-3.1663604743496259</v>
      </c>
      <c r="I62" s="43">
        <f t="shared" si="1"/>
        <v>53</v>
      </c>
      <c r="J62" s="731"/>
    </row>
    <row r="63" spans="1:10" x14ac:dyDescent="0.45">
      <c r="A63" s="43">
        <f t="shared" si="0"/>
        <v>54</v>
      </c>
      <c r="B63" s="208" t="s">
        <v>483</v>
      </c>
      <c r="C63" s="723">
        <f t="shared" si="8"/>
        <v>2021</v>
      </c>
      <c r="D63" s="724"/>
      <c r="E63" s="725">
        <v>2.8E-3</v>
      </c>
      <c r="F63" s="740">
        <f t="shared" si="5"/>
        <v>-3.1663604743496259</v>
      </c>
      <c r="G63" s="296">
        <f t="shared" si="3"/>
        <v>-8.8658093281789516E-3</v>
      </c>
      <c r="H63" s="296">
        <f t="shared" si="2"/>
        <v>-3.1752262836778047</v>
      </c>
      <c r="I63" s="43">
        <f t="shared" si="1"/>
        <v>54</v>
      </c>
      <c r="J63" s="731"/>
    </row>
    <row r="64" spans="1:10" x14ac:dyDescent="0.45">
      <c r="A64" s="43">
        <f t="shared" si="0"/>
        <v>55</v>
      </c>
      <c r="B64" s="208" t="s">
        <v>484</v>
      </c>
      <c r="C64" s="723">
        <f t="shared" si="8"/>
        <v>2021</v>
      </c>
      <c r="D64" s="724"/>
      <c r="E64" s="725">
        <v>2.7000000000000001E-3</v>
      </c>
      <c r="F64" s="740">
        <f t="shared" si="5"/>
        <v>-3.1752262836778047</v>
      </c>
      <c r="G64" s="296">
        <f t="shared" si="3"/>
        <v>-8.5731109659300739E-3</v>
      </c>
      <c r="H64" s="296">
        <f t="shared" si="2"/>
        <v>-3.1837993946437346</v>
      </c>
      <c r="I64" s="43">
        <f t="shared" si="1"/>
        <v>55</v>
      </c>
      <c r="J64" s="731"/>
    </row>
    <row r="65" spans="1:10" x14ac:dyDescent="0.45">
      <c r="A65" s="43">
        <f t="shared" si="0"/>
        <v>56</v>
      </c>
      <c r="B65" s="734" t="s">
        <v>485</v>
      </c>
      <c r="C65" s="735">
        <f>C64</f>
        <v>2021</v>
      </c>
      <c r="D65" s="736"/>
      <c r="E65" s="737">
        <v>2.8E-3</v>
      </c>
      <c r="F65" s="738">
        <f t="shared" si="5"/>
        <v>-3.1837993946437346</v>
      </c>
      <c r="G65" s="739">
        <f t="shared" si="3"/>
        <v>-8.9146383050024564E-3</v>
      </c>
      <c r="H65" s="739">
        <f t="shared" si="2"/>
        <v>-3.1927140329487371</v>
      </c>
      <c r="I65" s="43">
        <f t="shared" si="1"/>
        <v>56</v>
      </c>
      <c r="J65" s="731"/>
    </row>
    <row r="66" spans="1:10" ht="15.75" thickBot="1" x14ac:dyDescent="0.5">
      <c r="A66" s="43">
        <f t="shared" si="0"/>
        <v>57</v>
      </c>
      <c r="D66" s="741">
        <f>SUM(D18:D29)</f>
        <v>-2.7436483241132232</v>
      </c>
      <c r="E66" s="742"/>
      <c r="F66" s="743"/>
      <c r="G66" s="744">
        <f>SUM(G18:G65)</f>
        <v>-0.44906570883551372</v>
      </c>
      <c r="H66" s="745"/>
      <c r="I66" s="43">
        <f t="shared" si="1"/>
        <v>57</v>
      </c>
    </row>
    <row r="67" spans="1:10" ht="15.75" thickTop="1" x14ac:dyDescent="0.45">
      <c r="D67" s="746"/>
      <c r="E67" s="746"/>
      <c r="F67" s="746"/>
      <c r="G67" s="747"/>
      <c r="H67" s="747"/>
    </row>
    <row r="68" spans="1:10" x14ac:dyDescent="0.45">
      <c r="B68" s="748"/>
    </row>
    <row r="69" spans="1:10" ht="17.25" x14ac:dyDescent="0.45">
      <c r="A69" s="749">
        <v>1</v>
      </c>
      <c r="B69" s="717" t="s">
        <v>486</v>
      </c>
      <c r="C69" s="750"/>
    </row>
    <row r="70" spans="1:10" ht="17.25" x14ac:dyDescent="0.45">
      <c r="A70" s="749">
        <v>2</v>
      </c>
      <c r="B70" s="717" t="s">
        <v>487</v>
      </c>
    </row>
    <row r="71" spans="1:10" ht="17.25" x14ac:dyDescent="0.45">
      <c r="A71" s="749">
        <v>3</v>
      </c>
      <c r="B71" s="717" t="s">
        <v>488</v>
      </c>
    </row>
    <row r="72" spans="1:10" x14ac:dyDescent="0.45">
      <c r="B72" s="717" t="s">
        <v>489</v>
      </c>
    </row>
  </sheetData>
  <mergeCells count="5">
    <mergeCell ref="B2:H2"/>
    <mergeCell ref="B3:H3"/>
    <mergeCell ref="B4:H4"/>
    <mergeCell ref="B5:H5"/>
    <mergeCell ref="B6:H6"/>
  </mergeCells>
  <printOptions horizontalCentered="1"/>
  <pageMargins left="0.25" right="0.25" top="0.5" bottom="0.5" header="0.25" footer="0.25"/>
  <pageSetup scale="63" orientation="portrait" r:id="rId1"/>
  <headerFooter scaleWithDoc="0" alignWithMargins="0">
    <oddFooter>&amp;CPage 10&amp;R&amp;F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8C0E-4FF5-4670-8B52-8A405C4003E9}">
  <sheetPr>
    <pageSetUpPr fitToPage="1"/>
  </sheetPr>
  <dimension ref="A1:M56"/>
  <sheetViews>
    <sheetView zoomScale="80" zoomScaleNormal="80" workbookViewId="0"/>
  </sheetViews>
  <sheetFormatPr defaultColWidth="8.86328125" defaultRowHeight="15.4" x14ac:dyDescent="0.45"/>
  <cols>
    <col min="1" max="1" width="5.1328125" style="43" customWidth="1"/>
    <col min="2" max="2" width="70.59765625" style="20" customWidth="1"/>
    <col min="3" max="3" width="16.3984375" style="20" bestFit="1" customWidth="1"/>
    <col min="4" max="4" width="1.59765625" style="20" customWidth="1"/>
    <col min="5" max="5" width="16.33203125" style="20" customWidth="1"/>
    <col min="6" max="6" width="1.59765625" style="20" customWidth="1"/>
    <col min="7" max="7" width="12.59765625" style="20" customWidth="1"/>
    <col min="8" max="8" width="40.59765625" style="20" customWidth="1"/>
    <col min="9" max="9" width="5.1328125" style="43" customWidth="1"/>
    <col min="10" max="16384" width="8.86328125" style="20"/>
  </cols>
  <sheetData>
    <row r="1" spans="1:11" x14ac:dyDescent="0.45">
      <c r="A1" s="272"/>
      <c r="B1" s="273"/>
      <c r="C1" s="273"/>
      <c r="D1" s="273"/>
      <c r="E1" s="273"/>
      <c r="F1" s="273"/>
      <c r="G1" s="273"/>
      <c r="H1" s="273"/>
      <c r="I1" s="272"/>
    </row>
    <row r="2" spans="1:11" x14ac:dyDescent="0.45">
      <c r="A2" s="272"/>
      <c r="B2" s="762" t="s">
        <v>24</v>
      </c>
      <c r="C2" s="762"/>
      <c r="D2" s="762"/>
      <c r="E2" s="762"/>
      <c r="F2" s="762"/>
      <c r="G2" s="762"/>
      <c r="H2" s="762"/>
      <c r="I2" s="273"/>
    </row>
    <row r="3" spans="1:11" x14ac:dyDescent="0.45">
      <c r="B3" s="762" t="s">
        <v>264</v>
      </c>
      <c r="C3" s="762"/>
      <c r="D3" s="762"/>
      <c r="E3" s="762"/>
      <c r="F3" s="762"/>
      <c r="G3" s="762"/>
      <c r="H3" s="762"/>
      <c r="I3" s="270"/>
    </row>
    <row r="4" spans="1:11" x14ac:dyDescent="0.45">
      <c r="B4" s="762" t="s">
        <v>451</v>
      </c>
      <c r="C4" s="762"/>
      <c r="D4" s="762"/>
      <c r="E4" s="762"/>
      <c r="F4" s="762"/>
      <c r="G4" s="762"/>
      <c r="H4" s="762"/>
      <c r="I4" s="270"/>
    </row>
    <row r="5" spans="1:11" x14ac:dyDescent="0.45">
      <c r="B5" s="762" t="s">
        <v>447</v>
      </c>
      <c r="C5" s="762"/>
      <c r="D5" s="762"/>
      <c r="E5" s="762"/>
      <c r="F5" s="762"/>
      <c r="G5" s="762"/>
      <c r="H5" s="762"/>
      <c r="I5" s="715"/>
    </row>
    <row r="6" spans="1:11" x14ac:dyDescent="0.45">
      <c r="B6" s="763" t="s">
        <v>1</v>
      </c>
      <c r="C6" s="762"/>
      <c r="D6" s="762"/>
      <c r="E6" s="762"/>
      <c r="F6" s="762"/>
      <c r="G6" s="762"/>
      <c r="H6" s="762"/>
      <c r="I6" s="270"/>
    </row>
    <row r="7" spans="1:11" x14ac:dyDescent="0.45">
      <c r="A7" s="272"/>
      <c r="B7" s="273"/>
      <c r="C7" s="274"/>
      <c r="D7" s="373"/>
      <c r="E7" s="373"/>
      <c r="F7" s="373"/>
      <c r="G7" s="373"/>
      <c r="H7" s="274"/>
      <c r="I7" s="272"/>
    </row>
    <row r="8" spans="1:11" ht="15.75" thickBot="1" x14ac:dyDescent="0.5">
      <c r="A8" s="272"/>
      <c r="B8" s="273"/>
      <c r="C8" s="387" t="s">
        <v>12</v>
      </c>
      <c r="D8" s="386"/>
      <c r="E8" s="387" t="s">
        <v>7</v>
      </c>
      <c r="F8" s="386"/>
      <c r="G8" s="387" t="s">
        <v>13</v>
      </c>
      <c r="H8" s="274"/>
      <c r="I8" s="272"/>
    </row>
    <row r="9" spans="1:11" ht="60" x14ac:dyDescent="0.45">
      <c r="A9" s="754" t="s">
        <v>2</v>
      </c>
      <c r="B9" s="388"/>
      <c r="C9" s="394" t="s">
        <v>452</v>
      </c>
      <c r="D9" s="273"/>
      <c r="E9" s="375" t="s">
        <v>491</v>
      </c>
      <c r="F9" s="25"/>
      <c r="G9" s="27" t="s">
        <v>14</v>
      </c>
      <c r="H9" s="279"/>
      <c r="I9" s="755" t="s">
        <v>2</v>
      </c>
    </row>
    <row r="10" spans="1:11" x14ac:dyDescent="0.45">
      <c r="A10" s="276" t="s">
        <v>6</v>
      </c>
      <c r="B10" s="281" t="s">
        <v>266</v>
      </c>
      <c r="C10" s="281" t="s">
        <v>4</v>
      </c>
      <c r="D10" s="281"/>
      <c r="E10" s="281" t="s">
        <v>4</v>
      </c>
      <c r="F10" s="281"/>
      <c r="G10" s="716" t="s">
        <v>15</v>
      </c>
      <c r="H10" s="281" t="s">
        <v>5</v>
      </c>
      <c r="I10" s="280" t="s">
        <v>6</v>
      </c>
    </row>
    <row r="11" spans="1:11" x14ac:dyDescent="0.45">
      <c r="A11" s="276"/>
      <c r="B11" s="389"/>
      <c r="C11" s="285"/>
      <c r="D11" s="284"/>
      <c r="E11" s="284"/>
      <c r="F11" s="284"/>
      <c r="G11" s="284"/>
      <c r="H11" s="285"/>
      <c r="I11" s="280"/>
    </row>
    <row r="12" spans="1:11" x14ac:dyDescent="0.45">
      <c r="A12" s="276">
        <v>1</v>
      </c>
      <c r="B12" s="390" t="s">
        <v>267</v>
      </c>
      <c r="C12" s="378">
        <f>'Pg3 Revised Appendix XII C2'!C11</f>
        <v>0</v>
      </c>
      <c r="D12" s="288"/>
      <c r="E12" s="378">
        <f>'Pg4 As Filed Appendix XII C2'!C11</f>
        <v>0</v>
      </c>
      <c r="F12" s="288"/>
      <c r="G12" s="288">
        <f>C12-E12</f>
        <v>0</v>
      </c>
      <c r="H12" s="8" t="s">
        <v>610</v>
      </c>
      <c r="I12" s="280">
        <f>A12</f>
        <v>1</v>
      </c>
      <c r="K12" s="24"/>
    </row>
    <row r="13" spans="1:11" x14ac:dyDescent="0.45">
      <c r="A13" s="276">
        <f>A12+1</f>
        <v>2</v>
      </c>
      <c r="B13" s="391"/>
      <c r="C13" s="395"/>
      <c r="D13" s="292"/>
      <c r="E13" s="292"/>
      <c r="F13" s="292"/>
      <c r="G13" s="292"/>
      <c r="H13" s="273"/>
      <c r="I13" s="280">
        <f>I12+1</f>
        <v>2</v>
      </c>
    </row>
    <row r="14" spans="1:11" ht="15.75" x14ac:dyDescent="0.5">
      <c r="A14" s="276">
        <f t="shared" ref="A14:A29" si="0">A13+1</f>
        <v>3</v>
      </c>
      <c r="B14" s="390" t="s">
        <v>268</v>
      </c>
      <c r="C14" s="396">
        <f>'Pg3 Revised Appendix XII C2'!C13</f>
        <v>820.30914934542579</v>
      </c>
      <c r="D14" s="29" t="s">
        <v>16</v>
      </c>
      <c r="E14" s="379">
        <f>'Pg4 As Filed Appendix XII C2'!C13</f>
        <v>823.05279766953902</v>
      </c>
      <c r="F14" s="269"/>
      <c r="G14" s="382">
        <f>C14-E14</f>
        <v>-2.7436483241132237</v>
      </c>
      <c r="H14" s="8" t="s">
        <v>611</v>
      </c>
      <c r="I14" s="280">
        <f t="shared" ref="I14:I29" si="1">I13+1</f>
        <v>3</v>
      </c>
      <c r="K14" s="31"/>
    </row>
    <row r="15" spans="1:11" x14ac:dyDescent="0.45">
      <c r="A15" s="276">
        <f t="shared" si="0"/>
        <v>4</v>
      </c>
      <c r="B15" s="391"/>
      <c r="C15" s="395"/>
      <c r="D15" s="292"/>
      <c r="E15" s="292"/>
      <c r="F15" s="292"/>
      <c r="G15" s="292"/>
      <c r="H15" s="294"/>
      <c r="I15" s="280">
        <f t="shared" si="1"/>
        <v>4</v>
      </c>
    </row>
    <row r="16" spans="1:11" x14ac:dyDescent="0.45">
      <c r="A16" s="276">
        <f t="shared" si="0"/>
        <v>5</v>
      </c>
      <c r="B16" s="295" t="s">
        <v>269</v>
      </c>
      <c r="C16" s="712">
        <f>'Pg3 Revised Appendix XII C2'!C15</f>
        <v>86.807849169600004</v>
      </c>
      <c r="D16" s="296"/>
      <c r="E16" s="37">
        <f>'Pg4 As Filed Appendix XII C2'!C15</f>
        <v>86.807849169600004</v>
      </c>
      <c r="F16" s="296"/>
      <c r="G16" s="376">
        <f>C16-E16</f>
        <v>0</v>
      </c>
      <c r="H16" s="8" t="s">
        <v>612</v>
      </c>
      <c r="I16" s="280">
        <f t="shared" si="1"/>
        <v>5</v>
      </c>
      <c r="K16" s="31"/>
    </row>
    <row r="17" spans="1:13" x14ac:dyDescent="0.45">
      <c r="A17" s="276">
        <f t="shared" si="0"/>
        <v>6</v>
      </c>
      <c r="B17" s="297"/>
      <c r="C17" s="296"/>
      <c r="D17" s="296"/>
      <c r="E17" s="296"/>
      <c r="F17" s="296"/>
      <c r="G17" s="296"/>
      <c r="H17" s="289"/>
      <c r="I17" s="280">
        <f t="shared" si="1"/>
        <v>6</v>
      </c>
      <c r="K17" s="31"/>
    </row>
    <row r="18" spans="1:13" ht="15.75" x14ac:dyDescent="0.5">
      <c r="A18" s="276">
        <f t="shared" si="0"/>
        <v>7</v>
      </c>
      <c r="B18" s="392" t="s">
        <v>442</v>
      </c>
      <c r="C18" s="397">
        <f>C12+C14+C16</f>
        <v>907.11699851502578</v>
      </c>
      <c r="D18" s="29" t="s">
        <v>16</v>
      </c>
      <c r="E18" s="377">
        <f>E12+E14+E16</f>
        <v>909.86064683913901</v>
      </c>
      <c r="F18" s="269"/>
      <c r="G18" s="397">
        <f>G12+G14+G16</f>
        <v>-2.7436483241132237</v>
      </c>
      <c r="H18" s="300" t="str">
        <f>"Sum Lines "&amp;A12&amp;", "&amp;A14&amp;", "&amp;A16</f>
        <v>Sum Lines 1, 3, 5</v>
      </c>
      <c r="I18" s="280">
        <f t="shared" si="1"/>
        <v>7</v>
      </c>
      <c r="K18" s="31"/>
    </row>
    <row r="19" spans="1:13" x14ac:dyDescent="0.45">
      <c r="A19" s="276">
        <f t="shared" si="0"/>
        <v>8</v>
      </c>
      <c r="B19" s="393"/>
      <c r="C19" s="395"/>
      <c r="D19" s="292"/>
      <c r="E19" s="292"/>
      <c r="F19" s="292"/>
      <c r="G19" s="292"/>
      <c r="H19" s="302"/>
      <c r="I19" s="280">
        <f t="shared" si="1"/>
        <v>8</v>
      </c>
    </row>
    <row r="20" spans="1:13" ht="15.75" x14ac:dyDescent="0.5">
      <c r="A20" s="276">
        <f t="shared" si="0"/>
        <v>9</v>
      </c>
      <c r="B20" s="390" t="s">
        <v>270</v>
      </c>
      <c r="C20" s="396">
        <f>'Pg3 Revised Appendix XII C2'!C19</f>
        <v>0</v>
      </c>
      <c r="D20" s="29"/>
      <c r="E20" s="380">
        <f>'Pg4 As Filed Appendix XII C2'!C19</f>
        <v>0</v>
      </c>
      <c r="F20" s="269"/>
      <c r="G20" s="382">
        <f>C20-E20</f>
        <v>0</v>
      </c>
      <c r="H20" s="8" t="s">
        <v>613</v>
      </c>
      <c r="I20" s="280">
        <f t="shared" si="1"/>
        <v>9</v>
      </c>
    </row>
    <row r="21" spans="1:13" x14ac:dyDescent="0.45">
      <c r="A21" s="276">
        <f t="shared" si="0"/>
        <v>10</v>
      </c>
      <c r="B21" s="390"/>
      <c r="C21" s="395"/>
      <c r="D21" s="292"/>
      <c r="E21" s="292"/>
      <c r="F21" s="292"/>
      <c r="G21" s="292"/>
      <c r="H21" s="303"/>
      <c r="I21" s="280">
        <f t="shared" si="1"/>
        <v>10</v>
      </c>
    </row>
    <row r="22" spans="1:13" x14ac:dyDescent="0.45">
      <c r="A22" s="276">
        <f t="shared" si="0"/>
        <v>11</v>
      </c>
      <c r="B22" s="390" t="s">
        <v>271</v>
      </c>
      <c r="C22" s="37">
        <f>'Pg3 Revised Appendix XII C2'!C21</f>
        <v>0</v>
      </c>
      <c r="D22" s="296"/>
      <c r="E22" s="37">
        <f>'Pg4 As Filed Appendix XII C2'!C21</f>
        <v>0</v>
      </c>
      <c r="F22" s="296"/>
      <c r="G22" s="376">
        <f>C22-E22</f>
        <v>0</v>
      </c>
      <c r="H22" s="8" t="s">
        <v>614</v>
      </c>
      <c r="I22" s="280">
        <f t="shared" si="1"/>
        <v>11</v>
      </c>
    </row>
    <row r="23" spans="1:13" x14ac:dyDescent="0.45">
      <c r="A23" s="276">
        <f t="shared" si="0"/>
        <v>12</v>
      </c>
      <c r="B23" s="297"/>
      <c r="C23" s="398"/>
      <c r="D23" s="305"/>
      <c r="E23" s="305"/>
      <c r="F23" s="305"/>
      <c r="G23" s="305"/>
      <c r="H23" s="300"/>
      <c r="I23" s="280">
        <f t="shared" si="1"/>
        <v>12</v>
      </c>
    </row>
    <row r="24" spans="1:13" ht="15.75" x14ac:dyDescent="0.5">
      <c r="A24" s="276">
        <f t="shared" si="0"/>
        <v>13</v>
      </c>
      <c r="B24" s="297" t="s">
        <v>272</v>
      </c>
      <c r="C24" s="120">
        <f>C18+C20+C22</f>
        <v>907.11699851502578</v>
      </c>
      <c r="D24" s="29" t="s">
        <v>16</v>
      </c>
      <c r="E24" s="41">
        <f>E18+E20+E22</f>
        <v>909.86064683913901</v>
      </c>
      <c r="F24" s="269"/>
      <c r="G24" s="120">
        <f>G18+G20+G22</f>
        <v>-2.7436483241132237</v>
      </c>
      <c r="H24" s="300" t="str">
        <f>"Sum Lines "&amp;A18&amp;", "&amp;A20&amp;", "&amp;A22</f>
        <v>Sum Lines 7, 9, 11</v>
      </c>
      <c r="I24" s="280">
        <f t="shared" si="1"/>
        <v>13</v>
      </c>
      <c r="K24" s="31"/>
    </row>
    <row r="25" spans="1:13" x14ac:dyDescent="0.45">
      <c r="A25" s="276">
        <f t="shared" si="0"/>
        <v>14</v>
      </c>
      <c r="B25" s="306"/>
      <c r="C25" s="101"/>
      <c r="D25" s="101"/>
      <c r="E25" s="101"/>
      <c r="F25" s="101"/>
      <c r="G25" s="101"/>
      <c r="H25" s="300"/>
      <c r="I25" s="280">
        <f t="shared" si="1"/>
        <v>14</v>
      </c>
      <c r="K25" s="31"/>
    </row>
    <row r="26" spans="1:13" x14ac:dyDescent="0.45">
      <c r="A26" s="276">
        <f t="shared" si="0"/>
        <v>15</v>
      </c>
      <c r="B26" s="295" t="s">
        <v>273</v>
      </c>
      <c r="C26" s="713">
        <f>'Pg3 Revised Appendix XII C2'!C25</f>
        <v>0</v>
      </c>
      <c r="D26" s="101"/>
      <c r="E26" s="381">
        <f>'Pg4 As Filed Appendix XII C2'!C25</f>
        <v>0</v>
      </c>
      <c r="F26" s="101"/>
      <c r="G26" s="135"/>
      <c r="H26" s="8" t="s">
        <v>615</v>
      </c>
      <c r="I26" s="280">
        <f t="shared" si="1"/>
        <v>15</v>
      </c>
      <c r="K26" s="31"/>
    </row>
    <row r="27" spans="1:13" x14ac:dyDescent="0.45">
      <c r="A27" s="276">
        <f t="shared" si="0"/>
        <v>16</v>
      </c>
      <c r="B27" s="274"/>
      <c r="C27" s="399"/>
      <c r="D27" s="308"/>
      <c r="E27" s="308"/>
      <c r="F27" s="308"/>
      <c r="G27" s="308"/>
      <c r="H27" s="300"/>
      <c r="I27" s="280">
        <f t="shared" si="1"/>
        <v>16</v>
      </c>
    </row>
    <row r="28" spans="1:13" ht="16.149999999999999" thickBot="1" x14ac:dyDescent="0.55000000000000004">
      <c r="A28" s="276">
        <f t="shared" si="0"/>
        <v>17</v>
      </c>
      <c r="B28" s="392" t="s">
        <v>274</v>
      </c>
      <c r="C28" s="400">
        <f>C24+C26</f>
        <v>907.11699851502578</v>
      </c>
      <c r="D28" s="29" t="s">
        <v>16</v>
      </c>
      <c r="E28" s="384">
        <f>E24+E26</f>
        <v>909.86064683913901</v>
      </c>
      <c r="F28" s="269"/>
      <c r="G28" s="385">
        <f>C28-E28</f>
        <v>-2.7436483241132237</v>
      </c>
      <c r="H28" s="300" t="str">
        <f>"Line "&amp;A24&amp;" + Line "&amp;A26</f>
        <v>Line 13 + Line 15</v>
      </c>
      <c r="I28" s="280">
        <f t="shared" si="1"/>
        <v>17</v>
      </c>
      <c r="L28" s="24"/>
      <c r="M28" s="310"/>
    </row>
    <row r="29" spans="1:13" ht="16.149999999999999" thickTop="1" thickBot="1" x14ac:dyDescent="0.5">
      <c r="A29" s="276">
        <f t="shared" si="0"/>
        <v>18</v>
      </c>
      <c r="B29" s="275"/>
      <c r="C29" s="401"/>
      <c r="D29" s="275"/>
      <c r="E29" s="275"/>
      <c r="F29" s="275"/>
      <c r="G29" s="275"/>
      <c r="H29" s="275"/>
      <c r="I29" s="280">
        <f t="shared" si="1"/>
        <v>18</v>
      </c>
    </row>
    <row r="31" spans="1:13" ht="15.75" thickBot="1" x14ac:dyDescent="0.5">
      <c r="A31" s="272"/>
      <c r="B31" s="313"/>
      <c r="C31" s="314"/>
      <c r="D31" s="314"/>
      <c r="E31" s="314"/>
      <c r="F31" s="314"/>
      <c r="G31" s="314"/>
      <c r="H31" s="314"/>
      <c r="I31" s="272"/>
    </row>
    <row r="32" spans="1:13" ht="60.4" x14ac:dyDescent="0.45">
      <c r="A32" s="756" t="s">
        <v>2</v>
      </c>
      <c r="B32" s="374"/>
      <c r="C32" s="403" t="str">
        <f>C9</f>
        <v>Revised - Appendix XII Cycle 2</v>
      </c>
      <c r="D32" s="273"/>
      <c r="E32" s="402" t="str">
        <f>E9</f>
        <v>As Filed - Appendix XII Cycle 2 per ER 20-209</v>
      </c>
      <c r="F32" s="273"/>
      <c r="G32" s="273" t="str">
        <f>G9</f>
        <v>Difference</v>
      </c>
      <c r="H32" s="273"/>
      <c r="I32" s="755" t="s">
        <v>2</v>
      </c>
    </row>
    <row r="33" spans="1:9" x14ac:dyDescent="0.45">
      <c r="A33" s="276" t="s">
        <v>6</v>
      </c>
      <c r="B33" s="281" t="s">
        <v>275</v>
      </c>
      <c r="C33" s="281" t="str">
        <f>C10</f>
        <v>Amounts</v>
      </c>
      <c r="D33" s="281"/>
      <c r="E33" s="281" t="str">
        <f>E10</f>
        <v>Amounts</v>
      </c>
      <c r="F33" s="281"/>
      <c r="G33" s="281" t="str">
        <f>G10</f>
        <v>Incr (Decr)</v>
      </c>
      <c r="H33" s="281" t="str">
        <f>H10</f>
        <v>Reference</v>
      </c>
      <c r="I33" s="280" t="s">
        <v>6</v>
      </c>
    </row>
    <row r="34" spans="1:9" x14ac:dyDescent="0.45">
      <c r="A34" s="276">
        <f>A29+1</f>
        <v>19</v>
      </c>
      <c r="B34" s="373"/>
      <c r="C34" s="285"/>
      <c r="D34" s="284"/>
      <c r="E34" s="284"/>
      <c r="F34" s="284"/>
      <c r="G34" s="284"/>
      <c r="H34" s="285"/>
      <c r="I34" s="280">
        <f>I29+1</f>
        <v>19</v>
      </c>
    </row>
    <row r="35" spans="1:9" x14ac:dyDescent="0.45">
      <c r="A35" s="276">
        <f>A34+1</f>
        <v>20</v>
      </c>
      <c r="B35" s="390" t="str">
        <f>B12</f>
        <v>Section 1 - Direct Maintenance Expense Cost Component</v>
      </c>
      <c r="C35" s="318">
        <f>'Pg3 Revised Appendix XII C2'!C34</f>
        <v>0</v>
      </c>
      <c r="D35" s="318"/>
      <c r="E35" s="318">
        <f>'Pg4 As Filed Appendix XII C2'!C34</f>
        <v>0</v>
      </c>
      <c r="F35" s="318"/>
      <c r="G35" s="318">
        <f>C35-E35</f>
        <v>0</v>
      </c>
      <c r="H35" s="8" t="s">
        <v>616</v>
      </c>
      <c r="I35" s="280">
        <f>I34+1</f>
        <v>20</v>
      </c>
    </row>
    <row r="36" spans="1:9" x14ac:dyDescent="0.45">
      <c r="A36" s="276">
        <f t="shared" ref="A36:A54" si="2">A35+1</f>
        <v>21</v>
      </c>
      <c r="B36" s="391"/>
      <c r="C36" s="404"/>
      <c r="D36" s="320"/>
      <c r="E36" s="320"/>
      <c r="F36" s="320"/>
      <c r="G36" s="320"/>
      <c r="H36" s="321"/>
      <c r="I36" s="280">
        <f t="shared" ref="I36:I54" si="3">I35+1</f>
        <v>21</v>
      </c>
    </row>
    <row r="37" spans="1:9" ht="15.75" x14ac:dyDescent="0.5">
      <c r="A37" s="276">
        <f t="shared" si="2"/>
        <v>22</v>
      </c>
      <c r="B37" s="390" t="str">
        <f>B14</f>
        <v>Section 2 - Non-Direct Expense Cost Component</v>
      </c>
      <c r="C37" s="405">
        <f>'Pg3 Revised Appendix XII C2'!C36</f>
        <v>68.359095778785488</v>
      </c>
      <c r="D37" s="29" t="s">
        <v>16</v>
      </c>
      <c r="E37" s="410">
        <f>'Pg4 As Filed Appendix XII C2'!C36</f>
        <v>68.587733139128247</v>
      </c>
      <c r="F37" s="269"/>
      <c r="G37" s="417">
        <f>C37-E37</f>
        <v>-0.22863736034275917</v>
      </c>
      <c r="H37" s="8" t="s">
        <v>617</v>
      </c>
      <c r="I37" s="280">
        <f t="shared" si="3"/>
        <v>22</v>
      </c>
    </row>
    <row r="38" spans="1:9" x14ac:dyDescent="0.45">
      <c r="A38" s="276">
        <f t="shared" si="2"/>
        <v>23</v>
      </c>
      <c r="B38" s="391"/>
      <c r="C38" s="406"/>
      <c r="D38" s="324"/>
      <c r="E38" s="324"/>
      <c r="F38" s="324"/>
      <c r="G38" s="324"/>
      <c r="H38" s="325"/>
      <c r="I38" s="280">
        <f t="shared" si="3"/>
        <v>23</v>
      </c>
    </row>
    <row r="39" spans="1:9" x14ac:dyDescent="0.45">
      <c r="A39" s="276">
        <f t="shared" si="2"/>
        <v>24</v>
      </c>
      <c r="B39" s="390" t="str">
        <f>B16</f>
        <v>Section 3 - Cost Component Containing Other Specific Expenses</v>
      </c>
      <c r="C39" s="411">
        <f>'Pg3 Revised Appendix XII C2'!C38</f>
        <v>7.2339874308000001</v>
      </c>
      <c r="D39" s="326"/>
      <c r="E39" s="411">
        <f>'Pg4 As Filed Appendix XII C2'!C38</f>
        <v>7.2339874308000001</v>
      </c>
      <c r="F39" s="326"/>
      <c r="G39" s="411">
        <f>C39-E39</f>
        <v>0</v>
      </c>
      <c r="H39" s="8" t="s">
        <v>618</v>
      </c>
      <c r="I39" s="280">
        <f t="shared" si="3"/>
        <v>24</v>
      </c>
    </row>
    <row r="40" spans="1:9" x14ac:dyDescent="0.45">
      <c r="A40" s="276">
        <f t="shared" si="2"/>
        <v>25</v>
      </c>
      <c r="B40" s="393"/>
      <c r="C40" s="324"/>
      <c r="D40" s="324"/>
      <c r="E40" s="324"/>
      <c r="F40" s="324"/>
      <c r="G40" s="324"/>
      <c r="H40" s="289"/>
      <c r="I40" s="280">
        <f t="shared" si="3"/>
        <v>25</v>
      </c>
    </row>
    <row r="41" spans="1:9" ht="15.75" x14ac:dyDescent="0.5">
      <c r="A41" s="276">
        <f t="shared" si="2"/>
        <v>26</v>
      </c>
      <c r="B41" s="392" t="s">
        <v>441</v>
      </c>
      <c r="C41" s="407">
        <f>C35+C37+C39</f>
        <v>75.593083209585487</v>
      </c>
      <c r="D41" s="29" t="s">
        <v>16</v>
      </c>
      <c r="E41" s="414">
        <f>E35+E37+E39</f>
        <v>75.821720569928246</v>
      </c>
      <c r="F41" s="269"/>
      <c r="G41" s="418">
        <f>C41-E41</f>
        <v>-0.22863736034275917</v>
      </c>
      <c r="H41" s="300" t="str">
        <f>"Sum Lines "&amp;A35&amp;", "&amp;A37&amp;", "&amp;A39</f>
        <v>Sum Lines 20, 22, 24</v>
      </c>
      <c r="I41" s="280">
        <f t="shared" si="3"/>
        <v>26</v>
      </c>
    </row>
    <row r="42" spans="1:9" x14ac:dyDescent="0.45">
      <c r="A42" s="276">
        <f t="shared" si="2"/>
        <v>27</v>
      </c>
      <c r="B42" s="373"/>
      <c r="C42" s="406"/>
      <c r="D42" s="324"/>
      <c r="E42" s="324"/>
      <c r="F42" s="324"/>
      <c r="G42" s="324"/>
      <c r="H42" s="294"/>
      <c r="I42" s="280">
        <f t="shared" si="3"/>
        <v>27</v>
      </c>
    </row>
    <row r="43" spans="1:9" ht="15.75" x14ac:dyDescent="0.5">
      <c r="A43" s="276">
        <f t="shared" si="2"/>
        <v>28</v>
      </c>
      <c r="B43" s="390" t="str">
        <f>LEFT(B20,45)</f>
        <v>Section 4 - True-Up Adjustment Cost Component</v>
      </c>
      <c r="C43" s="405">
        <f>'Pg3 Revised Appendix XII C2'!C42</f>
        <v>0</v>
      </c>
      <c r="D43" s="29"/>
      <c r="E43" s="412">
        <f>'Pg4 As Filed Appendix XII C2'!C42</f>
        <v>0</v>
      </c>
      <c r="F43" s="269"/>
      <c r="G43" s="417">
        <f>C43-E43</f>
        <v>0</v>
      </c>
      <c r="H43" s="8" t="s">
        <v>619</v>
      </c>
      <c r="I43" s="280">
        <f t="shared" si="3"/>
        <v>28</v>
      </c>
    </row>
    <row r="44" spans="1:9" x14ac:dyDescent="0.45">
      <c r="A44" s="276">
        <f t="shared" si="2"/>
        <v>29</v>
      </c>
      <c r="B44" s="390"/>
      <c r="C44" s="406"/>
      <c r="D44" s="324"/>
      <c r="E44" s="324"/>
      <c r="F44" s="324"/>
      <c r="G44" s="324"/>
      <c r="H44" s="329"/>
      <c r="I44" s="280">
        <f t="shared" si="3"/>
        <v>29</v>
      </c>
    </row>
    <row r="45" spans="1:9" x14ac:dyDescent="0.45">
      <c r="A45" s="276">
        <f t="shared" si="2"/>
        <v>30</v>
      </c>
      <c r="B45" s="390" t="str">
        <f>B22</f>
        <v>Section 5 - Interest True-Up Adjustment Cost Component</v>
      </c>
      <c r="C45" s="326">
        <f>'Pg3 Revised Appendix XII C2'!C44</f>
        <v>0</v>
      </c>
      <c r="D45" s="326"/>
      <c r="E45" s="326">
        <f>'Pg4 As Filed Appendix XII C2'!C44</f>
        <v>0</v>
      </c>
      <c r="F45" s="326"/>
      <c r="G45" s="326">
        <f>C45-E45</f>
        <v>0</v>
      </c>
      <c r="H45" s="8" t="s">
        <v>620</v>
      </c>
      <c r="I45" s="280">
        <f t="shared" si="3"/>
        <v>30</v>
      </c>
    </row>
    <row r="46" spans="1:9" x14ac:dyDescent="0.45">
      <c r="A46" s="276">
        <f t="shared" si="2"/>
        <v>31</v>
      </c>
      <c r="B46" s="393"/>
      <c r="C46" s="33"/>
      <c r="D46" s="32"/>
      <c r="E46" s="32"/>
      <c r="F46" s="32"/>
      <c r="G46" s="32"/>
      <c r="H46" s="332"/>
      <c r="I46" s="280">
        <f t="shared" si="3"/>
        <v>31</v>
      </c>
    </row>
    <row r="47" spans="1:9" x14ac:dyDescent="0.45">
      <c r="A47" s="276">
        <f t="shared" si="2"/>
        <v>32</v>
      </c>
      <c r="B47" s="295" t="str">
        <f>B26</f>
        <v>Other Adjustments</v>
      </c>
      <c r="C47" s="411">
        <f>'Pg3 Revised Appendix XII C2'!C46</f>
        <v>0</v>
      </c>
      <c r="D47" s="326"/>
      <c r="E47" s="411">
        <f>'Pg4 As Filed Appendix XII C2'!C46</f>
        <v>0</v>
      </c>
      <c r="F47" s="326"/>
      <c r="G47" s="411">
        <f>C47-E47</f>
        <v>0</v>
      </c>
      <c r="H47" s="8" t="s">
        <v>621</v>
      </c>
      <c r="I47" s="280">
        <f t="shared" si="3"/>
        <v>32</v>
      </c>
    </row>
    <row r="48" spans="1:9" x14ac:dyDescent="0.45">
      <c r="A48" s="276">
        <f t="shared" si="2"/>
        <v>33</v>
      </c>
      <c r="B48" s="297"/>
      <c r="C48" s="33"/>
      <c r="D48" s="32"/>
      <c r="E48" s="32"/>
      <c r="F48" s="32"/>
      <c r="G48" s="32"/>
      <c r="H48" s="332"/>
      <c r="I48" s="280">
        <f t="shared" si="3"/>
        <v>33</v>
      </c>
    </row>
    <row r="49" spans="1:9" ht="15.75" x14ac:dyDescent="0.5">
      <c r="A49" s="276">
        <f t="shared" si="2"/>
        <v>34</v>
      </c>
      <c r="B49" s="297" t="s">
        <v>276</v>
      </c>
      <c r="C49" s="408">
        <f>C41+C43+C45+C47</f>
        <v>75.593083209585487</v>
      </c>
      <c r="D49" s="29" t="s">
        <v>16</v>
      </c>
      <c r="E49" s="413">
        <f>E41+E43+E45+E47</f>
        <v>75.821720569928246</v>
      </c>
      <c r="F49" s="269"/>
      <c r="G49" s="408">
        <f>G41+G43+G45+G47</f>
        <v>-0.22863736034275917</v>
      </c>
      <c r="H49" s="300" t="str">
        <f>"Sum Lines "&amp;A41&amp;", "&amp;A43&amp;", "&amp;A45&amp;", "&amp;A47</f>
        <v>Sum Lines 26, 28, 30, 32</v>
      </c>
      <c r="I49" s="280">
        <f t="shared" si="3"/>
        <v>34</v>
      </c>
    </row>
    <row r="50" spans="1:9" x14ac:dyDescent="0.45">
      <c r="A50" s="276">
        <f t="shared" si="2"/>
        <v>35</v>
      </c>
      <c r="B50" s="373"/>
      <c r="C50" s="409"/>
      <c r="D50" s="335"/>
      <c r="E50" s="335"/>
      <c r="F50" s="335"/>
      <c r="G50" s="335"/>
      <c r="H50" s="336"/>
      <c r="I50" s="280">
        <f t="shared" si="3"/>
        <v>35</v>
      </c>
    </row>
    <row r="51" spans="1:9" x14ac:dyDescent="0.45">
      <c r="A51" s="276">
        <f t="shared" si="2"/>
        <v>36</v>
      </c>
      <c r="B51" s="391" t="s">
        <v>277</v>
      </c>
      <c r="C51" s="419">
        <f>'Pg3 Revised Appendix XII C2'!C50</f>
        <v>12</v>
      </c>
      <c r="D51" s="337"/>
      <c r="E51" s="419">
        <f>'Pg4 As Filed Appendix XII C2'!C50</f>
        <v>12</v>
      </c>
      <c r="F51" s="337"/>
      <c r="G51" s="420">
        <f>C51-E51</f>
        <v>0</v>
      </c>
      <c r="H51" s="336"/>
      <c r="I51" s="280">
        <f t="shared" si="3"/>
        <v>36</v>
      </c>
    </row>
    <row r="52" spans="1:9" x14ac:dyDescent="0.45">
      <c r="A52" s="276">
        <f t="shared" si="2"/>
        <v>37</v>
      </c>
      <c r="B52" s="373"/>
      <c r="C52" s="409"/>
      <c r="D52" s="335"/>
      <c r="E52" s="335"/>
      <c r="F52" s="335"/>
      <c r="G52" s="335"/>
      <c r="H52" s="338"/>
      <c r="I52" s="280">
        <f t="shared" si="3"/>
        <v>37</v>
      </c>
    </row>
    <row r="53" spans="1:9" ht="16.149999999999999" thickBot="1" x14ac:dyDescent="0.55000000000000004">
      <c r="A53" s="276">
        <f t="shared" si="2"/>
        <v>38</v>
      </c>
      <c r="B53" s="392" t="str">
        <f>B28</f>
        <v>Total Annual Costs</v>
      </c>
      <c r="C53" s="416">
        <f>C49*C51</f>
        <v>907.1169985150259</v>
      </c>
      <c r="D53" s="29" t="s">
        <v>16</v>
      </c>
      <c r="E53" s="652">
        <f>E49*E51</f>
        <v>909.86064683913901</v>
      </c>
      <c r="F53" s="269"/>
      <c r="G53" s="385">
        <f>C53-E53</f>
        <v>-2.74364832411311</v>
      </c>
      <c r="H53" s="8" t="s">
        <v>622</v>
      </c>
      <c r="I53" s="280">
        <f t="shared" si="3"/>
        <v>38</v>
      </c>
    </row>
    <row r="54" spans="1:9" ht="16.149999999999999" thickTop="1" thickBot="1" x14ac:dyDescent="0.5">
      <c r="A54" s="276">
        <f t="shared" si="2"/>
        <v>39</v>
      </c>
      <c r="B54" s="275"/>
      <c r="C54" s="415"/>
      <c r="D54" s="341"/>
      <c r="E54" s="341"/>
      <c r="F54" s="341"/>
      <c r="G54" s="341"/>
      <c r="H54" s="342"/>
      <c r="I54" s="280">
        <f t="shared" si="3"/>
        <v>39</v>
      </c>
    </row>
    <row r="56" spans="1:9" ht="15.75" x14ac:dyDescent="0.5">
      <c r="A56" s="29" t="s">
        <v>16</v>
      </c>
      <c r="B56" s="26" t="s">
        <v>388</v>
      </c>
    </row>
  </sheetData>
  <mergeCells count="5">
    <mergeCell ref="B2:H2"/>
    <mergeCell ref="B3:H3"/>
    <mergeCell ref="B4:H4"/>
    <mergeCell ref="B6:H6"/>
    <mergeCell ref="B5:H5"/>
  </mergeCells>
  <printOptions horizontalCentered="1"/>
  <pageMargins left="0.25" right="0.25" top="0.5" bottom="0.5" header="0.25" footer="0.25"/>
  <pageSetup scale="60" orientation="portrait" r:id="rId1"/>
  <headerFooter scaleWithDoc="0" alignWithMargins="0">
    <oddFooter>&amp;CPage 2&amp;R&amp;F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3863-31D3-4429-BB9D-AD6662235D39}">
  <sheetPr>
    <pageSetUpPr fitToPage="1"/>
  </sheetPr>
  <dimension ref="A1:J55"/>
  <sheetViews>
    <sheetView zoomScale="80" zoomScaleNormal="80" workbookViewId="0"/>
  </sheetViews>
  <sheetFormatPr defaultColWidth="8.73046875" defaultRowHeight="15.4" x14ac:dyDescent="0.45"/>
  <cols>
    <col min="1" max="1" width="5.1328125" style="43" customWidth="1"/>
    <col min="2" max="2" width="73.1328125" style="20" bestFit="1" customWidth="1"/>
    <col min="3" max="3" width="14.86328125" style="20" customWidth="1"/>
    <col min="4" max="4" width="1.59765625" style="20" customWidth="1"/>
    <col min="5" max="5" width="51.3984375" style="20" bestFit="1" customWidth="1"/>
    <col min="6" max="6" width="5.1328125" style="43" customWidth="1"/>
    <col min="7" max="16384" width="8.73046875" style="20"/>
  </cols>
  <sheetData>
    <row r="1" spans="1:8" x14ac:dyDescent="0.45">
      <c r="A1" s="272"/>
      <c r="B1" s="615"/>
      <c r="C1" s="615"/>
      <c r="D1" s="615"/>
      <c r="E1" s="614"/>
      <c r="F1" s="272"/>
    </row>
    <row r="2" spans="1:8" x14ac:dyDescent="0.45">
      <c r="A2" s="272"/>
      <c r="B2" s="762" t="s">
        <v>24</v>
      </c>
      <c r="C2" s="762"/>
      <c r="D2" s="762"/>
      <c r="E2" s="762"/>
      <c r="F2" s="615"/>
    </row>
    <row r="3" spans="1:8" x14ac:dyDescent="0.45">
      <c r="B3" s="762" t="s">
        <v>264</v>
      </c>
      <c r="C3" s="762"/>
      <c r="D3" s="762"/>
      <c r="E3" s="762"/>
      <c r="F3" s="620"/>
    </row>
    <row r="4" spans="1:8" x14ac:dyDescent="0.45">
      <c r="B4" s="762" t="s">
        <v>265</v>
      </c>
      <c r="C4" s="762"/>
      <c r="D4" s="762"/>
      <c r="E4" s="762"/>
      <c r="F4" s="620"/>
    </row>
    <row r="5" spans="1:8" x14ac:dyDescent="0.45">
      <c r="A5" s="272"/>
      <c r="B5" s="764" t="s">
        <v>492</v>
      </c>
      <c r="C5" s="764"/>
      <c r="D5" s="764"/>
      <c r="E5" s="764"/>
      <c r="F5" s="272"/>
    </row>
    <row r="6" spans="1:8" x14ac:dyDescent="0.45">
      <c r="B6" s="763" t="s">
        <v>1</v>
      </c>
      <c r="C6" s="762"/>
      <c r="D6" s="762"/>
      <c r="E6" s="762"/>
      <c r="F6" s="620"/>
    </row>
    <row r="7" spans="1:8" ht="15.75" thickBot="1" x14ac:dyDescent="0.5">
      <c r="A7" s="272"/>
      <c r="B7" s="615"/>
      <c r="C7" s="274"/>
      <c r="D7" s="275"/>
      <c r="E7" s="274"/>
      <c r="F7" s="272"/>
    </row>
    <row r="8" spans="1:8" x14ac:dyDescent="0.45">
      <c r="A8" s="276" t="s">
        <v>2</v>
      </c>
      <c r="B8" s="277"/>
      <c r="C8" s="278"/>
      <c r="D8" s="615"/>
      <c r="E8" s="279"/>
      <c r="F8" s="280" t="s">
        <v>2</v>
      </c>
    </row>
    <row r="9" spans="1:8" x14ac:dyDescent="0.45">
      <c r="A9" s="276" t="s">
        <v>6</v>
      </c>
      <c r="B9" s="642" t="s">
        <v>266</v>
      </c>
      <c r="C9" s="648" t="s">
        <v>4</v>
      </c>
      <c r="D9" s="649"/>
      <c r="E9" s="649" t="s">
        <v>5</v>
      </c>
      <c r="F9" s="280" t="s">
        <v>6</v>
      </c>
    </row>
    <row r="10" spans="1:8" x14ac:dyDescent="0.45">
      <c r="A10" s="276"/>
      <c r="B10" s="282"/>
      <c r="C10" s="283"/>
      <c r="D10" s="285"/>
      <c r="E10" s="285"/>
      <c r="F10" s="280"/>
    </row>
    <row r="11" spans="1:8" x14ac:dyDescent="0.45">
      <c r="A11" s="276">
        <v>1</v>
      </c>
      <c r="B11" s="286" t="s">
        <v>267</v>
      </c>
      <c r="C11" s="287">
        <v>0</v>
      </c>
      <c r="D11" s="288"/>
      <c r="E11" s="289" t="s">
        <v>493</v>
      </c>
      <c r="F11" s="280">
        <f>A11</f>
        <v>1</v>
      </c>
      <c r="H11" s="24"/>
    </row>
    <row r="12" spans="1:8" x14ac:dyDescent="0.45">
      <c r="A12" s="276">
        <f>A11+1</f>
        <v>2</v>
      </c>
      <c r="B12" s="290"/>
      <c r="C12" s="291"/>
      <c r="D12" s="292"/>
      <c r="E12" s="615"/>
      <c r="F12" s="280">
        <f>F11+1</f>
        <v>2</v>
      </c>
    </row>
    <row r="13" spans="1:8" ht="15.75" x14ac:dyDescent="0.5">
      <c r="A13" s="276">
        <f t="shared" ref="A13:A28" si="0">A12+1</f>
        <v>3</v>
      </c>
      <c r="B13" s="286" t="s">
        <v>268</v>
      </c>
      <c r="C13" s="293">
        <f>'Pg5 Rev B.Sec.2-Non-Direct Exp'!E35</f>
        <v>820.30914934542579</v>
      </c>
      <c r="D13" s="29" t="s">
        <v>16</v>
      </c>
      <c r="E13" s="289" t="s">
        <v>494</v>
      </c>
      <c r="F13" s="280">
        <f t="shared" ref="F13:F28" si="1">F12+1</f>
        <v>3</v>
      </c>
      <c r="H13" s="31"/>
    </row>
    <row r="14" spans="1:8" x14ac:dyDescent="0.45">
      <c r="A14" s="276">
        <f t="shared" si="0"/>
        <v>4</v>
      </c>
      <c r="B14" s="290"/>
      <c r="C14" s="291"/>
      <c r="D14" s="292"/>
      <c r="E14" s="294"/>
      <c r="F14" s="280">
        <f t="shared" si="1"/>
        <v>4</v>
      </c>
    </row>
    <row r="15" spans="1:8" x14ac:dyDescent="0.45">
      <c r="A15" s="276">
        <f t="shared" si="0"/>
        <v>5</v>
      </c>
      <c r="B15" s="295" t="s">
        <v>269</v>
      </c>
      <c r="C15" s="644">
        <v>86.807849169600004</v>
      </c>
      <c r="D15" s="296"/>
      <c r="E15" s="289" t="s">
        <v>495</v>
      </c>
      <c r="F15" s="280">
        <f t="shared" si="1"/>
        <v>5</v>
      </c>
      <c r="H15" s="31"/>
    </row>
    <row r="16" spans="1:8" x14ac:dyDescent="0.45">
      <c r="A16" s="276">
        <f t="shared" si="0"/>
        <v>6</v>
      </c>
      <c r="B16" s="297"/>
      <c r="C16" s="168"/>
      <c r="D16" s="296"/>
      <c r="E16" s="289"/>
      <c r="F16" s="280">
        <f t="shared" si="1"/>
        <v>6</v>
      </c>
      <c r="H16" s="31"/>
    </row>
    <row r="17" spans="1:10" ht="15.75" x14ac:dyDescent="0.5">
      <c r="A17" s="276">
        <f t="shared" si="0"/>
        <v>7</v>
      </c>
      <c r="B17" s="298" t="s">
        <v>442</v>
      </c>
      <c r="C17" s="299">
        <f>C11+C13+C15</f>
        <v>907.11699851502578</v>
      </c>
      <c r="D17" s="29" t="s">
        <v>16</v>
      </c>
      <c r="E17" s="300" t="s">
        <v>496</v>
      </c>
      <c r="F17" s="280">
        <f t="shared" si="1"/>
        <v>7</v>
      </c>
      <c r="H17" s="31"/>
    </row>
    <row r="18" spans="1:10" x14ac:dyDescent="0.45">
      <c r="A18" s="276">
        <f t="shared" si="0"/>
        <v>8</v>
      </c>
      <c r="B18" s="301"/>
      <c r="C18" s="291"/>
      <c r="D18" s="292"/>
      <c r="E18" s="302"/>
      <c r="F18" s="280">
        <f t="shared" si="1"/>
        <v>8</v>
      </c>
    </row>
    <row r="19" spans="1:10" x14ac:dyDescent="0.45">
      <c r="A19" s="276">
        <f t="shared" si="0"/>
        <v>9</v>
      </c>
      <c r="B19" s="286" t="s">
        <v>270</v>
      </c>
      <c r="C19" s="355">
        <v>0</v>
      </c>
      <c r="D19" s="296"/>
      <c r="E19" s="289" t="s">
        <v>497</v>
      </c>
      <c r="F19" s="280">
        <f t="shared" si="1"/>
        <v>9</v>
      </c>
    </row>
    <row r="20" spans="1:10" x14ac:dyDescent="0.45">
      <c r="A20" s="276">
        <f t="shared" si="0"/>
        <v>10</v>
      </c>
      <c r="B20" s="286"/>
      <c r="C20" s="291"/>
      <c r="D20" s="292"/>
      <c r="E20" s="303"/>
      <c r="F20" s="280">
        <f t="shared" si="1"/>
        <v>10</v>
      </c>
    </row>
    <row r="21" spans="1:10" x14ac:dyDescent="0.45">
      <c r="A21" s="276">
        <f t="shared" si="0"/>
        <v>11</v>
      </c>
      <c r="B21" s="286" t="s">
        <v>271</v>
      </c>
      <c r="C21" s="644">
        <v>0</v>
      </c>
      <c r="D21" s="296"/>
      <c r="E21" s="300" t="s">
        <v>498</v>
      </c>
      <c r="F21" s="280">
        <f t="shared" si="1"/>
        <v>11</v>
      </c>
    </row>
    <row r="22" spans="1:10" x14ac:dyDescent="0.45">
      <c r="A22" s="276">
        <f t="shared" si="0"/>
        <v>12</v>
      </c>
      <c r="B22" s="297"/>
      <c r="C22" s="304"/>
      <c r="D22" s="305"/>
      <c r="E22" s="300"/>
      <c r="F22" s="280">
        <f t="shared" si="1"/>
        <v>12</v>
      </c>
    </row>
    <row r="23" spans="1:10" ht="15.75" x14ac:dyDescent="0.5">
      <c r="A23" s="276">
        <f t="shared" si="0"/>
        <v>13</v>
      </c>
      <c r="B23" s="297" t="s">
        <v>272</v>
      </c>
      <c r="C23" s="122">
        <f>C17+C19+C21</f>
        <v>907.11699851502578</v>
      </c>
      <c r="D23" s="29" t="s">
        <v>16</v>
      </c>
      <c r="E23" s="300" t="s">
        <v>499</v>
      </c>
      <c r="F23" s="280">
        <f t="shared" si="1"/>
        <v>13</v>
      </c>
      <c r="H23" s="31"/>
    </row>
    <row r="24" spans="1:10" x14ac:dyDescent="0.45">
      <c r="A24" s="276">
        <f t="shared" si="0"/>
        <v>14</v>
      </c>
      <c r="B24" s="306"/>
      <c r="C24" s="100"/>
      <c r="D24" s="101"/>
      <c r="E24" s="300"/>
      <c r="F24" s="280">
        <f t="shared" si="1"/>
        <v>14</v>
      </c>
      <c r="H24" s="31"/>
    </row>
    <row r="25" spans="1:10" x14ac:dyDescent="0.45">
      <c r="A25" s="276">
        <f t="shared" si="0"/>
        <v>15</v>
      </c>
      <c r="B25" s="295" t="s">
        <v>273</v>
      </c>
      <c r="C25" s="645">
        <v>0</v>
      </c>
      <c r="D25" s="101"/>
      <c r="E25" s="300" t="s">
        <v>23</v>
      </c>
      <c r="F25" s="280">
        <f t="shared" si="1"/>
        <v>15</v>
      </c>
      <c r="H25" s="31"/>
    </row>
    <row r="26" spans="1:10" x14ac:dyDescent="0.45">
      <c r="A26" s="276">
        <f t="shared" si="0"/>
        <v>16</v>
      </c>
      <c r="B26" s="274"/>
      <c r="C26" s="307"/>
      <c r="D26" s="308"/>
      <c r="E26" s="300"/>
      <c r="F26" s="280">
        <f t="shared" si="1"/>
        <v>16</v>
      </c>
    </row>
    <row r="27" spans="1:10" ht="16.149999999999999" thickBot="1" x14ac:dyDescent="0.55000000000000004">
      <c r="A27" s="276">
        <f t="shared" si="0"/>
        <v>17</v>
      </c>
      <c r="B27" s="298" t="s">
        <v>274</v>
      </c>
      <c r="C27" s="309">
        <f>C23+C25</f>
        <v>907.11699851502578</v>
      </c>
      <c r="D27" s="29" t="s">
        <v>16</v>
      </c>
      <c r="E27" s="300" t="s">
        <v>500</v>
      </c>
      <c r="F27" s="280">
        <f t="shared" si="1"/>
        <v>17</v>
      </c>
      <c r="I27" s="24"/>
      <c r="J27" s="310"/>
    </row>
    <row r="28" spans="1:10" ht="16.149999999999999" thickTop="1" thickBot="1" x14ac:dyDescent="0.5">
      <c r="A28" s="276">
        <f t="shared" si="0"/>
        <v>18</v>
      </c>
      <c r="B28" s="311"/>
      <c r="C28" s="312"/>
      <c r="D28" s="358"/>
      <c r="E28" s="275"/>
      <c r="F28" s="280">
        <f t="shared" si="1"/>
        <v>18</v>
      </c>
    </row>
    <row r="30" spans="1:10" ht="15.75" thickBot="1" x14ac:dyDescent="0.5">
      <c r="A30" s="272"/>
      <c r="B30" s="313"/>
      <c r="C30" s="314"/>
      <c r="D30" s="314"/>
      <c r="E30" s="314"/>
      <c r="F30" s="272"/>
    </row>
    <row r="31" spans="1:10" x14ac:dyDescent="0.45">
      <c r="A31" s="276" t="s">
        <v>2</v>
      </c>
      <c r="B31" s="315"/>
      <c r="C31" s="278"/>
      <c r="D31" s="615"/>
      <c r="E31" s="615"/>
      <c r="F31" s="280" t="s">
        <v>2</v>
      </c>
    </row>
    <row r="32" spans="1:10" x14ac:dyDescent="0.45">
      <c r="A32" s="276" t="s">
        <v>6</v>
      </c>
      <c r="B32" s="642" t="s">
        <v>275</v>
      </c>
      <c r="C32" s="648" t="str">
        <f>C9</f>
        <v>Amounts</v>
      </c>
      <c r="D32" s="649"/>
      <c r="E32" s="649" t="str">
        <f>E9</f>
        <v>Reference</v>
      </c>
      <c r="F32" s="280" t="s">
        <v>6</v>
      </c>
    </row>
    <row r="33" spans="1:6" x14ac:dyDescent="0.45">
      <c r="A33" s="276">
        <f>A28+1</f>
        <v>19</v>
      </c>
      <c r="B33" s="316"/>
      <c r="C33" s="283"/>
      <c r="D33" s="285"/>
      <c r="E33" s="285"/>
      <c r="F33" s="280">
        <f>F28+1</f>
        <v>19</v>
      </c>
    </row>
    <row r="34" spans="1:6" x14ac:dyDescent="0.45">
      <c r="A34" s="276">
        <f>A33+1</f>
        <v>20</v>
      </c>
      <c r="B34" s="286" t="str">
        <f>B11</f>
        <v>Section 1 - Direct Maintenance Expense Cost Component</v>
      </c>
      <c r="C34" s="317">
        <f>C11/12</f>
        <v>0</v>
      </c>
      <c r="D34" s="318"/>
      <c r="E34" s="289" t="str">
        <f>"Line "&amp;A11&amp;" / "&amp;C50&amp;" Months"</f>
        <v>Line 1 / 12 Months</v>
      </c>
      <c r="F34" s="280">
        <f>F33+1</f>
        <v>20</v>
      </c>
    </row>
    <row r="35" spans="1:6" x14ac:dyDescent="0.45">
      <c r="A35" s="276">
        <f t="shared" ref="A35:A53" si="2">A34+1</f>
        <v>21</v>
      </c>
      <c r="B35" s="290"/>
      <c r="C35" s="319"/>
      <c r="D35" s="320"/>
      <c r="E35" s="321"/>
      <c r="F35" s="280">
        <f t="shared" ref="F35:F53" si="3">F34+1</f>
        <v>21</v>
      </c>
    </row>
    <row r="36" spans="1:6" ht="15.75" x14ac:dyDescent="0.5">
      <c r="A36" s="276">
        <f t="shared" si="2"/>
        <v>22</v>
      </c>
      <c r="B36" s="286" t="str">
        <f>B13</f>
        <v>Section 2 - Non-Direct Expense Cost Component</v>
      </c>
      <c r="C36" s="322">
        <f>C13/12</f>
        <v>68.359095778785488</v>
      </c>
      <c r="D36" s="29" t="s">
        <v>16</v>
      </c>
      <c r="E36" s="289" t="str">
        <f>"Line "&amp;A13&amp;" / "&amp;C50&amp;" Months"</f>
        <v>Line 3 / 12 Months</v>
      </c>
      <c r="F36" s="280">
        <f t="shared" si="3"/>
        <v>22</v>
      </c>
    </row>
    <row r="37" spans="1:6" x14ac:dyDescent="0.45">
      <c r="A37" s="276">
        <f t="shared" si="2"/>
        <v>23</v>
      </c>
      <c r="B37" s="290"/>
      <c r="C37" s="323"/>
      <c r="D37" s="406"/>
      <c r="E37" s="325"/>
      <c r="F37" s="280">
        <f t="shared" si="3"/>
        <v>23</v>
      </c>
    </row>
    <row r="38" spans="1:6" x14ac:dyDescent="0.45">
      <c r="A38" s="276">
        <f t="shared" si="2"/>
        <v>24</v>
      </c>
      <c r="B38" s="286" t="str">
        <f>B15</f>
        <v>Section 3 - Cost Component Containing Other Specific Expenses</v>
      </c>
      <c r="C38" s="646">
        <f>C15/12</f>
        <v>7.2339874308000001</v>
      </c>
      <c r="D38" s="326"/>
      <c r="E38" s="289" t="str">
        <f>"Line "&amp;A15&amp;" / "&amp;C50&amp;" Months"</f>
        <v>Line 5 / 12 Months</v>
      </c>
      <c r="F38" s="280">
        <f t="shared" si="3"/>
        <v>24</v>
      </c>
    </row>
    <row r="39" spans="1:6" x14ac:dyDescent="0.45">
      <c r="A39" s="276">
        <f t="shared" si="2"/>
        <v>25</v>
      </c>
      <c r="B39" s="301"/>
      <c r="C39" s="327"/>
      <c r="D39" s="324"/>
      <c r="E39" s="289"/>
      <c r="F39" s="280">
        <f t="shared" si="3"/>
        <v>25</v>
      </c>
    </row>
    <row r="40" spans="1:6" ht="15.75" x14ac:dyDescent="0.5">
      <c r="A40" s="276">
        <f t="shared" si="2"/>
        <v>26</v>
      </c>
      <c r="B40" s="298" t="s">
        <v>441</v>
      </c>
      <c r="C40" s="328">
        <f>C34+C36+C38</f>
        <v>75.593083209585487</v>
      </c>
      <c r="D40" s="29" t="s">
        <v>16</v>
      </c>
      <c r="E40" s="300" t="str">
        <f>"Sum Lines "&amp;A34&amp;", "&amp;A36&amp;", "&amp;A38</f>
        <v>Sum Lines 20, 22, 24</v>
      </c>
      <c r="F40" s="280">
        <f t="shared" si="3"/>
        <v>26</v>
      </c>
    </row>
    <row r="41" spans="1:6" x14ac:dyDescent="0.45">
      <c r="A41" s="276">
        <f t="shared" si="2"/>
        <v>27</v>
      </c>
      <c r="B41" s="316"/>
      <c r="C41" s="323"/>
      <c r="D41" s="406"/>
      <c r="E41" s="294"/>
      <c r="F41" s="280">
        <f t="shared" si="3"/>
        <v>27</v>
      </c>
    </row>
    <row r="42" spans="1:6" x14ac:dyDescent="0.45">
      <c r="A42" s="276">
        <f t="shared" si="2"/>
        <v>28</v>
      </c>
      <c r="B42" s="286" t="str">
        <f>LEFT(B19,45)</f>
        <v>Section 4 - True-Up Adjustment Cost Component</v>
      </c>
      <c r="C42" s="330">
        <f>C19/12</f>
        <v>0</v>
      </c>
      <c r="D42" s="326"/>
      <c r="E42" s="289" t="str">
        <f>"Line "&amp;A19&amp;" / "&amp;C50&amp;" Months"</f>
        <v>Line 9 / 12 Months</v>
      </c>
      <c r="F42" s="280">
        <f t="shared" si="3"/>
        <v>28</v>
      </c>
    </row>
    <row r="43" spans="1:6" x14ac:dyDescent="0.45">
      <c r="A43" s="276">
        <f t="shared" si="2"/>
        <v>29</v>
      </c>
      <c r="B43" s="286"/>
      <c r="C43" s="323"/>
      <c r="D43" s="406"/>
      <c r="E43" s="329"/>
      <c r="F43" s="280">
        <f t="shared" si="3"/>
        <v>29</v>
      </c>
    </row>
    <row r="44" spans="1:6" x14ac:dyDescent="0.45">
      <c r="A44" s="276">
        <f t="shared" si="2"/>
        <v>30</v>
      </c>
      <c r="B44" s="286" t="str">
        <f>B21</f>
        <v>Section 5 - Interest True-Up Adjustment Cost Component</v>
      </c>
      <c r="C44" s="330">
        <f>C21/12</f>
        <v>0</v>
      </c>
      <c r="D44" s="326"/>
      <c r="E44" s="300" t="str">
        <f>"Line "&amp;A21&amp;" / "&amp;C50&amp;" Months"</f>
        <v>Line 11 / 12 Months</v>
      </c>
      <c r="F44" s="280">
        <f t="shared" si="3"/>
        <v>30</v>
      </c>
    </row>
    <row r="45" spans="1:6" x14ac:dyDescent="0.45">
      <c r="A45" s="276">
        <f t="shared" si="2"/>
        <v>31</v>
      </c>
      <c r="B45" s="301"/>
      <c r="C45" s="331"/>
      <c r="D45" s="33"/>
      <c r="E45" s="332"/>
      <c r="F45" s="280">
        <f t="shared" si="3"/>
        <v>31</v>
      </c>
    </row>
    <row r="46" spans="1:6" x14ac:dyDescent="0.45">
      <c r="A46" s="276">
        <f t="shared" si="2"/>
        <v>32</v>
      </c>
      <c r="B46" s="295" t="str">
        <f>B25</f>
        <v>Other Adjustments</v>
      </c>
      <c r="C46" s="646">
        <f>C25/12</f>
        <v>0</v>
      </c>
      <c r="D46" s="326"/>
      <c r="E46" s="300" t="str">
        <f>"Line "&amp;A25&amp;" / "&amp;C50&amp;" Months"</f>
        <v>Line 15 / 12 Months</v>
      </c>
      <c r="F46" s="280">
        <f t="shared" si="3"/>
        <v>32</v>
      </c>
    </row>
    <row r="47" spans="1:6" x14ac:dyDescent="0.45">
      <c r="A47" s="276">
        <f t="shared" si="2"/>
        <v>33</v>
      </c>
      <c r="B47" s="297"/>
      <c r="C47" s="331"/>
      <c r="D47" s="33"/>
      <c r="E47" s="332"/>
      <c r="F47" s="280">
        <f t="shared" si="3"/>
        <v>33</v>
      </c>
    </row>
    <row r="48" spans="1:6" ht="16.149999999999999" thickBot="1" x14ac:dyDescent="0.55000000000000004">
      <c r="A48" s="276">
        <f t="shared" si="2"/>
        <v>34</v>
      </c>
      <c r="B48" s="297" t="s">
        <v>276</v>
      </c>
      <c r="C48" s="333">
        <f>C40+C42+C44+C46</f>
        <v>75.593083209585487</v>
      </c>
      <c r="D48" s="29" t="s">
        <v>16</v>
      </c>
      <c r="E48" s="300" t="str">
        <f>"Sum Lines "&amp;A40&amp;", "&amp;A42&amp;", "&amp;A44&amp;", "&amp;A46</f>
        <v>Sum Lines 26, 28, 30, 32</v>
      </c>
      <c r="F48" s="280">
        <f t="shared" si="3"/>
        <v>34</v>
      </c>
    </row>
    <row r="49" spans="1:6" ht="15.75" thickTop="1" x14ac:dyDescent="0.45">
      <c r="A49" s="276">
        <f t="shared" si="2"/>
        <v>35</v>
      </c>
      <c r="B49" s="316"/>
      <c r="C49" s="334"/>
      <c r="D49" s="409"/>
      <c r="E49" s="336"/>
      <c r="F49" s="280">
        <f t="shared" si="3"/>
        <v>35</v>
      </c>
    </row>
    <row r="50" spans="1:6" x14ac:dyDescent="0.45">
      <c r="A50" s="276">
        <f t="shared" si="2"/>
        <v>36</v>
      </c>
      <c r="B50" s="290" t="s">
        <v>277</v>
      </c>
      <c r="C50" s="647">
        <v>12</v>
      </c>
      <c r="D50" s="337"/>
      <c r="E50" s="336"/>
      <c r="F50" s="280">
        <f t="shared" si="3"/>
        <v>36</v>
      </c>
    </row>
    <row r="51" spans="1:6" x14ac:dyDescent="0.45">
      <c r="A51" s="276">
        <f t="shared" si="2"/>
        <v>37</v>
      </c>
      <c r="B51" s="316"/>
      <c r="C51" s="334"/>
      <c r="D51" s="409"/>
      <c r="E51" s="338"/>
      <c r="F51" s="280">
        <f t="shared" si="3"/>
        <v>37</v>
      </c>
    </row>
    <row r="52" spans="1:6" ht="16.149999999999999" thickBot="1" x14ac:dyDescent="0.55000000000000004">
      <c r="A52" s="276">
        <f t="shared" si="2"/>
        <v>38</v>
      </c>
      <c r="B52" s="298" t="str">
        <f>B27</f>
        <v>Total Annual Costs</v>
      </c>
      <c r="C52" s="339">
        <f>C48*C50</f>
        <v>907.1169985150259</v>
      </c>
      <c r="D52" s="29" t="s">
        <v>16</v>
      </c>
      <c r="E52" s="300" t="str">
        <f>"Line "&amp;A48&amp;" x Line "&amp;A50</f>
        <v>Line 34 x Line 36</v>
      </c>
      <c r="F52" s="280">
        <f t="shared" si="3"/>
        <v>38</v>
      </c>
    </row>
    <row r="53" spans="1:6" ht="16.149999999999999" thickTop="1" thickBot="1" x14ac:dyDescent="0.5">
      <c r="A53" s="276">
        <f t="shared" si="2"/>
        <v>39</v>
      </c>
      <c r="B53" s="275"/>
      <c r="C53" s="340"/>
      <c r="D53" s="650"/>
      <c r="E53" s="342"/>
      <c r="F53" s="280">
        <f t="shared" si="3"/>
        <v>39</v>
      </c>
    </row>
    <row r="55" spans="1:6" ht="15.75" x14ac:dyDescent="0.5">
      <c r="A55" s="29" t="s">
        <v>16</v>
      </c>
      <c r="B55" s="26" t="s">
        <v>388</v>
      </c>
    </row>
  </sheetData>
  <mergeCells count="5">
    <mergeCell ref="B2:E2"/>
    <mergeCell ref="B3:E3"/>
    <mergeCell ref="B4:E4"/>
    <mergeCell ref="B5:E5"/>
    <mergeCell ref="B6:E6"/>
  </mergeCells>
  <printOptions horizontalCentered="1"/>
  <pageMargins left="0.25" right="0.25" top="0.5" bottom="0.5" header="0.35" footer="0.25"/>
  <pageSetup scale="67" orientation="portrait" r:id="rId1"/>
  <headerFooter scaleWithDoc="0" alignWithMargins="0">
    <oddHeader>&amp;C&amp;"Times New Roman,Bold"REVISED</oddHeader>
    <oddFooter>&amp;CPage 3&amp;R&amp;F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D66F-B29C-4CA8-8780-A2635AF8E741}">
  <sheetPr>
    <pageSetUpPr fitToPage="1"/>
  </sheetPr>
  <dimension ref="A1:I53"/>
  <sheetViews>
    <sheetView zoomScale="80" zoomScaleNormal="80" workbookViewId="0"/>
  </sheetViews>
  <sheetFormatPr defaultColWidth="8.73046875" defaultRowHeight="15.4" x14ac:dyDescent="0.45"/>
  <cols>
    <col min="1" max="1" width="5.1328125" style="43" customWidth="1"/>
    <col min="2" max="2" width="73.1328125" style="20" bestFit="1" customWidth="1"/>
    <col min="3" max="3" width="14.86328125" style="20" customWidth="1"/>
    <col min="4" max="4" width="51.3984375" style="20" bestFit="1" customWidth="1"/>
    <col min="5" max="5" width="5.1328125" style="43" customWidth="1"/>
    <col min="6" max="16384" width="8.73046875" style="20"/>
  </cols>
  <sheetData>
    <row r="1" spans="1:7" x14ac:dyDescent="0.45">
      <c r="A1" s="272"/>
      <c r="B1" s="615"/>
      <c r="C1" s="615"/>
      <c r="D1" s="614"/>
      <c r="E1" s="272"/>
    </row>
    <row r="2" spans="1:7" x14ac:dyDescent="0.45">
      <c r="A2" s="272"/>
      <c r="B2" s="762" t="s">
        <v>24</v>
      </c>
      <c r="C2" s="762"/>
      <c r="D2" s="762"/>
      <c r="E2" s="615"/>
    </row>
    <row r="3" spans="1:7" x14ac:dyDescent="0.45">
      <c r="B3" s="762" t="s">
        <v>264</v>
      </c>
      <c r="C3" s="762"/>
      <c r="D3" s="762"/>
      <c r="E3" s="620"/>
    </row>
    <row r="4" spans="1:7" x14ac:dyDescent="0.45">
      <c r="B4" s="762" t="s">
        <v>265</v>
      </c>
      <c r="C4" s="762"/>
      <c r="D4" s="762"/>
      <c r="E4" s="620"/>
    </row>
    <row r="5" spans="1:7" x14ac:dyDescent="0.45">
      <c r="A5" s="272"/>
      <c r="B5" s="764" t="s">
        <v>492</v>
      </c>
      <c r="C5" s="764"/>
      <c r="D5" s="764"/>
      <c r="E5" s="272"/>
    </row>
    <row r="6" spans="1:7" x14ac:dyDescent="0.45">
      <c r="B6" s="763" t="s">
        <v>1</v>
      </c>
      <c r="C6" s="762"/>
      <c r="D6" s="762"/>
      <c r="E6" s="620"/>
    </row>
    <row r="7" spans="1:7" ht="15.75" thickBot="1" x14ac:dyDescent="0.5">
      <c r="A7" s="272"/>
      <c r="B7" s="615"/>
      <c r="C7" s="274"/>
      <c r="D7" s="274"/>
      <c r="E7" s="272"/>
    </row>
    <row r="8" spans="1:7" x14ac:dyDescent="0.45">
      <c r="A8" s="276" t="s">
        <v>2</v>
      </c>
      <c r="B8" s="277"/>
      <c r="C8" s="343"/>
      <c r="D8" s="344"/>
      <c r="E8" s="280" t="s">
        <v>2</v>
      </c>
    </row>
    <row r="9" spans="1:7" x14ac:dyDescent="0.45">
      <c r="A9" s="276" t="s">
        <v>6</v>
      </c>
      <c r="B9" s="642" t="s">
        <v>266</v>
      </c>
      <c r="C9" s="642" t="s">
        <v>4</v>
      </c>
      <c r="D9" s="643" t="s">
        <v>5</v>
      </c>
      <c r="E9" s="280" t="s">
        <v>6</v>
      </c>
    </row>
    <row r="10" spans="1:7" x14ac:dyDescent="0.45">
      <c r="A10" s="276"/>
      <c r="B10" s="282"/>
      <c r="C10" s="345"/>
      <c r="D10" s="346"/>
      <c r="E10" s="280"/>
    </row>
    <row r="11" spans="1:7" x14ac:dyDescent="0.45">
      <c r="A11" s="276">
        <v>1</v>
      </c>
      <c r="B11" s="286" t="s">
        <v>267</v>
      </c>
      <c r="C11" s="347">
        <v>0</v>
      </c>
      <c r="D11" s="348" t="s">
        <v>493</v>
      </c>
      <c r="E11" s="280">
        <f>A11</f>
        <v>1</v>
      </c>
      <c r="G11" s="24"/>
    </row>
    <row r="12" spans="1:7" x14ac:dyDescent="0.45">
      <c r="A12" s="276">
        <f>A11+1</f>
        <v>2</v>
      </c>
      <c r="B12" s="290"/>
      <c r="C12" s="349"/>
      <c r="D12" s="350"/>
      <c r="E12" s="280">
        <f>E11+1</f>
        <v>2</v>
      </c>
    </row>
    <row r="13" spans="1:7" x14ac:dyDescent="0.45">
      <c r="A13" s="276">
        <f t="shared" ref="A13:A28" si="0">A12+1</f>
        <v>3</v>
      </c>
      <c r="B13" s="286" t="s">
        <v>268</v>
      </c>
      <c r="C13" s="351">
        <v>823.05279766953902</v>
      </c>
      <c r="D13" s="348" t="s">
        <v>494</v>
      </c>
      <c r="E13" s="280">
        <f t="shared" ref="E13:E28" si="1">E12+1</f>
        <v>3</v>
      </c>
      <c r="G13" s="31"/>
    </row>
    <row r="14" spans="1:7" x14ac:dyDescent="0.45">
      <c r="A14" s="276">
        <f t="shared" si="0"/>
        <v>4</v>
      </c>
      <c r="B14" s="290"/>
      <c r="C14" s="349"/>
      <c r="D14" s="352"/>
      <c r="E14" s="280">
        <f t="shared" si="1"/>
        <v>4</v>
      </c>
    </row>
    <row r="15" spans="1:7" x14ac:dyDescent="0.45">
      <c r="A15" s="276">
        <f t="shared" si="0"/>
        <v>5</v>
      </c>
      <c r="B15" s="295" t="s">
        <v>269</v>
      </c>
      <c r="C15" s="644">
        <v>86.807849169600004</v>
      </c>
      <c r="D15" s="289" t="s">
        <v>495</v>
      </c>
      <c r="E15" s="280">
        <f t="shared" si="1"/>
        <v>5</v>
      </c>
      <c r="G15" s="31"/>
    </row>
    <row r="16" spans="1:7" x14ac:dyDescent="0.45">
      <c r="A16" s="276">
        <f t="shared" si="0"/>
        <v>6</v>
      </c>
      <c r="B16" s="297"/>
      <c r="C16" s="168"/>
      <c r="D16" s="289"/>
      <c r="E16" s="280">
        <f t="shared" si="1"/>
        <v>6</v>
      </c>
      <c r="G16" s="31"/>
    </row>
    <row r="17" spans="1:9" x14ac:dyDescent="0.45">
      <c r="A17" s="276">
        <f t="shared" si="0"/>
        <v>7</v>
      </c>
      <c r="B17" s="298" t="s">
        <v>442</v>
      </c>
      <c r="C17" s="353">
        <f>C11+C13+C15</f>
        <v>909.86064683913901</v>
      </c>
      <c r="D17" s="300" t="s">
        <v>496</v>
      </c>
      <c r="E17" s="280">
        <f t="shared" si="1"/>
        <v>7</v>
      </c>
      <c r="G17" s="31"/>
    </row>
    <row r="18" spans="1:9" x14ac:dyDescent="0.45">
      <c r="A18" s="276">
        <f t="shared" si="0"/>
        <v>8</v>
      </c>
      <c r="B18" s="301"/>
      <c r="C18" s="349"/>
      <c r="D18" s="354"/>
      <c r="E18" s="280">
        <f t="shared" si="1"/>
        <v>8</v>
      </c>
    </row>
    <row r="19" spans="1:9" x14ac:dyDescent="0.45">
      <c r="A19" s="276">
        <f t="shared" si="0"/>
        <v>9</v>
      </c>
      <c r="B19" s="286" t="s">
        <v>270</v>
      </c>
      <c r="C19" s="355">
        <v>0</v>
      </c>
      <c r="D19" s="289" t="s">
        <v>497</v>
      </c>
      <c r="E19" s="280">
        <f t="shared" si="1"/>
        <v>9</v>
      </c>
    </row>
    <row r="20" spans="1:9" x14ac:dyDescent="0.45">
      <c r="A20" s="276">
        <f t="shared" si="0"/>
        <v>10</v>
      </c>
      <c r="B20" s="286"/>
      <c r="C20" s="349"/>
      <c r="D20" s="356"/>
      <c r="E20" s="280">
        <f t="shared" si="1"/>
        <v>10</v>
      </c>
    </row>
    <row r="21" spans="1:9" x14ac:dyDescent="0.45">
      <c r="A21" s="276">
        <f t="shared" si="0"/>
        <v>11</v>
      </c>
      <c r="B21" s="286" t="s">
        <v>271</v>
      </c>
      <c r="C21" s="644">
        <v>0</v>
      </c>
      <c r="D21" s="300" t="s">
        <v>498</v>
      </c>
      <c r="E21" s="280">
        <f t="shared" si="1"/>
        <v>11</v>
      </c>
    </row>
    <row r="22" spans="1:9" x14ac:dyDescent="0.45">
      <c r="A22" s="276">
        <f t="shared" si="0"/>
        <v>12</v>
      </c>
      <c r="B22" s="297"/>
      <c r="C22" s="304"/>
      <c r="D22" s="357"/>
      <c r="E22" s="280">
        <f t="shared" si="1"/>
        <v>12</v>
      </c>
    </row>
    <row r="23" spans="1:9" x14ac:dyDescent="0.45">
      <c r="A23" s="276">
        <f t="shared" si="0"/>
        <v>13</v>
      </c>
      <c r="B23" s="297" t="s">
        <v>272</v>
      </c>
      <c r="C23" s="98">
        <f>C17+C19+C21</f>
        <v>909.86064683913901</v>
      </c>
      <c r="D23" s="300" t="s">
        <v>499</v>
      </c>
      <c r="E23" s="280">
        <f t="shared" si="1"/>
        <v>13</v>
      </c>
      <c r="G23" s="31"/>
    </row>
    <row r="24" spans="1:9" x14ac:dyDescent="0.45">
      <c r="A24" s="276">
        <f t="shared" si="0"/>
        <v>14</v>
      </c>
      <c r="B24" s="306"/>
      <c r="C24" s="100"/>
      <c r="D24" s="300"/>
      <c r="E24" s="280">
        <f t="shared" si="1"/>
        <v>14</v>
      </c>
      <c r="G24" s="31"/>
    </row>
    <row r="25" spans="1:9" x14ac:dyDescent="0.45">
      <c r="A25" s="276">
        <f t="shared" si="0"/>
        <v>15</v>
      </c>
      <c r="B25" s="295" t="s">
        <v>273</v>
      </c>
      <c r="C25" s="645">
        <v>0</v>
      </c>
      <c r="D25" s="300" t="s">
        <v>23</v>
      </c>
      <c r="E25" s="280">
        <f t="shared" si="1"/>
        <v>15</v>
      </c>
      <c r="G25" s="31"/>
    </row>
    <row r="26" spans="1:9" x14ac:dyDescent="0.45">
      <c r="A26" s="276">
        <f t="shared" si="0"/>
        <v>16</v>
      </c>
      <c r="B26" s="274"/>
      <c r="C26" s="307"/>
      <c r="D26" s="357"/>
      <c r="E26" s="280">
        <f t="shared" si="1"/>
        <v>16</v>
      </c>
    </row>
    <row r="27" spans="1:9" ht="15.75" thickBot="1" x14ac:dyDescent="0.5">
      <c r="A27" s="276">
        <f t="shared" si="0"/>
        <v>17</v>
      </c>
      <c r="B27" s="298" t="s">
        <v>274</v>
      </c>
      <c r="C27" s="309">
        <f>C23+C25</f>
        <v>909.86064683913901</v>
      </c>
      <c r="D27" s="357" t="s">
        <v>500</v>
      </c>
      <c r="E27" s="280">
        <f t="shared" si="1"/>
        <v>17</v>
      </c>
      <c r="H27" s="24"/>
      <c r="I27" s="310"/>
    </row>
    <row r="28" spans="1:9" ht="16.149999999999999" thickTop="1" thickBot="1" x14ac:dyDescent="0.5">
      <c r="A28" s="276">
        <f t="shared" si="0"/>
        <v>18</v>
      </c>
      <c r="B28" s="311"/>
      <c r="C28" s="311"/>
      <c r="D28" s="358"/>
      <c r="E28" s="280">
        <f t="shared" si="1"/>
        <v>18</v>
      </c>
    </row>
    <row r="30" spans="1:9" ht="15.75" thickBot="1" x14ac:dyDescent="0.5">
      <c r="A30" s="272"/>
      <c r="B30" s="313"/>
      <c r="C30" s="314"/>
      <c r="D30" s="314"/>
      <c r="E30" s="272"/>
    </row>
    <row r="31" spans="1:9" x14ac:dyDescent="0.45">
      <c r="A31" s="276" t="s">
        <v>2</v>
      </c>
      <c r="B31" s="315"/>
      <c r="C31" s="315"/>
      <c r="D31" s="350"/>
      <c r="E31" s="280" t="s">
        <v>2</v>
      </c>
    </row>
    <row r="32" spans="1:9" x14ac:dyDescent="0.45">
      <c r="A32" s="276" t="s">
        <v>6</v>
      </c>
      <c r="B32" s="642" t="s">
        <v>275</v>
      </c>
      <c r="C32" s="642" t="str">
        <f>C9</f>
        <v>Amounts</v>
      </c>
      <c r="D32" s="643" t="str">
        <f>D9</f>
        <v>Reference</v>
      </c>
      <c r="E32" s="280" t="s">
        <v>6</v>
      </c>
    </row>
    <row r="33" spans="1:5" x14ac:dyDescent="0.45">
      <c r="A33" s="276">
        <f>A28+1</f>
        <v>19</v>
      </c>
      <c r="B33" s="316"/>
      <c r="C33" s="345"/>
      <c r="D33" s="346"/>
      <c r="E33" s="280">
        <f>E28+1</f>
        <v>19</v>
      </c>
    </row>
    <row r="34" spans="1:5" x14ac:dyDescent="0.45">
      <c r="A34" s="276">
        <f>A33+1</f>
        <v>20</v>
      </c>
      <c r="B34" s="286" t="str">
        <f>B11</f>
        <v>Section 1 - Direct Maintenance Expense Cost Component</v>
      </c>
      <c r="C34" s="359">
        <f>C11/12</f>
        <v>0</v>
      </c>
      <c r="D34" s="348" t="str">
        <f>"Line "&amp;A11&amp;" / "&amp;C50&amp;" Months"</f>
        <v>Line 1 / 12 Months</v>
      </c>
      <c r="E34" s="280">
        <f>E33+1</f>
        <v>20</v>
      </c>
    </row>
    <row r="35" spans="1:5" x14ac:dyDescent="0.45">
      <c r="A35" s="276">
        <f t="shared" ref="A35:A53" si="2">A34+1</f>
        <v>21</v>
      </c>
      <c r="B35" s="290"/>
      <c r="C35" s="360"/>
      <c r="D35" s="361"/>
      <c r="E35" s="280">
        <f t="shared" ref="E35:E53" si="3">E34+1</f>
        <v>21</v>
      </c>
    </row>
    <row r="36" spans="1:5" x14ac:dyDescent="0.45">
      <c r="A36" s="276">
        <f t="shared" si="2"/>
        <v>22</v>
      </c>
      <c r="B36" s="286" t="str">
        <f>B13</f>
        <v>Section 2 - Non-Direct Expense Cost Component</v>
      </c>
      <c r="C36" s="362">
        <f>C13/12</f>
        <v>68.587733139128247</v>
      </c>
      <c r="D36" s="348" t="str">
        <f>"Line "&amp;A13&amp;" / "&amp;C50&amp;" Months"</f>
        <v>Line 3 / 12 Months</v>
      </c>
      <c r="E36" s="280">
        <f t="shared" si="3"/>
        <v>22</v>
      </c>
    </row>
    <row r="37" spans="1:5" x14ac:dyDescent="0.45">
      <c r="A37" s="276">
        <f t="shared" si="2"/>
        <v>23</v>
      </c>
      <c r="B37" s="290"/>
      <c r="C37" s="363"/>
      <c r="D37" s="364"/>
      <c r="E37" s="280">
        <f t="shared" si="3"/>
        <v>23</v>
      </c>
    </row>
    <row r="38" spans="1:5" x14ac:dyDescent="0.45">
      <c r="A38" s="276">
        <f t="shared" si="2"/>
        <v>24</v>
      </c>
      <c r="B38" s="286" t="str">
        <f>B15</f>
        <v>Section 3 - Cost Component Containing Other Specific Expenses</v>
      </c>
      <c r="C38" s="646">
        <f>C15/12</f>
        <v>7.2339874308000001</v>
      </c>
      <c r="D38" s="348" t="str">
        <f>"Line "&amp;A15&amp;" / "&amp;C50&amp;" Months"</f>
        <v>Line 5 / 12 Months</v>
      </c>
      <c r="E38" s="280">
        <f t="shared" si="3"/>
        <v>24</v>
      </c>
    </row>
    <row r="39" spans="1:5" x14ac:dyDescent="0.45">
      <c r="A39" s="276">
        <f t="shared" si="2"/>
        <v>25</v>
      </c>
      <c r="B39" s="301"/>
      <c r="C39" s="365"/>
      <c r="D39" s="348"/>
      <c r="E39" s="280">
        <f t="shared" si="3"/>
        <v>25</v>
      </c>
    </row>
    <row r="40" spans="1:5" x14ac:dyDescent="0.45">
      <c r="A40" s="276">
        <f t="shared" si="2"/>
        <v>26</v>
      </c>
      <c r="B40" s="298" t="s">
        <v>441</v>
      </c>
      <c r="C40" s="366">
        <f>C34+C36+C38</f>
        <v>75.821720569928246</v>
      </c>
      <c r="D40" s="300" t="str">
        <f>"Sum Lines "&amp;A34&amp;", "&amp;A36&amp;", "&amp;A38</f>
        <v>Sum Lines 20, 22, 24</v>
      </c>
      <c r="E40" s="280">
        <f t="shared" si="3"/>
        <v>26</v>
      </c>
    </row>
    <row r="41" spans="1:5" x14ac:dyDescent="0.45">
      <c r="A41" s="276">
        <f t="shared" si="2"/>
        <v>27</v>
      </c>
      <c r="B41" s="316"/>
      <c r="C41" s="363"/>
      <c r="D41" s="352"/>
      <c r="E41" s="280">
        <f t="shared" si="3"/>
        <v>27</v>
      </c>
    </row>
    <row r="42" spans="1:5" x14ac:dyDescent="0.45">
      <c r="A42" s="276">
        <f t="shared" si="2"/>
        <v>28</v>
      </c>
      <c r="B42" s="286" t="str">
        <f>LEFT(B19,45)</f>
        <v>Section 4 - True-Up Adjustment Cost Component</v>
      </c>
      <c r="C42" s="362">
        <f>C19/12</f>
        <v>0</v>
      </c>
      <c r="D42" s="348" t="str">
        <f>"Line "&amp;A19&amp;" / "&amp;C50&amp;" Months"</f>
        <v>Line 9 / 12 Months</v>
      </c>
      <c r="E42" s="280">
        <f t="shared" si="3"/>
        <v>28</v>
      </c>
    </row>
    <row r="43" spans="1:5" x14ac:dyDescent="0.45">
      <c r="A43" s="276">
        <f t="shared" si="2"/>
        <v>29</v>
      </c>
      <c r="B43" s="286"/>
      <c r="C43" s="363"/>
      <c r="D43" s="367"/>
      <c r="E43" s="280">
        <f t="shared" si="3"/>
        <v>29</v>
      </c>
    </row>
    <row r="44" spans="1:5" x14ac:dyDescent="0.45">
      <c r="A44" s="276">
        <f t="shared" si="2"/>
        <v>30</v>
      </c>
      <c r="B44" s="286" t="str">
        <f>B21</f>
        <v>Section 5 - Interest True-Up Adjustment Cost Component</v>
      </c>
      <c r="C44" s="362">
        <f>C21/12</f>
        <v>0</v>
      </c>
      <c r="D44" s="357" t="str">
        <f>"Line "&amp;A21&amp;" / "&amp;C50&amp;" Months"</f>
        <v>Line 11 / 12 Months</v>
      </c>
      <c r="E44" s="280">
        <f t="shared" si="3"/>
        <v>30</v>
      </c>
    </row>
    <row r="45" spans="1:5" x14ac:dyDescent="0.45">
      <c r="A45" s="276">
        <f t="shared" si="2"/>
        <v>31</v>
      </c>
      <c r="B45" s="301"/>
      <c r="C45" s="331"/>
      <c r="D45" s="368"/>
      <c r="E45" s="280">
        <f t="shared" si="3"/>
        <v>31</v>
      </c>
    </row>
    <row r="46" spans="1:5" x14ac:dyDescent="0.45">
      <c r="A46" s="276">
        <f t="shared" si="2"/>
        <v>32</v>
      </c>
      <c r="B46" s="295" t="str">
        <f>B25</f>
        <v>Other Adjustments</v>
      </c>
      <c r="C46" s="646">
        <f>C25/12</f>
        <v>0</v>
      </c>
      <c r="D46" s="357" t="str">
        <f>"Line "&amp;A25&amp;" / "&amp;C50&amp;" Months"</f>
        <v>Line 15 / 12 Months</v>
      </c>
      <c r="E46" s="280">
        <f t="shared" si="3"/>
        <v>32</v>
      </c>
    </row>
    <row r="47" spans="1:5" x14ac:dyDescent="0.45">
      <c r="A47" s="276">
        <f t="shared" si="2"/>
        <v>33</v>
      </c>
      <c r="B47" s="297"/>
      <c r="C47" s="331"/>
      <c r="D47" s="332"/>
      <c r="E47" s="280">
        <f t="shared" si="3"/>
        <v>33</v>
      </c>
    </row>
    <row r="48" spans="1:5" ht="15.75" thickBot="1" x14ac:dyDescent="0.5">
      <c r="A48" s="276">
        <f t="shared" si="2"/>
        <v>34</v>
      </c>
      <c r="B48" s="297" t="s">
        <v>276</v>
      </c>
      <c r="C48" s="333">
        <f>C40+C42+C44+C46</f>
        <v>75.821720569928246</v>
      </c>
      <c r="D48" s="300" t="str">
        <f>"Sum Lines "&amp;A40&amp;", "&amp;A42&amp;", "&amp;A44&amp;", "&amp;A46</f>
        <v>Sum Lines 26, 28, 30, 32</v>
      </c>
      <c r="E48" s="280">
        <f t="shared" si="3"/>
        <v>34</v>
      </c>
    </row>
    <row r="49" spans="1:5" ht="15.75" thickTop="1" x14ac:dyDescent="0.45">
      <c r="A49" s="276">
        <f t="shared" si="2"/>
        <v>35</v>
      </c>
      <c r="B49" s="316"/>
      <c r="C49" s="334"/>
      <c r="D49" s="369"/>
      <c r="E49" s="280">
        <f t="shared" si="3"/>
        <v>35</v>
      </c>
    </row>
    <row r="50" spans="1:5" x14ac:dyDescent="0.45">
      <c r="A50" s="276">
        <f t="shared" si="2"/>
        <v>36</v>
      </c>
      <c r="B50" s="290" t="s">
        <v>277</v>
      </c>
      <c r="C50" s="647">
        <v>12</v>
      </c>
      <c r="D50" s="369"/>
      <c r="E50" s="280">
        <f t="shared" si="3"/>
        <v>36</v>
      </c>
    </row>
    <row r="51" spans="1:5" x14ac:dyDescent="0.45">
      <c r="A51" s="276">
        <f t="shared" si="2"/>
        <v>37</v>
      </c>
      <c r="B51" s="316"/>
      <c r="C51" s="334"/>
      <c r="D51" s="370"/>
      <c r="E51" s="280">
        <f t="shared" si="3"/>
        <v>37</v>
      </c>
    </row>
    <row r="52" spans="1:5" ht="15.75" thickBot="1" x14ac:dyDescent="0.5">
      <c r="A52" s="276">
        <f t="shared" si="2"/>
        <v>38</v>
      </c>
      <c r="B52" s="298" t="str">
        <f>B27</f>
        <v>Total Annual Costs</v>
      </c>
      <c r="C52" s="371">
        <f>C48*C50</f>
        <v>909.86064683913901</v>
      </c>
      <c r="D52" s="357" t="str">
        <f>"Line "&amp;A48&amp;" x Line "&amp;A50</f>
        <v>Line 34 x Line 36</v>
      </c>
      <c r="E52" s="280">
        <f t="shared" si="3"/>
        <v>38</v>
      </c>
    </row>
    <row r="53" spans="1:5" ht="16.149999999999999" thickTop="1" thickBot="1" x14ac:dyDescent="0.5">
      <c r="A53" s="276">
        <f t="shared" si="2"/>
        <v>39</v>
      </c>
      <c r="B53" s="275"/>
      <c r="C53" s="340"/>
      <c r="D53" s="372"/>
      <c r="E53" s="280">
        <f t="shared" si="3"/>
        <v>39</v>
      </c>
    </row>
  </sheetData>
  <mergeCells count="5">
    <mergeCell ref="B2:D2"/>
    <mergeCell ref="B3:D3"/>
    <mergeCell ref="B4:D4"/>
    <mergeCell ref="B5:D5"/>
    <mergeCell ref="B6:D6"/>
  </mergeCells>
  <printOptions horizontalCentered="1"/>
  <pageMargins left="0.25" right="0.25" top="0.5" bottom="0.5" header="0.35" footer="0.25"/>
  <pageSetup scale="68" orientation="portrait" r:id="rId1"/>
  <headerFooter scaleWithDoc="0" alignWithMargins="0">
    <oddHeader>&amp;C&amp;"Times New Roman,Bold"AS FILED</oddHeader>
    <oddFooter>&amp;CPage 4&amp;R&amp;F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F9D-4A7B-4714-BC3E-865E7B79C9A3}">
  <dimension ref="A1:J159"/>
  <sheetViews>
    <sheetView zoomScale="80" zoomScaleNormal="80" workbookViewId="0"/>
  </sheetViews>
  <sheetFormatPr defaultColWidth="8.73046875" defaultRowHeight="15.4" x14ac:dyDescent="0.45"/>
  <cols>
    <col min="1" max="1" width="5.1328125" style="44" customWidth="1"/>
    <col min="2" max="2" width="93.1328125" style="20" bestFit="1" customWidth="1"/>
    <col min="3" max="3" width="10.3984375" style="20" customWidth="1"/>
    <col min="4" max="4" width="1.59765625" style="20" customWidth="1"/>
    <col min="5" max="5" width="16.86328125" style="20" customWidth="1"/>
    <col min="6" max="6" width="1.59765625" style="20" customWidth="1"/>
    <col min="7" max="7" width="43.3984375" style="20" customWidth="1"/>
    <col min="8" max="8" width="5.1328125" style="43" customWidth="1"/>
    <col min="9" max="9" width="8.73046875" style="20"/>
    <col min="10" max="10" width="9.86328125" style="20" bestFit="1" customWidth="1"/>
    <col min="11" max="16384" width="8.73046875" style="20"/>
  </cols>
  <sheetData>
    <row r="1" spans="1:8" x14ac:dyDescent="0.45">
      <c r="A1" s="421"/>
      <c r="B1" s="422"/>
      <c r="C1" s="422"/>
      <c r="D1" s="422"/>
      <c r="E1" s="423"/>
      <c r="F1" s="423"/>
      <c r="G1" s="614"/>
      <c r="H1" s="272"/>
    </row>
    <row r="2" spans="1:8" x14ac:dyDescent="0.45">
      <c r="A2" s="421"/>
      <c r="B2" s="767" t="s">
        <v>24</v>
      </c>
      <c r="C2" s="767"/>
      <c r="D2" s="767"/>
      <c r="E2" s="767"/>
      <c r="F2" s="767"/>
      <c r="G2" s="767"/>
      <c r="H2" s="272"/>
    </row>
    <row r="3" spans="1:8" x14ac:dyDescent="0.45">
      <c r="B3" s="767" t="s">
        <v>264</v>
      </c>
      <c r="C3" s="767"/>
      <c r="D3" s="767"/>
      <c r="E3" s="767"/>
      <c r="F3" s="767"/>
      <c r="G3" s="767"/>
      <c r="H3" s="421"/>
    </row>
    <row r="4" spans="1:8" x14ac:dyDescent="0.45">
      <c r="B4" s="767" t="s">
        <v>279</v>
      </c>
      <c r="C4" s="767"/>
      <c r="D4" s="767"/>
      <c r="E4" s="767"/>
      <c r="F4" s="767"/>
      <c r="G4" s="767"/>
      <c r="H4" s="421"/>
    </row>
    <row r="5" spans="1:8" x14ac:dyDescent="0.45">
      <c r="B5" s="765" t="s">
        <v>501</v>
      </c>
      <c r="C5" s="765"/>
      <c r="D5" s="765"/>
      <c r="E5" s="765"/>
      <c r="F5" s="765"/>
      <c r="G5" s="765"/>
      <c r="H5" s="421"/>
    </row>
    <row r="6" spans="1:8" x14ac:dyDescent="0.45">
      <c r="B6" s="766" t="s">
        <v>1</v>
      </c>
      <c r="C6" s="766"/>
      <c r="D6" s="766"/>
      <c r="E6" s="766"/>
      <c r="F6" s="766"/>
      <c r="G6" s="766"/>
      <c r="H6" s="424"/>
    </row>
    <row r="7" spans="1:8" x14ac:dyDescent="0.45">
      <c r="A7" s="425"/>
      <c r="B7" s="616"/>
      <c r="C7" s="616"/>
      <c r="D7" s="616"/>
      <c r="E7" s="616"/>
      <c r="F7" s="616"/>
      <c r="G7" s="423"/>
      <c r="H7" s="272"/>
    </row>
    <row r="8" spans="1:8" x14ac:dyDescent="0.45">
      <c r="A8" s="426" t="s">
        <v>2</v>
      </c>
      <c r="B8" s="422"/>
      <c r="C8" s="422"/>
      <c r="D8" s="422"/>
      <c r="E8" s="616"/>
      <c r="F8" s="616"/>
      <c r="G8" s="422"/>
      <c r="H8" s="426" t="s">
        <v>2</v>
      </c>
    </row>
    <row r="9" spans="1:8" x14ac:dyDescent="0.45">
      <c r="A9" s="426" t="s">
        <v>6</v>
      </c>
      <c r="B9" s="422"/>
      <c r="C9" s="422"/>
      <c r="D9" s="422"/>
      <c r="E9" s="427" t="s">
        <v>4</v>
      </c>
      <c r="F9" s="428"/>
      <c r="G9" s="427" t="s">
        <v>5</v>
      </c>
      <c r="H9" s="426" t="s">
        <v>6</v>
      </c>
    </row>
    <row r="10" spans="1:8" x14ac:dyDescent="0.45">
      <c r="A10" s="426"/>
      <c r="B10" s="422"/>
      <c r="C10" s="422"/>
      <c r="D10" s="422"/>
      <c r="E10" s="616"/>
      <c r="F10" s="428"/>
      <c r="G10" s="616"/>
      <c r="H10" s="426"/>
    </row>
    <row r="11" spans="1:8" x14ac:dyDescent="0.45">
      <c r="A11" s="426">
        <v>1</v>
      </c>
      <c r="B11" s="429" t="s">
        <v>280</v>
      </c>
      <c r="C11" s="429"/>
      <c r="D11" s="429"/>
      <c r="E11" s="423"/>
      <c r="F11" s="423"/>
      <c r="G11" s="616"/>
      <c r="H11" s="426">
        <f>A11</f>
        <v>1</v>
      </c>
    </row>
    <row r="12" spans="1:8" ht="15.75" x14ac:dyDescent="0.5">
      <c r="A12" s="426">
        <f>A11+1</f>
        <v>2</v>
      </c>
      <c r="B12" s="430" t="s">
        <v>281</v>
      </c>
      <c r="C12" s="431"/>
      <c r="D12" s="431"/>
      <c r="E12" s="432">
        <f>E53</f>
        <v>7.1688470597082539E-3</v>
      </c>
      <c r="F12" s="29" t="s">
        <v>16</v>
      </c>
      <c r="G12" s="433" t="str">
        <f>"Page 2; Line "&amp;A53</f>
        <v>Page 2; Line 6</v>
      </c>
      <c r="H12" s="426">
        <f>H11+1</f>
        <v>2</v>
      </c>
    </row>
    <row r="13" spans="1:8" x14ac:dyDescent="0.45">
      <c r="A13" s="426">
        <f t="shared" ref="A13:A35" si="0">A12+1</f>
        <v>3</v>
      </c>
      <c r="B13" s="422"/>
      <c r="C13" s="434"/>
      <c r="D13" s="434"/>
      <c r="E13" s="435"/>
      <c r="F13" s="428"/>
      <c r="G13" s="433"/>
      <c r="H13" s="426">
        <f t="shared" ref="H13:H35" si="1">H12+1</f>
        <v>3</v>
      </c>
    </row>
    <row r="14" spans="1:8" x14ac:dyDescent="0.45">
      <c r="A14" s="426">
        <f t="shared" si="0"/>
        <v>4</v>
      </c>
      <c r="B14" s="430" t="s">
        <v>17</v>
      </c>
      <c r="C14" s="431"/>
      <c r="D14" s="431"/>
      <c r="E14" s="436">
        <f>E58</f>
        <v>7.5976587578897E-3</v>
      </c>
      <c r="F14" s="437"/>
      <c r="G14" s="433" t="str">
        <f>"Page 2; Line "&amp;A58</f>
        <v>Page 2; Line 11</v>
      </c>
      <c r="H14" s="426">
        <f t="shared" si="1"/>
        <v>4</v>
      </c>
    </row>
    <row r="15" spans="1:8" x14ac:dyDescent="0.45">
      <c r="A15" s="426">
        <f t="shared" si="0"/>
        <v>5</v>
      </c>
      <c r="B15" s="423"/>
      <c r="C15" s="425"/>
      <c r="D15" s="425"/>
      <c r="E15" s="438"/>
      <c r="F15" s="439"/>
      <c r="G15" s="433"/>
      <c r="H15" s="426">
        <f t="shared" si="1"/>
        <v>5</v>
      </c>
    </row>
    <row r="16" spans="1:8" x14ac:dyDescent="0.45">
      <c r="A16" s="426">
        <f t="shared" si="0"/>
        <v>6</v>
      </c>
      <c r="B16" s="423" t="s">
        <v>282</v>
      </c>
      <c r="C16" s="425"/>
      <c r="D16" s="425"/>
      <c r="E16" s="440">
        <f>E63</f>
        <v>9.4217696452765995E-3</v>
      </c>
      <c r="F16" s="439"/>
      <c r="G16" s="433" t="str">
        <f>"Page 2; Line "&amp;A63</f>
        <v>Page 2; Line 16</v>
      </c>
      <c r="H16" s="426">
        <f t="shared" si="1"/>
        <v>6</v>
      </c>
    </row>
    <row r="17" spans="1:8" x14ac:dyDescent="0.45">
      <c r="A17" s="426">
        <f t="shared" si="0"/>
        <v>7</v>
      </c>
      <c r="B17" s="423"/>
      <c r="C17" s="425"/>
      <c r="D17" s="425"/>
      <c r="E17" s="438"/>
      <c r="F17" s="439"/>
      <c r="G17" s="433"/>
      <c r="H17" s="426">
        <f t="shared" si="1"/>
        <v>7</v>
      </c>
    </row>
    <row r="18" spans="1:8" x14ac:dyDescent="0.45">
      <c r="A18" s="426">
        <f t="shared" si="0"/>
        <v>8</v>
      </c>
      <c r="B18" s="430" t="s">
        <v>283</v>
      </c>
      <c r="C18" s="431"/>
      <c r="D18" s="431"/>
      <c r="E18" s="436">
        <f>E68</f>
        <v>2.9212842831008082E-4</v>
      </c>
      <c r="F18" s="437"/>
      <c r="G18" s="433" t="str">
        <f>"Page 2; Line "&amp;A68</f>
        <v>Page 2; Line 21</v>
      </c>
      <c r="H18" s="426">
        <f t="shared" si="1"/>
        <v>8</v>
      </c>
    </row>
    <row r="19" spans="1:8" x14ac:dyDescent="0.45">
      <c r="A19" s="426">
        <f t="shared" si="0"/>
        <v>9</v>
      </c>
      <c r="B19" s="422"/>
      <c r="C19" s="434"/>
      <c r="D19" s="434"/>
      <c r="E19" s="435"/>
      <c r="F19" s="428"/>
      <c r="G19" s="433"/>
      <c r="H19" s="426">
        <f t="shared" si="1"/>
        <v>9</v>
      </c>
    </row>
    <row r="20" spans="1:8" x14ac:dyDescent="0.45">
      <c r="A20" s="426">
        <f t="shared" si="0"/>
        <v>10</v>
      </c>
      <c r="B20" s="430" t="s">
        <v>284</v>
      </c>
      <c r="C20" s="434"/>
      <c r="D20" s="434"/>
      <c r="E20" s="436">
        <f>E81</f>
        <v>1.846184931847399E-3</v>
      </c>
      <c r="F20" s="428"/>
      <c r="G20" s="433" t="str">
        <f>"Page 2; Line "&amp;A81</f>
        <v>Page 2; Line 34</v>
      </c>
      <c r="H20" s="426">
        <f t="shared" si="1"/>
        <v>10</v>
      </c>
    </row>
    <row r="21" spans="1:8" x14ac:dyDescent="0.45">
      <c r="A21" s="426">
        <f t="shared" si="0"/>
        <v>11</v>
      </c>
      <c r="B21" s="422"/>
      <c r="C21" s="434"/>
      <c r="D21" s="434"/>
      <c r="E21" s="435"/>
      <c r="F21" s="428"/>
      <c r="G21" s="433"/>
      <c r="H21" s="426">
        <f t="shared" si="1"/>
        <v>11</v>
      </c>
    </row>
    <row r="22" spans="1:8" x14ac:dyDescent="0.45">
      <c r="A22" s="426">
        <f t="shared" si="0"/>
        <v>12</v>
      </c>
      <c r="B22" s="430" t="s">
        <v>285</v>
      </c>
      <c r="C22" s="431"/>
      <c r="D22" s="431"/>
      <c r="E22" s="436">
        <f>E98</f>
        <v>3.7461737422118343E-3</v>
      </c>
      <c r="F22" s="437"/>
      <c r="G22" s="433" t="str">
        <f>"Page 2; Line "&amp;A98</f>
        <v>Page 2; Line 51</v>
      </c>
      <c r="H22" s="426">
        <f t="shared" si="1"/>
        <v>12</v>
      </c>
    </row>
    <row r="23" spans="1:8" x14ac:dyDescent="0.45">
      <c r="A23" s="426">
        <f t="shared" si="0"/>
        <v>13</v>
      </c>
      <c r="B23" s="441"/>
      <c r="C23" s="442"/>
      <c r="D23" s="442"/>
      <c r="E23" s="443"/>
      <c r="F23" s="444"/>
      <c r="G23" s="433"/>
      <c r="H23" s="426">
        <f t="shared" si="1"/>
        <v>13</v>
      </c>
    </row>
    <row r="24" spans="1:8" ht="15.75" x14ac:dyDescent="0.5">
      <c r="A24" s="426">
        <f t="shared" si="0"/>
        <v>14</v>
      </c>
      <c r="B24" s="430" t="s">
        <v>286</v>
      </c>
      <c r="C24" s="431"/>
      <c r="D24" s="431"/>
      <c r="E24" s="445">
        <f>SUM(E12:E22)</f>
        <v>3.0072762565243868E-2</v>
      </c>
      <c r="F24" s="29" t="s">
        <v>16</v>
      </c>
      <c r="G24" s="433" t="str">
        <f>"Sum Lines "&amp;A12&amp;" thru "&amp;A22&amp;""</f>
        <v>Sum Lines 2 thru 12</v>
      </c>
      <c r="H24" s="426">
        <f t="shared" si="1"/>
        <v>14</v>
      </c>
    </row>
    <row r="25" spans="1:8" x14ac:dyDescent="0.45">
      <c r="A25" s="426">
        <f t="shared" si="0"/>
        <v>15</v>
      </c>
      <c r="B25" s="422"/>
      <c r="C25" s="434"/>
      <c r="D25" s="434"/>
      <c r="E25" s="446"/>
      <c r="F25" s="447"/>
      <c r="G25" s="433"/>
      <c r="H25" s="426">
        <f t="shared" si="1"/>
        <v>15</v>
      </c>
    </row>
    <row r="26" spans="1:8" x14ac:dyDescent="0.45">
      <c r="A26" s="426">
        <f t="shared" si="0"/>
        <v>16</v>
      </c>
      <c r="B26" s="423" t="s">
        <v>287</v>
      </c>
      <c r="C26" s="448">
        <v>1.0277E-2</v>
      </c>
      <c r="D26" s="434"/>
      <c r="E26" s="651">
        <f>E24*C26</f>
        <v>3.090577808830112E-4</v>
      </c>
      <c r="F26" s="449"/>
      <c r="G26" s="433" t="str">
        <f>"Line "&amp;A24&amp;" x Franchise Fee Rate"</f>
        <v>Line 14 x Franchise Fee Rate</v>
      </c>
      <c r="H26" s="426">
        <f t="shared" si="1"/>
        <v>16</v>
      </c>
    </row>
    <row r="27" spans="1:8" x14ac:dyDescent="0.45">
      <c r="A27" s="426">
        <f t="shared" si="0"/>
        <v>17</v>
      </c>
      <c r="B27" s="422"/>
      <c r="C27" s="434"/>
      <c r="D27" s="434"/>
      <c r="E27" s="450"/>
      <c r="F27" s="451"/>
      <c r="G27" s="433"/>
      <c r="H27" s="426">
        <f t="shared" si="1"/>
        <v>17</v>
      </c>
    </row>
    <row r="28" spans="1:8" ht="16.149999999999999" thickBot="1" x14ac:dyDescent="0.55000000000000004">
      <c r="A28" s="426">
        <f t="shared" si="0"/>
        <v>18</v>
      </c>
      <c r="B28" s="422" t="s">
        <v>288</v>
      </c>
      <c r="C28" s="434"/>
      <c r="D28" s="434"/>
      <c r="E28" s="452">
        <f>E24+E26</f>
        <v>3.0381820346126881E-2</v>
      </c>
      <c r="F28" s="29" t="s">
        <v>16</v>
      </c>
      <c r="G28" s="433" t="str">
        <f>"Line "&amp;A24&amp;" + Line "&amp;A26</f>
        <v>Line 14 + Line 16</v>
      </c>
      <c r="H28" s="426">
        <f t="shared" si="1"/>
        <v>18</v>
      </c>
    </row>
    <row r="29" spans="1:8" ht="15.75" thickTop="1" x14ac:dyDescent="0.45">
      <c r="A29" s="426">
        <f t="shared" si="0"/>
        <v>19</v>
      </c>
      <c r="B29" s="423"/>
      <c r="C29" s="425"/>
      <c r="D29" s="425"/>
      <c r="E29" s="434"/>
      <c r="F29" s="422"/>
      <c r="G29" s="422"/>
      <c r="H29" s="426">
        <f t="shared" si="1"/>
        <v>19</v>
      </c>
    </row>
    <row r="30" spans="1:8" x14ac:dyDescent="0.45">
      <c r="A30" s="426">
        <f t="shared" si="0"/>
        <v>20</v>
      </c>
      <c r="B30" s="429" t="s">
        <v>289</v>
      </c>
      <c r="C30" s="453"/>
      <c r="D30" s="453"/>
      <c r="E30" s="425"/>
      <c r="F30" s="423"/>
      <c r="G30" s="422"/>
      <c r="H30" s="426">
        <f t="shared" si="1"/>
        <v>20</v>
      </c>
    </row>
    <row r="31" spans="1:8" x14ac:dyDescent="0.45">
      <c r="A31" s="426">
        <f t="shared" si="0"/>
        <v>21</v>
      </c>
      <c r="B31" s="430" t="s">
        <v>443</v>
      </c>
      <c r="C31" s="431"/>
      <c r="D31" s="431"/>
      <c r="E31" s="454">
        <v>27000</v>
      </c>
      <c r="F31" s="428"/>
      <c r="G31" s="433" t="s">
        <v>290</v>
      </c>
      <c r="H31" s="426">
        <f t="shared" si="1"/>
        <v>21</v>
      </c>
    </row>
    <row r="32" spans="1:8" x14ac:dyDescent="0.45">
      <c r="A32" s="426">
        <f t="shared" si="0"/>
        <v>22</v>
      </c>
      <c r="B32" s="430"/>
      <c r="C32" s="431"/>
      <c r="D32" s="431"/>
      <c r="E32" s="431"/>
      <c r="F32" s="430"/>
      <c r="G32" s="433"/>
      <c r="H32" s="426">
        <f t="shared" si="1"/>
        <v>22</v>
      </c>
    </row>
    <row r="33" spans="1:8" ht="15.75" x14ac:dyDescent="0.5">
      <c r="A33" s="426">
        <f t="shared" si="0"/>
        <v>23</v>
      </c>
      <c r="B33" s="430" t="s">
        <v>291</v>
      </c>
      <c r="C33" s="431"/>
      <c r="D33" s="431"/>
      <c r="E33" s="445">
        <f>+E28</f>
        <v>3.0381820346126881E-2</v>
      </c>
      <c r="F33" s="29" t="s">
        <v>16</v>
      </c>
      <c r="G33" s="433" t="str">
        <f>"Line "&amp;A28&amp;" Above"</f>
        <v>Line 18 Above</v>
      </c>
      <c r="H33" s="426">
        <f t="shared" si="1"/>
        <v>23</v>
      </c>
    </row>
    <row r="34" spans="1:8" x14ac:dyDescent="0.45">
      <c r="A34" s="426">
        <f t="shared" si="0"/>
        <v>24</v>
      </c>
      <c r="B34" s="422"/>
      <c r="C34" s="434"/>
      <c r="D34" s="434"/>
      <c r="E34" s="455"/>
      <c r="F34" s="456"/>
      <c r="G34" s="433"/>
      <c r="H34" s="426">
        <f t="shared" si="1"/>
        <v>24</v>
      </c>
    </row>
    <row r="35" spans="1:8" ht="16.149999999999999" thickBot="1" x14ac:dyDescent="0.55000000000000004">
      <c r="A35" s="426">
        <f t="shared" si="0"/>
        <v>25</v>
      </c>
      <c r="B35" s="422" t="s">
        <v>292</v>
      </c>
      <c r="C35" s="431"/>
      <c r="D35" s="431"/>
      <c r="E35" s="60">
        <f>E31*E33</f>
        <v>820.30914934542579</v>
      </c>
      <c r="F35" s="29" t="s">
        <v>16</v>
      </c>
      <c r="G35" s="433" t="str">
        <f>"Line "&amp;A31&amp;" x Line "&amp;A33</f>
        <v>Line 21 x Line 23</v>
      </c>
      <c r="H35" s="426">
        <f t="shared" si="1"/>
        <v>25</v>
      </c>
    </row>
    <row r="36" spans="1:8" ht="15.75" thickTop="1" x14ac:dyDescent="0.45">
      <c r="A36" s="426"/>
      <c r="B36" s="422"/>
      <c r="C36" s="431"/>
      <c r="D36" s="431"/>
      <c r="E36" s="613"/>
      <c r="F36" s="458"/>
      <c r="G36" s="433"/>
      <c r="H36" s="426"/>
    </row>
    <row r="37" spans="1:8" ht="15.75" x14ac:dyDescent="0.5">
      <c r="A37" s="29" t="s">
        <v>16</v>
      </c>
      <c r="B37" s="26" t="s">
        <v>388</v>
      </c>
      <c r="C37" s="430"/>
      <c r="D37" s="430"/>
      <c r="E37" s="457"/>
      <c r="F37" s="458"/>
      <c r="G37" s="433"/>
      <c r="H37" s="426"/>
    </row>
    <row r="38" spans="1:8" x14ac:dyDescent="0.45">
      <c r="A38" s="425"/>
      <c r="B38" s="422"/>
      <c r="C38" s="422"/>
      <c r="D38" s="422"/>
      <c r="E38" s="441"/>
      <c r="F38" s="441"/>
      <c r="G38" s="423"/>
      <c r="H38" s="272"/>
    </row>
    <row r="39" spans="1:8" x14ac:dyDescent="0.45">
      <c r="A39" s="425"/>
      <c r="B39" s="768" t="str">
        <f>B2</f>
        <v>SAN DIEGO GAS &amp; ELECTRIC COMPANY</v>
      </c>
      <c r="C39" s="768"/>
      <c r="D39" s="768"/>
      <c r="E39" s="768"/>
      <c r="F39" s="768"/>
      <c r="G39" s="768"/>
      <c r="H39" s="272"/>
    </row>
    <row r="40" spans="1:8" x14ac:dyDescent="0.45">
      <c r="B40" s="768" t="str">
        <f>B3</f>
        <v>CITIZENS' SHARE OF THE SX-PQ UNDERGROUND LINE SEGMENT</v>
      </c>
      <c r="C40" s="768"/>
      <c r="D40" s="768"/>
      <c r="E40" s="768"/>
      <c r="F40" s="768"/>
      <c r="G40" s="768"/>
      <c r="H40" s="442"/>
    </row>
    <row r="41" spans="1:8" x14ac:dyDescent="0.45">
      <c r="B41" s="767" t="str">
        <f>B4</f>
        <v xml:space="preserve">Section 2 - Non-Direct Expense Cost Component </v>
      </c>
      <c r="C41" s="767"/>
      <c r="D41" s="767"/>
      <c r="E41" s="767"/>
      <c r="F41" s="767"/>
      <c r="G41" s="767"/>
      <c r="H41" s="434"/>
    </row>
    <row r="42" spans="1:8" x14ac:dyDescent="0.45">
      <c r="B42" s="765" t="str">
        <f>B5</f>
        <v>Base Period &amp; True-Up Period 12 - Months Ending December 31, 2018</v>
      </c>
      <c r="C42" s="765"/>
      <c r="D42" s="765"/>
      <c r="E42" s="765"/>
      <c r="F42" s="765"/>
      <c r="G42" s="765"/>
      <c r="H42" s="434"/>
    </row>
    <row r="43" spans="1:8" x14ac:dyDescent="0.45">
      <c r="B43" s="766" t="str">
        <f>B6</f>
        <v>($1,000)</v>
      </c>
      <c r="C43" s="762"/>
      <c r="D43" s="762"/>
      <c r="E43" s="762"/>
      <c r="F43" s="762"/>
      <c r="G43" s="762"/>
      <c r="H43" s="200"/>
    </row>
    <row r="44" spans="1:8" x14ac:dyDescent="0.45">
      <c r="A44" s="459"/>
      <c r="B44" s="422"/>
      <c r="C44" s="422"/>
      <c r="D44" s="422"/>
      <c r="E44" s="422"/>
      <c r="F44" s="422"/>
      <c r="G44" s="422"/>
      <c r="H44" s="272"/>
    </row>
    <row r="45" spans="1:8" x14ac:dyDescent="0.45">
      <c r="A45" s="426" t="s">
        <v>2</v>
      </c>
      <c r="B45" s="422"/>
      <c r="C45" s="422"/>
      <c r="D45" s="422"/>
      <c r="E45" s="616"/>
      <c r="F45" s="616"/>
      <c r="G45" s="422"/>
      <c r="H45" s="426" t="s">
        <v>2</v>
      </c>
    </row>
    <row r="46" spans="1:8" x14ac:dyDescent="0.45">
      <c r="A46" s="426" t="s">
        <v>6</v>
      </c>
      <c r="B46" s="422"/>
      <c r="C46" s="422"/>
      <c r="D46" s="422"/>
      <c r="E46" s="427" t="s">
        <v>4</v>
      </c>
      <c r="F46" s="433"/>
      <c r="G46" s="427" t="s">
        <v>5</v>
      </c>
      <c r="H46" s="426" t="s">
        <v>6</v>
      </c>
    </row>
    <row r="47" spans="1:8" x14ac:dyDescent="0.45">
      <c r="A47" s="426"/>
      <c r="B47" s="422"/>
      <c r="C47" s="422"/>
      <c r="D47" s="422"/>
      <c r="E47" s="616"/>
      <c r="F47" s="616"/>
      <c r="G47" s="422"/>
      <c r="H47" s="426"/>
    </row>
    <row r="48" spans="1:8" x14ac:dyDescent="0.45">
      <c r="A48" s="426">
        <v>1</v>
      </c>
      <c r="B48" s="460" t="s">
        <v>22</v>
      </c>
      <c r="C48" s="460"/>
      <c r="D48" s="460"/>
      <c r="E48" s="461">
        <f>'Pg9 Revised AV-4'!C16</f>
        <v>4637147.7942162799</v>
      </c>
      <c r="F48" s="616"/>
      <c r="G48" s="433" t="s">
        <v>502</v>
      </c>
      <c r="H48" s="426">
        <f>A48</f>
        <v>1</v>
      </c>
    </row>
    <row r="49" spans="1:10" x14ac:dyDescent="0.45">
      <c r="A49" s="426">
        <f>A48+1</f>
        <v>2</v>
      </c>
      <c r="B49" s="422"/>
      <c r="C49" s="422"/>
      <c r="D49" s="422"/>
      <c r="E49" s="421"/>
      <c r="F49" s="616"/>
      <c r="G49" s="422"/>
      <c r="H49" s="426">
        <f>H48+1</f>
        <v>2</v>
      </c>
    </row>
    <row r="50" spans="1:10" x14ac:dyDescent="0.45">
      <c r="A50" s="426">
        <f t="shared" ref="A50:A98" si="2">A49+1</f>
        <v>3</v>
      </c>
      <c r="B50" s="429" t="s">
        <v>293</v>
      </c>
      <c r="C50" s="429"/>
      <c r="D50" s="429"/>
      <c r="E50" s="462"/>
      <c r="F50" s="463"/>
      <c r="G50" s="422"/>
      <c r="H50" s="426">
        <f t="shared" ref="H50:H98" si="3">H49+1</f>
        <v>3</v>
      </c>
    </row>
    <row r="51" spans="1:10" ht="15.75" x14ac:dyDescent="0.5">
      <c r="A51" s="426">
        <f t="shared" si="2"/>
        <v>4</v>
      </c>
      <c r="B51" s="430" t="s">
        <v>294</v>
      </c>
      <c r="C51" s="430"/>
      <c r="D51" s="430"/>
      <c r="E51" s="464">
        <f>'Pg6 Revised Stmt AH'!E28</f>
        <v>33243.003329999992</v>
      </c>
      <c r="F51" s="29" t="s">
        <v>16</v>
      </c>
      <c r="G51" s="433" t="s">
        <v>503</v>
      </c>
      <c r="H51" s="426">
        <f t="shared" si="3"/>
        <v>4</v>
      </c>
      <c r="J51" s="465"/>
    </row>
    <row r="52" spans="1:10" x14ac:dyDescent="0.45">
      <c r="A52" s="426">
        <f t="shared" si="2"/>
        <v>5</v>
      </c>
      <c r="B52" s="430"/>
      <c r="C52" s="430"/>
      <c r="D52" s="430"/>
      <c r="E52" s="466"/>
      <c r="F52" s="467"/>
      <c r="G52" s="433"/>
      <c r="H52" s="426">
        <f t="shared" si="3"/>
        <v>5</v>
      </c>
      <c r="J52" s="465"/>
    </row>
    <row r="53" spans="1:10" ht="15.75" x14ac:dyDescent="0.5">
      <c r="A53" s="426">
        <f t="shared" si="2"/>
        <v>6</v>
      </c>
      <c r="B53" s="430" t="s">
        <v>295</v>
      </c>
      <c r="C53" s="422"/>
      <c r="D53" s="422"/>
      <c r="E53" s="468">
        <f>E51/E48</f>
        <v>7.1688470597082539E-3</v>
      </c>
      <c r="F53" s="29" t="s">
        <v>16</v>
      </c>
      <c r="G53" s="433" t="s">
        <v>504</v>
      </c>
      <c r="H53" s="426">
        <f t="shared" si="3"/>
        <v>6</v>
      </c>
      <c r="J53" s="465"/>
    </row>
    <row r="54" spans="1:10" x14ac:dyDescent="0.45">
      <c r="A54" s="426">
        <f t="shared" si="2"/>
        <v>7</v>
      </c>
      <c r="B54" s="430"/>
      <c r="C54" s="430"/>
      <c r="D54" s="430"/>
      <c r="E54" s="469"/>
      <c r="F54" s="470"/>
      <c r="G54" s="433"/>
      <c r="H54" s="426">
        <f t="shared" si="3"/>
        <v>7</v>
      </c>
    </row>
    <row r="55" spans="1:10" x14ac:dyDescent="0.45">
      <c r="A55" s="426">
        <f t="shared" si="2"/>
        <v>8</v>
      </c>
      <c r="B55" s="429" t="s">
        <v>296</v>
      </c>
      <c r="C55" s="429"/>
      <c r="D55" s="429"/>
      <c r="E55" s="471"/>
      <c r="F55" s="472"/>
      <c r="G55" s="473"/>
      <c r="H55" s="426">
        <f t="shared" si="3"/>
        <v>8</v>
      </c>
    </row>
    <row r="56" spans="1:10" ht="15.75" x14ac:dyDescent="0.5">
      <c r="A56" s="426">
        <f t="shared" si="2"/>
        <v>9</v>
      </c>
      <c r="B56" s="430" t="s">
        <v>297</v>
      </c>
      <c r="C56" s="430"/>
      <c r="D56" s="430"/>
      <c r="E56" s="474">
        <f>'Pg6 Revised Stmt AH'!E49</f>
        <v>35231.466550356221</v>
      </c>
      <c r="F56" s="29" t="s">
        <v>16</v>
      </c>
      <c r="G56" s="433" t="s">
        <v>505</v>
      </c>
      <c r="H56" s="426">
        <f t="shared" si="3"/>
        <v>9</v>
      </c>
    </row>
    <row r="57" spans="1:10" x14ac:dyDescent="0.45">
      <c r="A57" s="426">
        <f t="shared" si="2"/>
        <v>10</v>
      </c>
      <c r="B57" s="422"/>
      <c r="C57" s="422"/>
      <c r="D57" s="422"/>
      <c r="E57" s="471"/>
      <c r="F57" s="472"/>
      <c r="G57" s="433"/>
      <c r="H57" s="426">
        <f t="shared" si="3"/>
        <v>10</v>
      </c>
    </row>
    <row r="58" spans="1:10" x14ac:dyDescent="0.45">
      <c r="A58" s="426">
        <f t="shared" si="2"/>
        <v>11</v>
      </c>
      <c r="B58" s="475" t="s">
        <v>298</v>
      </c>
      <c r="C58" s="473"/>
      <c r="D58" s="473"/>
      <c r="E58" s="476">
        <f>E56/E48</f>
        <v>7.5976587578897E-3</v>
      </c>
      <c r="F58" s="477"/>
      <c r="G58" s="433" t="s">
        <v>506</v>
      </c>
      <c r="H58" s="426">
        <f t="shared" si="3"/>
        <v>11</v>
      </c>
    </row>
    <row r="59" spans="1:10" x14ac:dyDescent="0.45">
      <c r="A59" s="426">
        <f t="shared" si="2"/>
        <v>12</v>
      </c>
      <c r="B59" s="473"/>
      <c r="C59" s="473"/>
      <c r="D59" s="473"/>
      <c r="E59" s="478"/>
      <c r="F59" s="479"/>
      <c r="G59" s="433"/>
      <c r="H59" s="426">
        <f t="shared" si="3"/>
        <v>12</v>
      </c>
    </row>
    <row r="60" spans="1:10" x14ac:dyDescent="0.45">
      <c r="A60" s="426">
        <f t="shared" si="2"/>
        <v>13</v>
      </c>
      <c r="B60" s="429" t="s">
        <v>299</v>
      </c>
      <c r="C60" s="473"/>
      <c r="D60" s="473"/>
      <c r="E60" s="478"/>
      <c r="F60" s="479"/>
      <c r="G60" s="433"/>
      <c r="H60" s="426">
        <f t="shared" si="3"/>
        <v>13</v>
      </c>
    </row>
    <row r="61" spans="1:10" x14ac:dyDescent="0.45">
      <c r="A61" s="426">
        <f t="shared" si="2"/>
        <v>14</v>
      </c>
      <c r="B61" s="475" t="s">
        <v>282</v>
      </c>
      <c r="C61" s="473"/>
      <c r="D61" s="473"/>
      <c r="E61" s="480">
        <v>43690.138328208282</v>
      </c>
      <c r="F61" s="479"/>
      <c r="G61" s="433" t="s">
        <v>507</v>
      </c>
      <c r="H61" s="426">
        <f t="shared" si="3"/>
        <v>14</v>
      </c>
    </row>
    <row r="62" spans="1:10" x14ac:dyDescent="0.45">
      <c r="A62" s="426">
        <f t="shared" si="2"/>
        <v>15</v>
      </c>
      <c r="B62" s="473"/>
      <c r="C62" s="473"/>
      <c r="D62" s="473"/>
      <c r="E62" s="471"/>
      <c r="F62" s="479"/>
      <c r="G62" s="433"/>
      <c r="H62" s="426">
        <f t="shared" si="3"/>
        <v>15</v>
      </c>
    </row>
    <row r="63" spans="1:10" x14ac:dyDescent="0.45">
      <c r="A63" s="426">
        <f t="shared" si="2"/>
        <v>16</v>
      </c>
      <c r="B63" s="475" t="s">
        <v>300</v>
      </c>
      <c r="C63" s="473"/>
      <c r="D63" s="473"/>
      <c r="E63" s="476">
        <f>E61/E48</f>
        <v>9.4217696452765995E-3</v>
      </c>
      <c r="F63" s="479"/>
      <c r="G63" s="433" t="s">
        <v>508</v>
      </c>
      <c r="H63" s="426">
        <f t="shared" si="3"/>
        <v>16</v>
      </c>
    </row>
    <row r="64" spans="1:10" x14ac:dyDescent="0.45">
      <c r="A64" s="426">
        <f t="shared" si="2"/>
        <v>17</v>
      </c>
      <c r="B64" s="473"/>
      <c r="C64" s="473"/>
      <c r="D64" s="473"/>
      <c r="E64" s="478"/>
      <c r="F64" s="479"/>
      <c r="G64" s="433"/>
      <c r="H64" s="426">
        <f t="shared" si="3"/>
        <v>17</v>
      </c>
    </row>
    <row r="65" spans="1:8" x14ac:dyDescent="0.45">
      <c r="A65" s="426">
        <f t="shared" si="2"/>
        <v>18</v>
      </c>
      <c r="B65" s="429" t="s">
        <v>301</v>
      </c>
      <c r="C65" s="429"/>
      <c r="D65" s="429"/>
      <c r="E65" s="478"/>
      <c r="F65" s="479"/>
      <c r="G65" s="433"/>
      <c r="H65" s="426">
        <f t="shared" si="3"/>
        <v>18</v>
      </c>
    </row>
    <row r="66" spans="1:8" x14ac:dyDescent="0.45">
      <c r="A66" s="426">
        <f t="shared" si="2"/>
        <v>19</v>
      </c>
      <c r="B66" s="430" t="s">
        <v>283</v>
      </c>
      <c r="C66" s="430"/>
      <c r="D66" s="430"/>
      <c r="E66" s="480">
        <v>1354.6426969659599</v>
      </c>
      <c r="F66" s="616"/>
      <c r="G66" s="433" t="s">
        <v>509</v>
      </c>
      <c r="H66" s="426">
        <f t="shared" si="3"/>
        <v>19</v>
      </c>
    </row>
    <row r="67" spans="1:8" x14ac:dyDescent="0.45">
      <c r="A67" s="426">
        <f t="shared" si="2"/>
        <v>20</v>
      </c>
      <c r="B67" s="473"/>
      <c r="C67" s="473"/>
      <c r="D67" s="473"/>
      <c r="E67" s="478"/>
      <c r="F67" s="479"/>
      <c r="G67" s="433"/>
      <c r="H67" s="426">
        <f t="shared" si="3"/>
        <v>20</v>
      </c>
    </row>
    <row r="68" spans="1:8" x14ac:dyDescent="0.45">
      <c r="A68" s="426">
        <f t="shared" si="2"/>
        <v>21</v>
      </c>
      <c r="B68" s="475" t="s">
        <v>302</v>
      </c>
      <c r="C68" s="473"/>
      <c r="D68" s="473"/>
      <c r="E68" s="476">
        <f>E66/E48</f>
        <v>2.9212842831008082E-4</v>
      </c>
      <c r="F68" s="477"/>
      <c r="G68" s="433" t="s">
        <v>510</v>
      </c>
      <c r="H68" s="426">
        <f t="shared" si="3"/>
        <v>21</v>
      </c>
    </row>
    <row r="69" spans="1:8" x14ac:dyDescent="0.45">
      <c r="A69" s="426">
        <f t="shared" si="2"/>
        <v>22</v>
      </c>
      <c r="B69" s="473"/>
      <c r="C69" s="473"/>
      <c r="D69" s="473"/>
      <c r="E69" s="478"/>
      <c r="F69" s="479"/>
      <c r="G69" s="433"/>
      <c r="H69" s="426">
        <f t="shared" si="3"/>
        <v>22</v>
      </c>
    </row>
    <row r="70" spans="1:8" x14ac:dyDescent="0.45">
      <c r="A70" s="426">
        <f t="shared" si="2"/>
        <v>23</v>
      </c>
      <c r="B70" s="429" t="s">
        <v>303</v>
      </c>
      <c r="C70" s="429"/>
      <c r="D70" s="429"/>
      <c r="E70" s="481"/>
      <c r="F70" s="482"/>
      <c r="G70" s="433"/>
      <c r="H70" s="426">
        <f t="shared" si="3"/>
        <v>23</v>
      </c>
    </row>
    <row r="71" spans="1:8" x14ac:dyDescent="0.45">
      <c r="A71" s="426">
        <f t="shared" si="2"/>
        <v>24</v>
      </c>
      <c r="B71" s="483" t="s">
        <v>444</v>
      </c>
      <c r="C71" s="422"/>
      <c r="D71" s="422"/>
      <c r="E71" s="481"/>
      <c r="F71" s="482"/>
      <c r="G71" s="433"/>
      <c r="H71" s="426">
        <f t="shared" si="3"/>
        <v>24</v>
      </c>
    </row>
    <row r="72" spans="1:8" x14ac:dyDescent="0.45">
      <c r="A72" s="426">
        <f t="shared" si="2"/>
        <v>25</v>
      </c>
      <c r="B72" s="430" t="s">
        <v>304</v>
      </c>
      <c r="C72" s="430"/>
      <c r="D72" s="430"/>
      <c r="E72" s="484">
        <f>'Pg7 Revised Stmt AL'!G15</f>
        <v>52122.705552521453</v>
      </c>
      <c r="F72" s="616"/>
      <c r="G72" s="433" t="s">
        <v>511</v>
      </c>
      <c r="H72" s="426">
        <f t="shared" si="3"/>
        <v>25</v>
      </c>
    </row>
    <row r="73" spans="1:8" x14ac:dyDescent="0.45">
      <c r="A73" s="426">
        <f t="shared" si="2"/>
        <v>26</v>
      </c>
      <c r="B73" s="430" t="s">
        <v>305</v>
      </c>
      <c r="C73" s="430"/>
      <c r="D73" s="430"/>
      <c r="E73" s="485">
        <f>'Pg7 Revised Stmt AL'!G19</f>
        <v>19698.911876068967</v>
      </c>
      <c r="F73" s="616"/>
      <c r="G73" s="433" t="s">
        <v>512</v>
      </c>
      <c r="H73" s="426">
        <f t="shared" si="3"/>
        <v>26</v>
      </c>
    </row>
    <row r="74" spans="1:8" ht="15.75" x14ac:dyDescent="0.5">
      <c r="A74" s="426">
        <f t="shared" si="2"/>
        <v>27</v>
      </c>
      <c r="B74" s="430" t="s">
        <v>306</v>
      </c>
      <c r="C74" s="430"/>
      <c r="D74" s="430"/>
      <c r="E74" s="486">
        <f>'Pg7 Revised Stmt AL'!E29</f>
        <v>8559.3087350445276</v>
      </c>
      <c r="F74" s="29" t="s">
        <v>16</v>
      </c>
      <c r="G74" s="433" t="s">
        <v>513</v>
      </c>
      <c r="H74" s="426">
        <f t="shared" si="3"/>
        <v>27</v>
      </c>
    </row>
    <row r="75" spans="1:8" ht="15.75" x14ac:dyDescent="0.5">
      <c r="A75" s="426">
        <f t="shared" si="2"/>
        <v>28</v>
      </c>
      <c r="B75" s="430" t="s">
        <v>307</v>
      </c>
      <c r="C75" s="422"/>
      <c r="D75" s="422"/>
      <c r="E75" s="487">
        <f>SUM(E72:E74)</f>
        <v>80380.926163634955</v>
      </c>
      <c r="F75" s="29" t="s">
        <v>16</v>
      </c>
      <c r="G75" s="433" t="s">
        <v>514</v>
      </c>
      <c r="H75" s="426">
        <f t="shared" si="3"/>
        <v>28</v>
      </c>
    </row>
    <row r="76" spans="1:8" x14ac:dyDescent="0.45">
      <c r="A76" s="426">
        <f t="shared" si="2"/>
        <v>29</v>
      </c>
      <c r="B76" s="422"/>
      <c r="C76" s="422"/>
      <c r="D76" s="422"/>
      <c r="E76" s="488"/>
      <c r="F76" s="489"/>
      <c r="G76" s="433"/>
      <c r="H76" s="426">
        <f t="shared" si="3"/>
        <v>29</v>
      </c>
    </row>
    <row r="77" spans="1:8" x14ac:dyDescent="0.45">
      <c r="A77" s="426">
        <f t="shared" si="2"/>
        <v>30</v>
      </c>
      <c r="B77" s="430" t="s">
        <v>308</v>
      </c>
      <c r="C77" s="430"/>
      <c r="D77" s="430"/>
      <c r="E77" s="490">
        <f>'Pg8 Revised Stmt AV'!G110</f>
        <v>0.10650576937871345</v>
      </c>
      <c r="F77" s="616"/>
      <c r="G77" s="433" t="s">
        <v>515</v>
      </c>
      <c r="H77" s="426">
        <f t="shared" si="3"/>
        <v>30</v>
      </c>
    </row>
    <row r="78" spans="1:8" x14ac:dyDescent="0.45">
      <c r="A78" s="426">
        <f t="shared" si="2"/>
        <v>31</v>
      </c>
      <c r="B78" s="422"/>
      <c r="C78" s="422"/>
      <c r="D78" s="422"/>
      <c r="E78" s="488"/>
      <c r="F78" s="489"/>
      <c r="G78" s="433"/>
      <c r="H78" s="426">
        <f t="shared" si="3"/>
        <v>31</v>
      </c>
    </row>
    <row r="79" spans="1:8" ht="15.75" x14ac:dyDescent="0.5">
      <c r="A79" s="426">
        <f t="shared" si="2"/>
        <v>32</v>
      </c>
      <c r="B79" s="430" t="s">
        <v>309</v>
      </c>
      <c r="C79" s="422"/>
      <c r="D79" s="422"/>
      <c r="E79" s="491">
        <f>E75*E77</f>
        <v>8561.0323844314989</v>
      </c>
      <c r="F79" s="29" t="s">
        <v>16</v>
      </c>
      <c r="G79" s="433" t="s">
        <v>516</v>
      </c>
      <c r="H79" s="426">
        <f t="shared" si="3"/>
        <v>32</v>
      </c>
    </row>
    <row r="80" spans="1:8" x14ac:dyDescent="0.45">
      <c r="A80" s="426">
        <f t="shared" si="2"/>
        <v>33</v>
      </c>
      <c r="B80" s="422"/>
      <c r="C80" s="422"/>
      <c r="D80" s="422"/>
      <c r="E80" s="488"/>
      <c r="F80" s="489"/>
      <c r="G80" s="433"/>
      <c r="H80" s="426">
        <f t="shared" si="3"/>
        <v>33</v>
      </c>
    </row>
    <row r="81" spans="1:9" x14ac:dyDescent="0.45">
      <c r="A81" s="426">
        <f t="shared" si="2"/>
        <v>34</v>
      </c>
      <c r="B81" s="430" t="s">
        <v>310</v>
      </c>
      <c r="C81" s="422"/>
      <c r="D81" s="422"/>
      <c r="E81" s="476">
        <f>E79/E48</f>
        <v>1.846184931847399E-3</v>
      </c>
      <c r="F81" s="477"/>
      <c r="G81" s="433" t="s">
        <v>517</v>
      </c>
      <c r="H81" s="426">
        <f t="shared" si="3"/>
        <v>34</v>
      </c>
    </row>
    <row r="82" spans="1:9" x14ac:dyDescent="0.45">
      <c r="A82" s="426">
        <f t="shared" si="2"/>
        <v>35</v>
      </c>
      <c r="B82" s="430"/>
      <c r="C82" s="422"/>
      <c r="D82" s="422"/>
      <c r="E82" s="492"/>
      <c r="F82" s="477"/>
      <c r="G82" s="433"/>
      <c r="H82" s="426">
        <f t="shared" si="3"/>
        <v>35</v>
      </c>
    </row>
    <row r="83" spans="1:9" x14ac:dyDescent="0.45">
      <c r="A83" s="426">
        <f t="shared" si="2"/>
        <v>36</v>
      </c>
      <c r="B83" s="429" t="s">
        <v>311</v>
      </c>
      <c r="C83" s="493"/>
      <c r="D83" s="493"/>
      <c r="E83" s="494"/>
      <c r="F83" s="494"/>
      <c r="G83" s="494"/>
      <c r="H83" s="426">
        <f t="shared" si="3"/>
        <v>36</v>
      </c>
    </row>
    <row r="84" spans="1:9" x14ac:dyDescent="0.45">
      <c r="A84" s="426">
        <f t="shared" si="2"/>
        <v>37</v>
      </c>
      <c r="B84" s="430" t="s">
        <v>312</v>
      </c>
      <c r="C84" s="493"/>
      <c r="D84" s="493"/>
      <c r="E84" s="240">
        <f>'Pg9 Revised AV-4'!C14</f>
        <v>25019.600360902012</v>
      </c>
      <c r="F84" s="494"/>
      <c r="G84" s="433" t="s">
        <v>518</v>
      </c>
      <c r="H84" s="426">
        <f t="shared" si="3"/>
        <v>37</v>
      </c>
    </row>
    <row r="85" spans="1:9" x14ac:dyDescent="0.45">
      <c r="A85" s="426">
        <f t="shared" si="2"/>
        <v>38</v>
      </c>
      <c r="B85" s="429"/>
      <c r="C85" s="493"/>
      <c r="D85" s="493"/>
      <c r="E85" s="494"/>
      <c r="F85" s="494"/>
      <c r="G85" s="494"/>
      <c r="H85" s="426">
        <f t="shared" si="3"/>
        <v>38</v>
      </c>
    </row>
    <row r="86" spans="1:9" x14ac:dyDescent="0.45">
      <c r="A86" s="426">
        <f t="shared" si="2"/>
        <v>39</v>
      </c>
      <c r="B86" s="430" t="s">
        <v>313</v>
      </c>
      <c r="C86" s="493"/>
      <c r="D86" s="493"/>
      <c r="E86" s="495">
        <f>'Pg9 Revised AV-4'!C15</f>
        <v>47895.496741946881</v>
      </c>
      <c r="F86" s="494"/>
      <c r="G86" s="433" t="s">
        <v>519</v>
      </c>
      <c r="H86" s="426">
        <f t="shared" si="3"/>
        <v>39</v>
      </c>
    </row>
    <row r="87" spans="1:9" ht="18.399999999999999" x14ac:dyDescent="0.85">
      <c r="A87" s="426">
        <f t="shared" si="2"/>
        <v>40</v>
      </c>
      <c r="B87" s="493"/>
      <c r="C87" s="496"/>
      <c r="D87" s="496"/>
      <c r="E87" s="497"/>
      <c r="F87" s="498"/>
      <c r="G87" s="493"/>
      <c r="H87" s="426">
        <f t="shared" si="3"/>
        <v>40</v>
      </c>
    </row>
    <row r="88" spans="1:9" x14ac:dyDescent="0.45">
      <c r="A88" s="426">
        <f t="shared" si="2"/>
        <v>41</v>
      </c>
      <c r="B88" s="430" t="s">
        <v>314</v>
      </c>
      <c r="C88" s="496"/>
      <c r="D88" s="496"/>
      <c r="E88" s="499">
        <f>E84+E86</f>
        <v>72915.0971028489</v>
      </c>
      <c r="F88" s="500"/>
      <c r="G88" s="433" t="s">
        <v>520</v>
      </c>
      <c r="H88" s="426">
        <f t="shared" si="3"/>
        <v>41</v>
      </c>
    </row>
    <row r="89" spans="1:9" x14ac:dyDescent="0.45">
      <c r="A89" s="426">
        <f t="shared" si="2"/>
        <v>42</v>
      </c>
      <c r="B89" s="501"/>
      <c r="C89" s="496"/>
      <c r="D89" s="496"/>
      <c r="E89" s="502"/>
      <c r="F89" s="500"/>
      <c r="G89" s="503"/>
      <c r="H89" s="426">
        <f t="shared" si="3"/>
        <v>42</v>
      </c>
    </row>
    <row r="90" spans="1:9" x14ac:dyDescent="0.45">
      <c r="A90" s="426">
        <f t="shared" si="2"/>
        <v>43</v>
      </c>
      <c r="B90" s="430" t="s">
        <v>308</v>
      </c>
      <c r="C90" s="496"/>
      <c r="D90" s="496"/>
      <c r="E90" s="504">
        <f>E77</f>
        <v>0.10650576937871345</v>
      </c>
      <c r="F90" s="500"/>
      <c r="G90" s="433" t="s">
        <v>521</v>
      </c>
      <c r="H90" s="426">
        <f t="shared" si="3"/>
        <v>43</v>
      </c>
    </row>
    <row r="91" spans="1:9" x14ac:dyDescent="0.45">
      <c r="A91" s="426">
        <f t="shared" si="2"/>
        <v>44</v>
      </c>
      <c r="B91" s="493"/>
      <c r="C91" s="496"/>
      <c r="D91" s="496"/>
      <c r="E91" s="505"/>
      <c r="F91" s="506"/>
      <c r="G91" s="493"/>
      <c r="H91" s="426">
        <f t="shared" si="3"/>
        <v>44</v>
      </c>
    </row>
    <row r="92" spans="1:9" x14ac:dyDescent="0.45">
      <c r="A92" s="426">
        <f t="shared" si="2"/>
        <v>45</v>
      </c>
      <c r="B92" s="430" t="s">
        <v>315</v>
      </c>
      <c r="C92" s="496"/>
      <c r="D92" s="496"/>
      <c r="E92" s="383">
        <f>E88*E90</f>
        <v>7765.8785162625218</v>
      </c>
      <c r="F92" s="507"/>
      <c r="G92" s="433" t="s">
        <v>522</v>
      </c>
      <c r="H92" s="426">
        <f t="shared" si="3"/>
        <v>45</v>
      </c>
    </row>
    <row r="93" spans="1:9" x14ac:dyDescent="0.45">
      <c r="A93" s="426">
        <f t="shared" si="2"/>
        <v>46</v>
      </c>
      <c r="B93" s="501"/>
      <c r="C93" s="496"/>
      <c r="D93" s="496"/>
      <c r="E93" s="508"/>
      <c r="F93" s="507"/>
      <c r="G93" s="503"/>
      <c r="H93" s="426">
        <f t="shared" si="3"/>
        <v>46</v>
      </c>
    </row>
    <row r="94" spans="1:9" x14ac:dyDescent="0.45">
      <c r="A94" s="426">
        <f t="shared" si="2"/>
        <v>47</v>
      </c>
      <c r="B94" s="430" t="s">
        <v>316</v>
      </c>
      <c r="C94" s="496"/>
      <c r="D94" s="496"/>
      <c r="E94" s="509">
        <v>9605.6827891860339</v>
      </c>
      <c r="F94" s="507"/>
      <c r="G94" s="433" t="s">
        <v>523</v>
      </c>
      <c r="H94" s="426">
        <f t="shared" si="3"/>
        <v>47</v>
      </c>
      <c r="I94" s="496"/>
    </row>
    <row r="95" spans="1:9" x14ac:dyDescent="0.45">
      <c r="A95" s="426">
        <f t="shared" si="2"/>
        <v>48</v>
      </c>
      <c r="B95" s="430"/>
      <c r="C95" s="496"/>
      <c r="D95" s="496"/>
      <c r="E95" s="377"/>
      <c r="F95" s="507"/>
      <c r="G95" s="433"/>
      <c r="H95" s="426">
        <f t="shared" si="3"/>
        <v>48</v>
      </c>
    </row>
    <row r="96" spans="1:9" x14ac:dyDescent="0.45">
      <c r="A96" s="426">
        <f t="shared" si="2"/>
        <v>49</v>
      </c>
      <c r="B96" s="430" t="s">
        <v>317</v>
      </c>
      <c r="C96" s="496"/>
      <c r="D96" s="496"/>
      <c r="E96" s="377">
        <f>E92+E94</f>
        <v>17371.561305448555</v>
      </c>
      <c r="F96" s="507"/>
      <c r="G96" s="433" t="s">
        <v>524</v>
      </c>
      <c r="H96" s="426">
        <f t="shared" si="3"/>
        <v>49</v>
      </c>
    </row>
    <row r="97" spans="1:8" x14ac:dyDescent="0.45">
      <c r="A97" s="426">
        <f t="shared" si="2"/>
        <v>50</v>
      </c>
      <c r="B97" s="493"/>
      <c r="C97" s="496"/>
      <c r="D97" s="496"/>
      <c r="E97" s="510"/>
      <c r="F97" s="493"/>
      <c r="G97" s="493"/>
      <c r="H97" s="426">
        <f t="shared" si="3"/>
        <v>50</v>
      </c>
    </row>
    <row r="98" spans="1:8" ht="15.75" thickBot="1" x14ac:dyDescent="0.5">
      <c r="A98" s="426">
        <f t="shared" si="2"/>
        <v>51</v>
      </c>
      <c r="B98" s="430" t="s">
        <v>318</v>
      </c>
      <c r="C98" s="496"/>
      <c r="D98" s="496"/>
      <c r="E98" s="511">
        <f>E96/E48</f>
        <v>3.7461737422118343E-3</v>
      </c>
      <c r="F98" s="512"/>
      <c r="G98" s="433" t="s">
        <v>525</v>
      </c>
      <c r="H98" s="426">
        <f t="shared" si="3"/>
        <v>51</v>
      </c>
    </row>
    <row r="99" spans="1:8" ht="15.75" thickTop="1" x14ac:dyDescent="0.45">
      <c r="A99" s="434"/>
    </row>
    <row r="100" spans="1:8" ht="15.75" x14ac:dyDescent="0.5">
      <c r="A100" s="29" t="s">
        <v>16</v>
      </c>
      <c r="B100" s="26" t="s">
        <v>388</v>
      </c>
    </row>
    <row r="101" spans="1:8" x14ac:dyDescent="0.45">
      <c r="A101" s="434"/>
    </row>
    <row r="102" spans="1:8" x14ac:dyDescent="0.45">
      <c r="A102" s="434"/>
    </row>
    <row r="103" spans="1:8" x14ac:dyDescent="0.45">
      <c r="A103" s="434"/>
    </row>
    <row r="104" spans="1:8" x14ac:dyDescent="0.45">
      <c r="A104" s="434"/>
    </row>
    <row r="105" spans="1:8" x14ac:dyDescent="0.45">
      <c r="A105" s="434"/>
    </row>
    <row r="106" spans="1:8" x14ac:dyDescent="0.45">
      <c r="A106" s="434"/>
    </row>
    <row r="107" spans="1:8" x14ac:dyDescent="0.45">
      <c r="A107" s="434"/>
    </row>
    <row r="108" spans="1:8" x14ac:dyDescent="0.45">
      <c r="A108" s="434"/>
    </row>
    <row r="109" spans="1:8" x14ac:dyDescent="0.45">
      <c r="A109" s="434"/>
    </row>
    <row r="110" spans="1:8" x14ac:dyDescent="0.45">
      <c r="A110" s="434"/>
    </row>
    <row r="111" spans="1:8" x14ac:dyDescent="0.45">
      <c r="A111" s="434"/>
    </row>
    <row r="112" spans="1:8" x14ac:dyDescent="0.45">
      <c r="A112" s="434"/>
    </row>
    <row r="113" spans="1:1" x14ac:dyDescent="0.45">
      <c r="A113" s="434"/>
    </row>
    <row r="114" spans="1:1" x14ac:dyDescent="0.45">
      <c r="A114" s="434"/>
    </row>
    <row r="115" spans="1:1" x14ac:dyDescent="0.45">
      <c r="A115" s="434"/>
    </row>
    <row r="116" spans="1:1" x14ac:dyDescent="0.45">
      <c r="A116" s="434"/>
    </row>
    <row r="117" spans="1:1" x14ac:dyDescent="0.45">
      <c r="A117" s="434"/>
    </row>
    <row r="118" spans="1:1" x14ac:dyDescent="0.45">
      <c r="A118" s="434"/>
    </row>
    <row r="119" spans="1:1" x14ac:dyDescent="0.45">
      <c r="A119" s="434"/>
    </row>
    <row r="120" spans="1:1" x14ac:dyDescent="0.45">
      <c r="A120" s="434"/>
    </row>
    <row r="121" spans="1:1" x14ac:dyDescent="0.45">
      <c r="A121" s="434"/>
    </row>
    <row r="122" spans="1:1" x14ac:dyDescent="0.45">
      <c r="A122" s="434"/>
    </row>
    <row r="123" spans="1:1" x14ac:dyDescent="0.45">
      <c r="A123" s="434"/>
    </row>
    <row r="124" spans="1:1" x14ac:dyDescent="0.45">
      <c r="A124" s="434"/>
    </row>
    <row r="125" spans="1:1" x14ac:dyDescent="0.45">
      <c r="A125" s="434"/>
    </row>
    <row r="126" spans="1:1" x14ac:dyDescent="0.45">
      <c r="A126" s="434"/>
    </row>
    <row r="127" spans="1:1" x14ac:dyDescent="0.45">
      <c r="A127" s="434"/>
    </row>
    <row r="128" spans="1:1" x14ac:dyDescent="0.45">
      <c r="A128" s="434"/>
    </row>
    <row r="129" spans="1:1" x14ac:dyDescent="0.45">
      <c r="A129" s="434"/>
    </row>
    <row r="130" spans="1:1" x14ac:dyDescent="0.45">
      <c r="A130" s="434"/>
    </row>
    <row r="131" spans="1:1" x14ac:dyDescent="0.45">
      <c r="A131" s="434"/>
    </row>
    <row r="132" spans="1:1" x14ac:dyDescent="0.45">
      <c r="A132" s="434"/>
    </row>
    <row r="133" spans="1:1" x14ac:dyDescent="0.45">
      <c r="A133" s="434"/>
    </row>
    <row r="134" spans="1:1" x14ac:dyDescent="0.45">
      <c r="A134" s="434"/>
    </row>
    <row r="135" spans="1:1" x14ac:dyDescent="0.45">
      <c r="A135" s="434"/>
    </row>
    <row r="136" spans="1:1" x14ac:dyDescent="0.45">
      <c r="A136" s="434"/>
    </row>
    <row r="137" spans="1:1" x14ac:dyDescent="0.45">
      <c r="A137" s="434"/>
    </row>
    <row r="138" spans="1:1" x14ac:dyDescent="0.45">
      <c r="A138" s="434"/>
    </row>
    <row r="139" spans="1:1" x14ac:dyDescent="0.45">
      <c r="A139" s="434"/>
    </row>
    <row r="140" spans="1:1" x14ac:dyDescent="0.45">
      <c r="A140" s="434"/>
    </row>
    <row r="141" spans="1:1" x14ac:dyDescent="0.45">
      <c r="A141" s="434"/>
    </row>
    <row r="142" spans="1:1" x14ac:dyDescent="0.45">
      <c r="A142" s="434"/>
    </row>
    <row r="143" spans="1:1" x14ac:dyDescent="0.45">
      <c r="A143" s="434"/>
    </row>
    <row r="144" spans="1:1" x14ac:dyDescent="0.45">
      <c r="A144" s="434"/>
    </row>
    <row r="145" spans="1:6" x14ac:dyDescent="0.45">
      <c r="A145" s="434"/>
    </row>
    <row r="146" spans="1:6" x14ac:dyDescent="0.45">
      <c r="A146" s="434"/>
    </row>
    <row r="147" spans="1:6" x14ac:dyDescent="0.45">
      <c r="A147" s="434"/>
    </row>
    <row r="148" spans="1:6" x14ac:dyDescent="0.45">
      <c r="A148" s="434"/>
    </row>
    <row r="149" spans="1:6" x14ac:dyDescent="0.45">
      <c r="A149" s="434"/>
    </row>
    <row r="150" spans="1:6" x14ac:dyDescent="0.45">
      <c r="A150" s="434"/>
    </row>
    <row r="151" spans="1:6" x14ac:dyDescent="0.45">
      <c r="A151" s="434"/>
    </row>
    <row r="152" spans="1:6" x14ac:dyDescent="0.45">
      <c r="A152" s="434"/>
    </row>
    <row r="153" spans="1:6" x14ac:dyDescent="0.45">
      <c r="A153" s="434"/>
      <c r="B153" s="423"/>
      <c r="C153" s="423"/>
      <c r="D153" s="423"/>
      <c r="E153" s="423"/>
      <c r="F153" s="423"/>
    </row>
    <row r="154" spans="1:6" x14ac:dyDescent="0.45">
      <c r="A154" s="434"/>
      <c r="B154" s="423"/>
      <c r="C154" s="423"/>
      <c r="D154" s="423"/>
      <c r="E154" s="423"/>
      <c r="F154" s="423"/>
    </row>
    <row r="159" spans="1:6" x14ac:dyDescent="0.45">
      <c r="A159" s="425"/>
      <c r="B159" s="423"/>
      <c r="C159" s="423"/>
      <c r="D159" s="423"/>
      <c r="E159" s="513"/>
      <c r="F159" s="513"/>
    </row>
  </sheetData>
  <mergeCells count="10">
    <mergeCell ref="B42:G42"/>
    <mergeCell ref="B43:G43"/>
    <mergeCell ref="B2:G2"/>
    <mergeCell ref="B3:G3"/>
    <mergeCell ref="B4:G4"/>
    <mergeCell ref="B5:G5"/>
    <mergeCell ref="B6:G6"/>
    <mergeCell ref="B41:G41"/>
    <mergeCell ref="B39:G39"/>
    <mergeCell ref="B40:G40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Roman,Bold"REVISED</oddHeader>
    <oddFooter>&amp;CPage 5.&amp;P&amp;R&amp;F</oddFooter>
  </headerFooter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8A4F7-766E-4261-B175-6DD1BC527839}">
  <sheetPr>
    <pageSetUpPr fitToPage="1"/>
  </sheetPr>
  <dimension ref="A1:J72"/>
  <sheetViews>
    <sheetView zoomScale="80" zoomScaleNormal="80" workbookViewId="0"/>
  </sheetViews>
  <sheetFormatPr defaultColWidth="8.86328125" defaultRowHeight="15.4" x14ac:dyDescent="0.45"/>
  <cols>
    <col min="1" max="1" width="5.265625" style="43" bestFit="1" customWidth="1"/>
    <col min="2" max="2" width="80.59765625" style="44" customWidth="1"/>
    <col min="3" max="3" width="21.1328125" style="44" customWidth="1"/>
    <col min="4" max="4" width="1.59765625" style="44" customWidth="1"/>
    <col min="5" max="5" width="16.86328125" style="44" customWidth="1"/>
    <col min="6" max="6" width="1.59765625" style="44" customWidth="1"/>
    <col min="7" max="7" width="53.86328125" style="44" customWidth="1"/>
    <col min="8" max="8" width="5.1328125" style="44" customWidth="1"/>
    <col min="9" max="9" width="8.86328125" style="44"/>
    <col min="10" max="10" width="20.3984375" style="44" bestFit="1" customWidth="1"/>
    <col min="11" max="16384" width="8.86328125" style="44"/>
  </cols>
  <sheetData>
    <row r="1" spans="1:8" x14ac:dyDescent="0.45">
      <c r="G1" s="564"/>
      <c r="H1" s="43"/>
    </row>
    <row r="2" spans="1:8" x14ac:dyDescent="0.45">
      <c r="B2" s="769" t="s">
        <v>24</v>
      </c>
      <c r="C2" s="769"/>
      <c r="D2" s="769"/>
      <c r="E2" s="769"/>
      <c r="F2" s="769"/>
      <c r="G2" s="769"/>
      <c r="H2" s="43"/>
    </row>
    <row r="3" spans="1:8" x14ac:dyDescent="0.45">
      <c r="B3" s="769" t="s">
        <v>384</v>
      </c>
      <c r="C3" s="769"/>
      <c r="D3" s="769"/>
      <c r="E3" s="769"/>
      <c r="F3" s="769"/>
      <c r="G3" s="769"/>
      <c r="H3" s="43"/>
    </row>
    <row r="4" spans="1:8" x14ac:dyDescent="0.45">
      <c r="B4" s="769" t="s">
        <v>25</v>
      </c>
      <c r="C4" s="769"/>
      <c r="D4" s="769"/>
      <c r="E4" s="769"/>
      <c r="F4" s="769"/>
      <c r="G4" s="769"/>
      <c r="H4" s="43"/>
    </row>
    <row r="5" spans="1:8" x14ac:dyDescent="0.45">
      <c r="B5" s="770" t="s">
        <v>501</v>
      </c>
      <c r="C5" s="770"/>
      <c r="D5" s="770"/>
      <c r="E5" s="770"/>
      <c r="F5" s="770"/>
      <c r="G5" s="770"/>
      <c r="H5" s="43"/>
    </row>
    <row r="6" spans="1:8" x14ac:dyDescent="0.45">
      <c r="B6" s="771" t="s">
        <v>1</v>
      </c>
      <c r="C6" s="772"/>
      <c r="D6" s="772"/>
      <c r="E6" s="772"/>
      <c r="F6" s="772"/>
      <c r="G6" s="772"/>
      <c r="H6" s="43"/>
    </row>
    <row r="7" spans="1:8" x14ac:dyDescent="0.45">
      <c r="B7" s="43"/>
      <c r="C7" s="43"/>
      <c r="D7" s="43"/>
      <c r="E7" s="46"/>
      <c r="F7" s="46"/>
      <c r="G7" s="43"/>
      <c r="H7" s="43"/>
    </row>
    <row r="8" spans="1:8" x14ac:dyDescent="0.45">
      <c r="A8" s="43" t="s">
        <v>2</v>
      </c>
      <c r="B8" s="617"/>
      <c r="C8" s="43" t="s">
        <v>26</v>
      </c>
      <c r="D8" s="617"/>
      <c r="E8" s="47"/>
      <c r="F8" s="47"/>
      <c r="G8" s="43"/>
      <c r="H8" s="43" t="s">
        <v>2</v>
      </c>
    </row>
    <row r="9" spans="1:8" x14ac:dyDescent="0.45">
      <c r="A9" s="43" t="s">
        <v>6</v>
      </c>
      <c r="C9" s="515" t="s">
        <v>27</v>
      </c>
      <c r="D9" s="617"/>
      <c r="E9" s="516" t="s">
        <v>4</v>
      </c>
      <c r="F9" s="47"/>
      <c r="G9" s="515" t="s">
        <v>5</v>
      </c>
      <c r="H9" s="43" t="s">
        <v>6</v>
      </c>
    </row>
    <row r="10" spans="1:8" x14ac:dyDescent="0.45">
      <c r="C10" s="617"/>
      <c r="D10" s="617"/>
      <c r="E10" s="47"/>
      <c r="F10" s="47"/>
      <c r="G10" s="43"/>
      <c r="H10" s="43"/>
    </row>
    <row r="11" spans="1:8" x14ac:dyDescent="0.45">
      <c r="A11" s="43">
        <v>1</v>
      </c>
      <c r="B11" s="517" t="s">
        <v>320</v>
      </c>
      <c r="C11" s="617"/>
      <c r="D11" s="617"/>
      <c r="E11" s="47"/>
      <c r="F11" s="47"/>
      <c r="G11" s="43"/>
      <c r="H11" s="43">
        <f>A11</f>
        <v>1</v>
      </c>
    </row>
    <row r="12" spans="1:8" x14ac:dyDescent="0.45">
      <c r="A12" s="43">
        <f>+A11+1</f>
        <v>2</v>
      </c>
      <c r="B12" s="518" t="s">
        <v>321</v>
      </c>
      <c r="C12" s="617"/>
      <c r="D12" s="617"/>
      <c r="E12" s="49">
        <v>0</v>
      </c>
      <c r="F12" s="47"/>
      <c r="G12" s="43" t="s">
        <v>526</v>
      </c>
      <c r="H12" s="43">
        <f>H11+1</f>
        <v>2</v>
      </c>
    </row>
    <row r="13" spans="1:8" x14ac:dyDescent="0.45">
      <c r="A13" s="43">
        <f t="shared" ref="A13:A68" si="0">+A12+1</f>
        <v>3</v>
      </c>
      <c r="C13" s="617"/>
      <c r="D13" s="617"/>
      <c r="E13" s="47"/>
      <c r="F13" s="47"/>
      <c r="G13" s="43"/>
      <c r="H13" s="43">
        <f t="shared" ref="H13:H68" si="1">H12+1</f>
        <v>3</v>
      </c>
    </row>
    <row r="14" spans="1:8" x14ac:dyDescent="0.45">
      <c r="A14" s="43">
        <f t="shared" si="0"/>
        <v>4</v>
      </c>
      <c r="B14" s="517" t="s">
        <v>322</v>
      </c>
      <c r="G14" s="43"/>
      <c r="H14" s="43">
        <f t="shared" si="1"/>
        <v>4</v>
      </c>
    </row>
    <row r="15" spans="1:8" x14ac:dyDescent="0.45">
      <c r="A15" s="43">
        <f t="shared" si="0"/>
        <v>5</v>
      </c>
      <c r="B15" s="20" t="s">
        <v>323</v>
      </c>
      <c r="C15" s="43"/>
      <c r="E15" s="49">
        <f>'Pg6.1 Revised AH-2'!D47</f>
        <v>88575.244999999995</v>
      </c>
      <c r="G15" s="43" t="s">
        <v>527</v>
      </c>
      <c r="H15" s="43">
        <f t="shared" si="1"/>
        <v>5</v>
      </c>
    </row>
    <row r="16" spans="1:8" x14ac:dyDescent="0.45">
      <c r="A16" s="43">
        <f t="shared" si="0"/>
        <v>6</v>
      </c>
      <c r="B16" s="28" t="s">
        <v>28</v>
      </c>
      <c r="E16" s="51"/>
      <c r="G16" s="43"/>
      <c r="H16" s="43">
        <f t="shared" si="1"/>
        <v>6</v>
      </c>
    </row>
    <row r="17" spans="1:8" x14ac:dyDescent="0.45">
      <c r="A17" s="43">
        <f t="shared" si="0"/>
        <v>7</v>
      </c>
      <c r="B17" s="20" t="s">
        <v>324</v>
      </c>
      <c r="C17" s="43"/>
      <c r="E17" s="52">
        <f>-'Pg6.1 Revised AH-2'!E51</f>
        <v>-5877.8884600000001</v>
      </c>
      <c r="G17" s="43" t="s">
        <v>528</v>
      </c>
      <c r="H17" s="43">
        <f t="shared" si="1"/>
        <v>7</v>
      </c>
    </row>
    <row r="18" spans="1:8" x14ac:dyDescent="0.45">
      <c r="A18" s="43">
        <f t="shared" si="0"/>
        <v>8</v>
      </c>
      <c r="B18" s="20" t="s">
        <v>325</v>
      </c>
      <c r="E18" s="52">
        <f>-'Pg6.1 Revised AH-2'!E52</f>
        <v>-2718.2313100000001</v>
      </c>
      <c r="G18" s="43" t="s">
        <v>529</v>
      </c>
      <c r="H18" s="43">
        <f t="shared" si="1"/>
        <v>8</v>
      </c>
    </row>
    <row r="19" spans="1:8" x14ac:dyDescent="0.45">
      <c r="A19" s="43">
        <f t="shared" si="0"/>
        <v>9</v>
      </c>
      <c r="B19" s="518" t="s">
        <v>326</v>
      </c>
      <c r="E19" s="52">
        <f>-'Pg6.1 Revised AH-2'!E53</f>
        <v>-8343</v>
      </c>
      <c r="G19" s="43" t="s">
        <v>530</v>
      </c>
      <c r="H19" s="43">
        <f t="shared" si="1"/>
        <v>9</v>
      </c>
    </row>
    <row r="20" spans="1:8" x14ac:dyDescent="0.45">
      <c r="A20" s="43">
        <f t="shared" si="0"/>
        <v>10</v>
      </c>
      <c r="B20" s="518" t="s">
        <v>327</v>
      </c>
      <c r="E20" s="52">
        <f>-'Pg6.1 Revised AH-2'!E54</f>
        <v>-4406.2079999999996</v>
      </c>
      <c r="G20" s="43" t="s">
        <v>531</v>
      </c>
      <c r="H20" s="43">
        <f t="shared" si="1"/>
        <v>10</v>
      </c>
    </row>
    <row r="21" spans="1:8" x14ac:dyDescent="0.45">
      <c r="A21" s="43">
        <f t="shared" si="0"/>
        <v>11</v>
      </c>
      <c r="B21" s="20" t="s">
        <v>328</v>
      </c>
      <c r="E21" s="52">
        <f>-'Pg6.1 Revised AH-2'!E55</f>
        <v>0</v>
      </c>
      <c r="G21" s="43" t="s">
        <v>532</v>
      </c>
      <c r="H21" s="43">
        <f t="shared" si="1"/>
        <v>11</v>
      </c>
    </row>
    <row r="22" spans="1:8" x14ac:dyDescent="0.45">
      <c r="A22" s="43">
        <f t="shared" si="0"/>
        <v>12</v>
      </c>
      <c r="B22" s="20" t="s">
        <v>329</v>
      </c>
      <c r="E22" s="52">
        <f>-'Pg6.1 Revised AH-2'!E61</f>
        <v>-3045.7638999999999</v>
      </c>
      <c r="G22" s="43" t="s">
        <v>533</v>
      </c>
      <c r="H22" s="43">
        <f t="shared" si="1"/>
        <v>12</v>
      </c>
    </row>
    <row r="23" spans="1:8" x14ac:dyDescent="0.45">
      <c r="A23" s="43">
        <f t="shared" si="0"/>
        <v>13</v>
      </c>
      <c r="B23" s="518" t="s">
        <v>330</v>
      </c>
      <c r="E23" s="52">
        <f>-'Pg6.1 Revised AH-2'!E62</f>
        <v>-14934.723</v>
      </c>
      <c r="G23" s="43" t="s">
        <v>534</v>
      </c>
      <c r="H23" s="43">
        <f t="shared" si="1"/>
        <v>13</v>
      </c>
    </row>
    <row r="24" spans="1:8" x14ac:dyDescent="0.45">
      <c r="A24" s="43">
        <f t="shared" si="0"/>
        <v>14</v>
      </c>
      <c r="B24" s="518" t="s">
        <v>331</v>
      </c>
      <c r="E24" s="52">
        <f>-'Pg6.1 Revised AH-2'!E63</f>
        <v>-14791.550999999999</v>
      </c>
      <c r="G24" s="43" t="s">
        <v>535</v>
      </c>
      <c r="H24" s="43">
        <f t="shared" si="1"/>
        <v>14</v>
      </c>
    </row>
    <row r="25" spans="1:8" x14ac:dyDescent="0.45">
      <c r="A25" s="43">
        <f t="shared" si="0"/>
        <v>15</v>
      </c>
      <c r="B25" s="518" t="s">
        <v>332</v>
      </c>
      <c r="E25" s="52">
        <f>-'Pg6.1 Revised AH-2'!E64</f>
        <v>-671.30499999999995</v>
      </c>
      <c r="G25" s="43" t="s">
        <v>536</v>
      </c>
      <c r="H25" s="43">
        <f t="shared" si="1"/>
        <v>15</v>
      </c>
    </row>
    <row r="26" spans="1:8" x14ac:dyDescent="0.45">
      <c r="A26" s="43">
        <f t="shared" si="0"/>
        <v>16</v>
      </c>
      <c r="B26" s="20" t="s">
        <v>333</v>
      </c>
      <c r="E26" s="757">
        <v>0</v>
      </c>
      <c r="G26" s="43" t="s">
        <v>537</v>
      </c>
      <c r="H26" s="43">
        <f t="shared" si="1"/>
        <v>16</v>
      </c>
    </row>
    <row r="27" spans="1:8" ht="15.75" x14ac:dyDescent="0.5">
      <c r="A27" s="43">
        <f t="shared" si="0"/>
        <v>17</v>
      </c>
      <c r="B27" s="20" t="s">
        <v>334</v>
      </c>
      <c r="E27" s="625">
        <f>'Pg6.1 Revised AH-2'!H47</f>
        <v>-543.57100000000003</v>
      </c>
      <c r="F27" s="29" t="s">
        <v>16</v>
      </c>
      <c r="G27" s="43" t="s">
        <v>385</v>
      </c>
      <c r="H27" s="43">
        <f t="shared" si="1"/>
        <v>17</v>
      </c>
    </row>
    <row r="28" spans="1:8" ht="15.75" x14ac:dyDescent="0.5">
      <c r="A28" s="43">
        <f t="shared" si="0"/>
        <v>18</v>
      </c>
      <c r="B28" s="20" t="s">
        <v>335</v>
      </c>
      <c r="E28" s="53">
        <f>SUM(E15:E27)</f>
        <v>33243.003329999992</v>
      </c>
      <c r="F28" s="29" t="s">
        <v>16</v>
      </c>
      <c r="G28" s="38" t="s">
        <v>538</v>
      </c>
      <c r="H28" s="43">
        <f t="shared" si="1"/>
        <v>18</v>
      </c>
    </row>
    <row r="29" spans="1:8" x14ac:dyDescent="0.45">
      <c r="A29" s="43">
        <f t="shared" si="0"/>
        <v>19</v>
      </c>
      <c r="E29" s="42"/>
      <c r="H29" s="43">
        <f t="shared" si="1"/>
        <v>19</v>
      </c>
    </row>
    <row r="30" spans="1:8" x14ac:dyDescent="0.45">
      <c r="A30" s="43">
        <f t="shared" si="0"/>
        <v>20</v>
      </c>
      <c r="B30" s="519" t="s">
        <v>336</v>
      </c>
      <c r="E30" s="54"/>
      <c r="G30" s="43"/>
      <c r="H30" s="43">
        <f t="shared" si="1"/>
        <v>20</v>
      </c>
    </row>
    <row r="31" spans="1:8" x14ac:dyDescent="0.45">
      <c r="A31" s="43">
        <f t="shared" si="0"/>
        <v>21</v>
      </c>
      <c r="B31" s="28" t="s">
        <v>337</v>
      </c>
      <c r="C31" s="43"/>
      <c r="E31" s="49">
        <f>'Pg6.2 Revised AH-3'!D30</f>
        <v>477838.49032000004</v>
      </c>
      <c r="G31" s="43" t="s">
        <v>539</v>
      </c>
      <c r="H31" s="43">
        <f t="shared" si="1"/>
        <v>21</v>
      </c>
    </row>
    <row r="32" spans="1:8" x14ac:dyDescent="0.45">
      <c r="A32" s="43">
        <f t="shared" si="0"/>
        <v>22</v>
      </c>
      <c r="B32" s="28" t="s">
        <v>29</v>
      </c>
      <c r="E32" s="54" t="s">
        <v>11</v>
      </c>
      <c r="G32" s="43"/>
      <c r="H32" s="43">
        <f t="shared" si="1"/>
        <v>22</v>
      </c>
    </row>
    <row r="33" spans="1:10" x14ac:dyDescent="0.45">
      <c r="A33" s="43">
        <f t="shared" si="0"/>
        <v>23</v>
      </c>
      <c r="B33" s="295" t="s">
        <v>386</v>
      </c>
      <c r="E33" s="52">
        <f>-'Pg6.2 Revised AH-3'!D37</f>
        <v>0</v>
      </c>
      <c r="G33" s="43" t="s">
        <v>540</v>
      </c>
      <c r="H33" s="43">
        <f t="shared" si="1"/>
        <v>23</v>
      </c>
      <c r="I33" s="520"/>
      <c r="J33" s="56"/>
    </row>
    <row r="34" spans="1:10" ht="15.6" customHeight="1" x14ac:dyDescent="0.45">
      <c r="A34" s="43">
        <f t="shared" si="0"/>
        <v>24</v>
      </c>
      <c r="B34" s="208" t="s">
        <v>170</v>
      </c>
      <c r="E34" s="52">
        <f>-'Pg6.2 Revised AH-3'!D41</f>
        <v>0</v>
      </c>
      <c r="G34" s="43" t="s">
        <v>541</v>
      </c>
      <c r="H34" s="43">
        <f t="shared" si="1"/>
        <v>24</v>
      </c>
      <c r="I34" s="520"/>
      <c r="J34" s="56"/>
    </row>
    <row r="35" spans="1:10" x14ac:dyDescent="0.45">
      <c r="A35" s="43">
        <f t="shared" si="0"/>
        <v>25</v>
      </c>
      <c r="B35" s="295" t="s">
        <v>31</v>
      </c>
      <c r="E35" s="52">
        <f>-'Pg6.2 Revised AH-3'!D42</f>
        <v>-1333.8680300000003</v>
      </c>
      <c r="G35" s="43" t="s">
        <v>542</v>
      </c>
      <c r="H35" s="43">
        <f t="shared" si="1"/>
        <v>25</v>
      </c>
    </row>
    <row r="36" spans="1:10" x14ac:dyDescent="0.45">
      <c r="A36" s="43">
        <f t="shared" si="0"/>
        <v>26</v>
      </c>
      <c r="B36" s="295" t="s">
        <v>32</v>
      </c>
      <c r="E36" s="52">
        <f>-'Pg6.2 Revised AH-3'!D43</f>
        <v>-8601.3346500000007</v>
      </c>
      <c r="G36" s="43" t="s">
        <v>543</v>
      </c>
      <c r="H36" s="43">
        <f t="shared" si="1"/>
        <v>26</v>
      </c>
      <c r="J36" s="56"/>
    </row>
    <row r="37" spans="1:10" x14ac:dyDescent="0.45">
      <c r="A37" s="43">
        <f t="shared" si="0"/>
        <v>27</v>
      </c>
      <c r="B37" s="295" t="s">
        <v>35</v>
      </c>
      <c r="E37" s="52">
        <f>-'Pg6.2 Revised AH-3'!D44</f>
        <v>-140.84690000000001</v>
      </c>
      <c r="G37" s="43" t="s">
        <v>544</v>
      </c>
      <c r="H37" s="43">
        <f t="shared" si="1"/>
        <v>27</v>
      </c>
      <c r="I37" s="520"/>
    </row>
    <row r="38" spans="1:10" x14ac:dyDescent="0.45">
      <c r="A38" s="43">
        <f t="shared" si="0"/>
        <v>28</v>
      </c>
      <c r="B38" s="295" t="s">
        <v>33</v>
      </c>
      <c r="E38" s="52">
        <f>-'Pg6.2 Revised AH-3'!E45</f>
        <v>-242.68352000000002</v>
      </c>
      <c r="G38" s="43" t="s">
        <v>545</v>
      </c>
      <c r="H38" s="43">
        <f t="shared" si="1"/>
        <v>28</v>
      </c>
      <c r="I38" s="520"/>
      <c r="J38" s="56"/>
    </row>
    <row r="39" spans="1:10" x14ac:dyDescent="0.45">
      <c r="A39" s="43">
        <f t="shared" si="0"/>
        <v>29</v>
      </c>
      <c r="B39" s="295" t="s">
        <v>30</v>
      </c>
      <c r="E39" s="52">
        <f>-('Pg6.2 Revised AH-3'!D36+'Pg6.2 Revised AH-3'!E38+'Pg6.2 Revised AH-3'!D40+'Pg6.2 Revised AH-3'!D46)</f>
        <v>-446.61920875499993</v>
      </c>
      <c r="G39" s="55" t="s">
        <v>546</v>
      </c>
      <c r="H39" s="43">
        <f t="shared" si="1"/>
        <v>29</v>
      </c>
    </row>
    <row r="40" spans="1:10" x14ac:dyDescent="0.45">
      <c r="A40" s="43">
        <f t="shared" si="0"/>
        <v>30</v>
      </c>
      <c r="B40" s="295" t="s">
        <v>34</v>
      </c>
      <c r="E40" s="52">
        <f>-'Pg6.2 Revised AH-3'!E48</f>
        <v>-65.000791141999997</v>
      </c>
      <c r="G40" s="43" t="s">
        <v>547</v>
      </c>
      <c r="H40" s="43">
        <f t="shared" si="1"/>
        <v>30</v>
      </c>
    </row>
    <row r="41" spans="1:10" x14ac:dyDescent="0.45">
      <c r="A41" s="43">
        <f t="shared" si="0"/>
        <v>31</v>
      </c>
      <c r="B41" s="295" t="s">
        <v>36</v>
      </c>
      <c r="E41" s="52">
        <f>-('Pg6.2 Revised AH-3'!E34+'Pg6.2 Revised AH-3'!E35+'Pg6.2 Revised AH-3'!E39+'Pg6.2 Revised AH-3'!D47)</f>
        <v>-134312.73308000001</v>
      </c>
      <c r="G41" s="43" t="s">
        <v>548</v>
      </c>
      <c r="H41" s="43">
        <f t="shared" si="1"/>
        <v>31</v>
      </c>
    </row>
    <row r="42" spans="1:10" ht="15.75" x14ac:dyDescent="0.5">
      <c r="A42" s="43">
        <f t="shared" si="0"/>
        <v>32</v>
      </c>
      <c r="B42" s="20" t="s">
        <v>334</v>
      </c>
      <c r="E42" s="521">
        <f>'Pg6.2 Revised AH-3'!H30</f>
        <v>826.245</v>
      </c>
      <c r="F42" s="29" t="s">
        <v>16</v>
      </c>
      <c r="G42" s="43" t="s">
        <v>387</v>
      </c>
      <c r="H42" s="43">
        <f t="shared" si="1"/>
        <v>32</v>
      </c>
    </row>
    <row r="43" spans="1:10" ht="15.75" x14ac:dyDescent="0.5">
      <c r="A43" s="43">
        <f t="shared" si="0"/>
        <v>33</v>
      </c>
      <c r="B43" s="28" t="s">
        <v>338</v>
      </c>
      <c r="E43" s="58">
        <f>SUM(E31:E42)</f>
        <v>333521.64914010302</v>
      </c>
      <c r="F43" s="29" t="s">
        <v>16</v>
      </c>
      <c r="G43" s="43" t="s">
        <v>549</v>
      </c>
      <c r="H43" s="43">
        <f t="shared" si="1"/>
        <v>33</v>
      </c>
    </row>
    <row r="44" spans="1:10" x14ac:dyDescent="0.45">
      <c r="A44" s="43">
        <f t="shared" si="0"/>
        <v>34</v>
      </c>
      <c r="B44" s="28" t="s">
        <v>37</v>
      </c>
      <c r="E44" s="522">
        <f>-'Pg6.2 Revised AH-3'!F15</f>
        <v>-5523.0058700000009</v>
      </c>
      <c r="G44" s="43" t="s">
        <v>550</v>
      </c>
      <c r="H44" s="43">
        <f t="shared" si="1"/>
        <v>34</v>
      </c>
    </row>
    <row r="45" spans="1:10" ht="15.75" x14ac:dyDescent="0.5">
      <c r="A45" s="43">
        <f t="shared" si="0"/>
        <v>35</v>
      </c>
      <c r="B45" s="28" t="s">
        <v>339</v>
      </c>
      <c r="E45" s="58">
        <f>SUM(E43:E44)</f>
        <v>327998.64327010303</v>
      </c>
      <c r="F45" s="29" t="s">
        <v>16</v>
      </c>
      <c r="G45" s="43" t="s">
        <v>551</v>
      </c>
      <c r="H45" s="43">
        <f t="shared" si="1"/>
        <v>35</v>
      </c>
    </row>
    <row r="46" spans="1:10" x14ac:dyDescent="0.45">
      <c r="A46" s="43">
        <f t="shared" si="0"/>
        <v>36</v>
      </c>
      <c r="B46" s="20" t="s">
        <v>38</v>
      </c>
      <c r="E46" s="523">
        <v>0.10079320306870226</v>
      </c>
      <c r="G46" s="38" t="s">
        <v>552</v>
      </c>
      <c r="H46" s="43">
        <f t="shared" si="1"/>
        <v>36</v>
      </c>
    </row>
    <row r="47" spans="1:10" ht="15.75" x14ac:dyDescent="0.5">
      <c r="A47" s="43">
        <f t="shared" si="0"/>
        <v>37</v>
      </c>
      <c r="B47" s="28" t="s">
        <v>340</v>
      </c>
      <c r="E47" s="59">
        <f>E45*E46</f>
        <v>33060.033857382325</v>
      </c>
      <c r="F47" s="29" t="s">
        <v>16</v>
      </c>
      <c r="G47" s="43" t="s">
        <v>553</v>
      </c>
      <c r="H47" s="43">
        <f t="shared" si="1"/>
        <v>37</v>
      </c>
    </row>
    <row r="48" spans="1:10" x14ac:dyDescent="0.45">
      <c r="A48" s="43">
        <f t="shared" si="0"/>
        <v>38</v>
      </c>
      <c r="B48" s="44" t="s">
        <v>39</v>
      </c>
      <c r="E48" s="524">
        <f>E68*(-E44)</f>
        <v>2171.4326929738986</v>
      </c>
      <c r="G48" s="43" t="s">
        <v>554</v>
      </c>
      <c r="H48" s="43">
        <f t="shared" si="1"/>
        <v>38</v>
      </c>
    </row>
    <row r="49" spans="1:9" ht="16.149999999999999" thickBot="1" x14ac:dyDescent="0.55000000000000004">
      <c r="A49" s="43">
        <f t="shared" si="0"/>
        <v>39</v>
      </c>
      <c r="B49" s="50" t="s">
        <v>341</v>
      </c>
      <c r="E49" s="525">
        <f>E48+E47</f>
        <v>35231.466550356221</v>
      </c>
      <c r="F49" s="29" t="s">
        <v>16</v>
      </c>
      <c r="G49" s="43" t="s">
        <v>555</v>
      </c>
      <c r="H49" s="43">
        <f t="shared" si="1"/>
        <v>39</v>
      </c>
      <c r="I49" s="50"/>
    </row>
    <row r="50" spans="1:9" ht="15.75" thickTop="1" x14ac:dyDescent="0.45">
      <c r="A50" s="43">
        <f t="shared" si="0"/>
        <v>40</v>
      </c>
      <c r="B50" s="61"/>
      <c r="E50" s="62"/>
      <c r="G50" s="43"/>
      <c r="H50" s="43">
        <f t="shared" si="1"/>
        <v>40</v>
      </c>
    </row>
    <row r="51" spans="1:9" x14ac:dyDescent="0.45">
      <c r="A51" s="43">
        <f t="shared" si="0"/>
        <v>41</v>
      </c>
      <c r="B51" s="30" t="s">
        <v>40</v>
      </c>
      <c r="E51" s="63"/>
      <c r="G51" s="43"/>
      <c r="H51" s="43">
        <f t="shared" si="1"/>
        <v>41</v>
      </c>
    </row>
    <row r="52" spans="1:9" x14ac:dyDescent="0.45">
      <c r="A52" s="43">
        <f t="shared" si="0"/>
        <v>42</v>
      </c>
      <c r="B52" s="28" t="s">
        <v>41</v>
      </c>
      <c r="E52" s="39">
        <v>5678390.0500223078</v>
      </c>
      <c r="G52" s="43" t="s">
        <v>556</v>
      </c>
      <c r="H52" s="43">
        <f t="shared" si="1"/>
        <v>42</v>
      </c>
    </row>
    <row r="53" spans="1:9" x14ac:dyDescent="0.45">
      <c r="A53" s="43">
        <f t="shared" si="0"/>
        <v>43</v>
      </c>
      <c r="B53" s="28" t="s">
        <v>20</v>
      </c>
      <c r="E53" s="64">
        <v>0</v>
      </c>
      <c r="G53" s="43" t="s">
        <v>19</v>
      </c>
      <c r="H53" s="43">
        <f t="shared" si="1"/>
        <v>43</v>
      </c>
    </row>
    <row r="54" spans="1:9" x14ac:dyDescent="0.45">
      <c r="A54" s="43">
        <f t="shared" si="0"/>
        <v>44</v>
      </c>
      <c r="B54" s="28" t="s">
        <v>21</v>
      </c>
      <c r="E54" s="65">
        <v>40941.349529324259</v>
      </c>
      <c r="G54" s="66" t="s">
        <v>557</v>
      </c>
      <c r="H54" s="43">
        <f t="shared" si="1"/>
        <v>44</v>
      </c>
    </row>
    <row r="55" spans="1:9" x14ac:dyDescent="0.45">
      <c r="A55" s="43">
        <f t="shared" si="0"/>
        <v>45</v>
      </c>
      <c r="B55" s="28" t="s">
        <v>42</v>
      </c>
      <c r="E55" s="526">
        <v>92197.606041814492</v>
      </c>
      <c r="G55" s="66" t="s">
        <v>558</v>
      </c>
      <c r="H55" s="43">
        <f t="shared" si="1"/>
        <v>45</v>
      </c>
    </row>
    <row r="56" spans="1:9" ht="15.75" thickBot="1" x14ac:dyDescent="0.5">
      <c r="A56" s="43">
        <f t="shared" si="0"/>
        <v>46</v>
      </c>
      <c r="B56" s="28" t="s">
        <v>43</v>
      </c>
      <c r="E56" s="67">
        <f>SUM(E52:E55)</f>
        <v>5811529.0055934461</v>
      </c>
      <c r="G56" s="43" t="s">
        <v>559</v>
      </c>
      <c r="H56" s="43">
        <f t="shared" si="1"/>
        <v>46</v>
      </c>
      <c r="I56" s="50"/>
    </row>
    <row r="57" spans="1:9" ht="15.75" thickTop="1" x14ac:dyDescent="0.45">
      <c r="A57" s="43">
        <f t="shared" si="0"/>
        <v>47</v>
      </c>
      <c r="B57" s="61"/>
      <c r="E57" s="42"/>
      <c r="G57" s="43"/>
      <c r="H57" s="43">
        <f t="shared" si="1"/>
        <v>47</v>
      </c>
    </row>
    <row r="58" spans="1:9" x14ac:dyDescent="0.45">
      <c r="A58" s="43">
        <f t="shared" si="0"/>
        <v>48</v>
      </c>
      <c r="B58" s="28" t="s">
        <v>44</v>
      </c>
      <c r="E58" s="68">
        <f>E52</f>
        <v>5678390.0500223078</v>
      </c>
      <c r="G58" s="69" t="s">
        <v>560</v>
      </c>
      <c r="H58" s="43">
        <f t="shared" si="1"/>
        <v>48</v>
      </c>
    </row>
    <row r="59" spans="1:9" x14ac:dyDescent="0.45">
      <c r="A59" s="43">
        <f t="shared" si="0"/>
        <v>49</v>
      </c>
      <c r="B59" s="28" t="s">
        <v>45</v>
      </c>
      <c r="E59" s="40">
        <v>545863.13696307701</v>
      </c>
      <c r="G59" s="66" t="s">
        <v>561</v>
      </c>
      <c r="H59" s="43">
        <f t="shared" si="1"/>
        <v>49</v>
      </c>
    </row>
    <row r="60" spans="1:9" x14ac:dyDescent="0.45">
      <c r="A60" s="43">
        <f t="shared" si="0"/>
        <v>50</v>
      </c>
      <c r="B60" s="28" t="s">
        <v>46</v>
      </c>
      <c r="E60" s="64">
        <v>0</v>
      </c>
      <c r="G60" s="43" t="s">
        <v>19</v>
      </c>
      <c r="H60" s="43">
        <f t="shared" si="1"/>
        <v>50</v>
      </c>
    </row>
    <row r="61" spans="1:9" x14ac:dyDescent="0.45">
      <c r="A61" s="43">
        <f t="shared" si="0"/>
        <v>51</v>
      </c>
      <c r="B61" s="28" t="s">
        <v>47</v>
      </c>
      <c r="E61" s="40">
        <v>518972.08884384617</v>
      </c>
      <c r="G61" s="66" t="s">
        <v>562</v>
      </c>
      <c r="H61" s="43">
        <f t="shared" si="1"/>
        <v>51</v>
      </c>
    </row>
    <row r="62" spans="1:9" x14ac:dyDescent="0.45">
      <c r="A62" s="43">
        <f t="shared" si="0"/>
        <v>52</v>
      </c>
      <c r="B62" s="28" t="s">
        <v>48</v>
      </c>
      <c r="E62" s="40">
        <v>6717397.8952500001</v>
      </c>
      <c r="G62" s="66" t="s">
        <v>563</v>
      </c>
      <c r="H62" s="43">
        <f t="shared" si="1"/>
        <v>52</v>
      </c>
    </row>
    <row r="63" spans="1:9" x14ac:dyDescent="0.45">
      <c r="A63" s="43">
        <f t="shared" si="0"/>
        <v>53</v>
      </c>
      <c r="B63" s="50" t="s">
        <v>20</v>
      </c>
      <c r="E63" s="64">
        <v>0</v>
      </c>
      <c r="G63" s="43" t="s">
        <v>19</v>
      </c>
      <c r="H63" s="43">
        <f t="shared" si="1"/>
        <v>53</v>
      </c>
    </row>
    <row r="64" spans="1:9" x14ac:dyDescent="0.45">
      <c r="A64" s="43">
        <f t="shared" si="0"/>
        <v>54</v>
      </c>
      <c r="B64" s="28" t="s">
        <v>49</v>
      </c>
      <c r="E64" s="40">
        <v>406191.57128500001</v>
      </c>
      <c r="G64" s="66" t="s">
        <v>564</v>
      </c>
      <c r="H64" s="43">
        <f t="shared" si="1"/>
        <v>54</v>
      </c>
    </row>
    <row r="65" spans="1:9" x14ac:dyDescent="0.45">
      <c r="A65" s="43">
        <f t="shared" si="0"/>
        <v>55</v>
      </c>
      <c r="B65" s="28" t="s">
        <v>50</v>
      </c>
      <c r="E65" s="527">
        <v>914720.46958336188</v>
      </c>
      <c r="G65" s="66" t="s">
        <v>565</v>
      </c>
      <c r="H65" s="43">
        <f t="shared" si="1"/>
        <v>55</v>
      </c>
    </row>
    <row r="66" spans="1:9" ht="15.75" thickBot="1" x14ac:dyDescent="0.5">
      <c r="A66" s="43">
        <f t="shared" si="0"/>
        <v>56</v>
      </c>
      <c r="B66" s="28" t="s">
        <v>51</v>
      </c>
      <c r="E66" s="70">
        <f>SUM(E58:E65)</f>
        <v>14781535.211947592</v>
      </c>
      <c r="G66" s="43" t="s">
        <v>566</v>
      </c>
      <c r="H66" s="43">
        <f t="shared" si="1"/>
        <v>56</v>
      </c>
      <c r="I66" s="50"/>
    </row>
    <row r="67" spans="1:9" ht="15.75" thickTop="1" x14ac:dyDescent="0.45">
      <c r="A67" s="43">
        <f t="shared" si="0"/>
        <v>57</v>
      </c>
      <c r="E67" s="71"/>
      <c r="G67" s="43"/>
      <c r="H67" s="43">
        <f t="shared" si="1"/>
        <v>57</v>
      </c>
    </row>
    <row r="68" spans="1:9" ht="18" thickBot="1" x14ac:dyDescent="0.5">
      <c r="A68" s="43">
        <f t="shared" si="0"/>
        <v>58</v>
      </c>
      <c r="B68" s="28" t="s">
        <v>342</v>
      </c>
      <c r="E68" s="72">
        <f>E56/E66</f>
        <v>0.3931613950962356</v>
      </c>
      <c r="G68" s="43" t="s">
        <v>567</v>
      </c>
      <c r="H68" s="43">
        <f t="shared" si="1"/>
        <v>58</v>
      </c>
      <c r="I68" s="50"/>
    </row>
    <row r="69" spans="1:9" ht="15.75" thickTop="1" x14ac:dyDescent="0.45">
      <c r="B69" s="50" t="s">
        <v>11</v>
      </c>
      <c r="E69" s="73"/>
      <c r="G69" s="43"/>
      <c r="H69" s="43"/>
    </row>
    <row r="70" spans="1:9" ht="15.75" x14ac:dyDescent="0.5">
      <c r="A70" s="29" t="s">
        <v>16</v>
      </c>
      <c r="B70" s="26" t="s">
        <v>388</v>
      </c>
      <c r="E70" s="73"/>
      <c r="F70" s="73"/>
      <c r="G70" s="43"/>
      <c r="H70" s="43"/>
    </row>
    <row r="71" spans="1:9" ht="17.25" x14ac:dyDescent="0.45">
      <c r="A71" s="75">
        <v>1</v>
      </c>
      <c r="B71" s="28" t="s">
        <v>606</v>
      </c>
      <c r="H71" s="43"/>
    </row>
    <row r="72" spans="1:9" x14ac:dyDescent="0.45">
      <c r="B72" s="50"/>
      <c r="E72" s="71"/>
      <c r="F72" s="71"/>
      <c r="G72" s="43"/>
      <c r="H72" s="43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5" header="0.25" footer="0.25"/>
  <pageSetup scale="54" orientation="portrait" r:id="rId1"/>
  <headerFooter scaleWithDoc="0" alignWithMargins="0">
    <oddHeader>&amp;C&amp;"Times New Roman,Bold"REVISED</oddHeader>
    <oddFooter>&amp;CPage 6&amp;R&amp;F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E50B6-648D-4404-899C-BD40B4A9F35D}">
  <sheetPr>
    <pageSetUpPr fitToPage="1"/>
  </sheetPr>
  <dimension ref="A1:N429"/>
  <sheetViews>
    <sheetView zoomScale="80" zoomScaleNormal="80" workbookViewId="0"/>
  </sheetViews>
  <sheetFormatPr defaultColWidth="13.3984375" defaultRowHeight="15.4" x14ac:dyDescent="0.45"/>
  <cols>
    <col min="1" max="1" width="5.265625" style="44" customWidth="1"/>
    <col min="2" max="2" width="8.59765625" style="76" customWidth="1"/>
    <col min="3" max="3" width="63.1328125" style="44" customWidth="1"/>
    <col min="4" max="4" width="16.86328125" style="44" customWidth="1"/>
    <col min="5" max="5" width="16.86328125" style="42" customWidth="1"/>
    <col min="6" max="6" width="16.86328125" style="44" customWidth="1"/>
    <col min="7" max="7" width="1.59765625" style="44" customWidth="1"/>
    <col min="8" max="9" width="16.86328125" style="44" customWidth="1"/>
    <col min="10" max="10" width="30.59765625" style="44" customWidth="1"/>
    <col min="11" max="11" width="5.265625" style="44" customWidth="1"/>
    <col min="12" max="16384" width="13.3984375" style="44"/>
  </cols>
  <sheetData>
    <row r="1" spans="1:14" x14ac:dyDescent="0.45">
      <c r="A1" s="618"/>
      <c r="J1" s="564"/>
    </row>
    <row r="2" spans="1:14" s="618" customFormat="1" ht="15" x14ac:dyDescent="0.45">
      <c r="B2" s="769" t="s">
        <v>24</v>
      </c>
      <c r="C2" s="769"/>
      <c r="D2" s="769"/>
      <c r="E2" s="769"/>
      <c r="F2" s="769"/>
      <c r="G2" s="769"/>
      <c r="H2" s="769"/>
      <c r="I2" s="769"/>
      <c r="J2" s="769"/>
      <c r="K2" s="617"/>
    </row>
    <row r="3" spans="1:14" s="618" customFormat="1" ht="15" x14ac:dyDescent="0.45">
      <c r="B3" s="769" t="s">
        <v>52</v>
      </c>
      <c r="C3" s="769"/>
      <c r="D3" s="769"/>
      <c r="E3" s="769"/>
      <c r="F3" s="769"/>
      <c r="G3" s="769"/>
      <c r="H3" s="769"/>
      <c r="I3" s="769"/>
      <c r="J3" s="769"/>
      <c r="K3" s="528"/>
    </row>
    <row r="4" spans="1:14" s="618" customFormat="1" ht="15" x14ac:dyDescent="0.45">
      <c r="B4" s="769" t="s">
        <v>607</v>
      </c>
      <c r="C4" s="769"/>
      <c r="D4" s="769"/>
      <c r="E4" s="769"/>
      <c r="F4" s="769"/>
      <c r="G4" s="769"/>
      <c r="H4" s="769"/>
      <c r="I4" s="769"/>
      <c r="J4" s="769"/>
      <c r="K4" s="528"/>
    </row>
    <row r="5" spans="1:14" s="618" customFormat="1" ht="15" x14ac:dyDescent="0.45">
      <c r="B5" s="771" t="s">
        <v>1</v>
      </c>
      <c r="C5" s="771"/>
      <c r="D5" s="771"/>
      <c r="E5" s="771"/>
      <c r="F5" s="771"/>
      <c r="G5" s="771"/>
      <c r="H5" s="771"/>
      <c r="I5" s="771"/>
      <c r="J5" s="771"/>
      <c r="K5" s="528"/>
    </row>
    <row r="6" spans="1:14" ht="15.75" thickBot="1" x14ac:dyDescent="0.5">
      <c r="A6" s="529"/>
      <c r="B6" s="78"/>
      <c r="C6" s="79"/>
      <c r="D6" s="79"/>
      <c r="E6" s="80"/>
      <c r="F6" s="79"/>
      <c r="G6" s="79"/>
      <c r="H6" s="79"/>
      <c r="I6" s="79"/>
      <c r="J6" s="79"/>
      <c r="K6" s="79"/>
    </row>
    <row r="7" spans="1:14" s="618" customFormat="1" ht="17.25" x14ac:dyDescent="0.4">
      <c r="A7" s="44"/>
      <c r="B7" s="81"/>
      <c r="C7" s="82"/>
      <c r="D7" s="83" t="s">
        <v>10</v>
      </c>
      <c r="E7" s="84" t="s">
        <v>53</v>
      </c>
      <c r="F7" s="83" t="s">
        <v>54</v>
      </c>
      <c r="G7" s="85"/>
      <c r="H7" s="86" t="s">
        <v>343</v>
      </c>
      <c r="I7" s="86" t="s">
        <v>55</v>
      </c>
      <c r="J7" s="87"/>
      <c r="K7" s="44"/>
    </row>
    <row r="8" spans="1:14" s="618" customFormat="1" x14ac:dyDescent="0.4">
      <c r="A8" s="43" t="s">
        <v>2</v>
      </c>
      <c r="B8" s="88" t="s">
        <v>56</v>
      </c>
      <c r="D8" s="89" t="s">
        <v>9</v>
      </c>
      <c r="E8" s="89" t="s">
        <v>57</v>
      </c>
      <c r="F8" s="89" t="s">
        <v>9</v>
      </c>
      <c r="G8" s="617"/>
      <c r="H8" s="90" t="s">
        <v>344</v>
      </c>
      <c r="I8" s="90" t="s">
        <v>58</v>
      </c>
      <c r="J8" s="91"/>
      <c r="K8" s="43" t="s">
        <v>2</v>
      </c>
    </row>
    <row r="9" spans="1:14" s="618" customFormat="1" x14ac:dyDescent="0.4">
      <c r="A9" s="43" t="s">
        <v>6</v>
      </c>
      <c r="B9" s="530" t="s">
        <v>59</v>
      </c>
      <c r="C9" s="531" t="s">
        <v>3</v>
      </c>
      <c r="D9" s="532" t="s">
        <v>60</v>
      </c>
      <c r="E9" s="532" t="s">
        <v>61</v>
      </c>
      <c r="F9" s="532" t="s">
        <v>62</v>
      </c>
      <c r="G9" s="531"/>
      <c r="H9" s="533" t="s">
        <v>345</v>
      </c>
      <c r="I9" s="533" t="s">
        <v>63</v>
      </c>
      <c r="J9" s="534" t="s">
        <v>5</v>
      </c>
      <c r="K9" s="43" t="s">
        <v>6</v>
      </c>
    </row>
    <row r="10" spans="1:14" s="618" customFormat="1" x14ac:dyDescent="0.45">
      <c r="A10" s="43"/>
      <c r="B10" s="92"/>
      <c r="C10" s="93" t="s">
        <v>64</v>
      </c>
      <c r="D10" s="94"/>
      <c r="E10" s="94"/>
      <c r="F10" s="94"/>
      <c r="G10" s="95"/>
      <c r="H10" s="95"/>
      <c r="I10" s="626"/>
      <c r="J10" s="96"/>
      <c r="K10" s="43"/>
      <c r="M10" s="44"/>
      <c r="N10" s="44"/>
    </row>
    <row r="11" spans="1:14" s="618" customFormat="1" ht="15.75" x14ac:dyDescent="0.5">
      <c r="A11" s="43">
        <v>1</v>
      </c>
      <c r="B11" s="103">
        <v>560</v>
      </c>
      <c r="C11" s="44" t="s">
        <v>65</v>
      </c>
      <c r="D11" s="98">
        <v>6649.0659999999998</v>
      </c>
      <c r="E11" s="98">
        <v>0</v>
      </c>
      <c r="F11" s="98">
        <f>D11-E11</f>
        <v>6649.0659999999998</v>
      </c>
      <c r="G11" s="29" t="s">
        <v>16</v>
      </c>
      <c r="H11" s="120">
        <v>-543.57100000000003</v>
      </c>
      <c r="I11" s="122">
        <f>F11+H11</f>
        <v>6105.4949999999999</v>
      </c>
      <c r="J11" s="99" t="s">
        <v>66</v>
      </c>
      <c r="K11" s="43">
        <f>A11</f>
        <v>1</v>
      </c>
      <c r="M11" s="44"/>
      <c r="N11" s="44"/>
    </row>
    <row r="12" spans="1:14" s="618" customFormat="1" x14ac:dyDescent="0.45">
      <c r="A12" s="43">
        <f>A11+1</f>
        <v>2</v>
      </c>
      <c r="B12" s="97">
        <v>561.1</v>
      </c>
      <c r="C12" s="44" t="s">
        <v>67</v>
      </c>
      <c r="D12" s="100">
        <v>543.58699999999999</v>
      </c>
      <c r="E12" s="100">
        <v>0</v>
      </c>
      <c r="F12" s="100">
        <f>D12-E12</f>
        <v>543.58699999999999</v>
      </c>
      <c r="G12" s="101"/>
      <c r="H12" s="101"/>
      <c r="I12" s="100">
        <f>F12+H12</f>
        <v>543.58699999999999</v>
      </c>
      <c r="J12" s="99" t="s">
        <v>68</v>
      </c>
      <c r="K12" s="43">
        <f>K11+1</f>
        <v>2</v>
      </c>
      <c r="M12" s="44"/>
      <c r="N12" s="44"/>
    </row>
    <row r="13" spans="1:14" s="618" customFormat="1" x14ac:dyDescent="0.45">
      <c r="A13" s="43">
        <f t="shared" ref="A13:A76" si="0">A12+1</f>
        <v>3</v>
      </c>
      <c r="B13" s="97">
        <v>561.20000000000005</v>
      </c>
      <c r="C13" s="44" t="s">
        <v>69</v>
      </c>
      <c r="D13" s="100">
        <v>1623.6130000000001</v>
      </c>
      <c r="E13" s="100">
        <v>0</v>
      </c>
      <c r="F13" s="100">
        <f>D13-E13</f>
        <v>1623.6130000000001</v>
      </c>
      <c r="G13" s="101"/>
      <c r="H13" s="101"/>
      <c r="I13" s="100">
        <f t="shared" ref="I13:I24" si="1">F13+H13</f>
        <v>1623.6130000000001</v>
      </c>
      <c r="J13" s="99" t="s">
        <v>70</v>
      </c>
      <c r="K13" s="43">
        <f t="shared" ref="K13:K76" si="2">K12+1</f>
        <v>3</v>
      </c>
      <c r="M13" s="44"/>
      <c r="N13" s="44"/>
    </row>
    <row r="14" spans="1:14" s="618" customFormat="1" x14ac:dyDescent="0.45">
      <c r="A14" s="43">
        <f t="shared" si="0"/>
        <v>4</v>
      </c>
      <c r="B14" s="97">
        <v>561.29999999999995</v>
      </c>
      <c r="C14" s="44" t="s">
        <v>71</v>
      </c>
      <c r="D14" s="100">
        <v>228.21799999999999</v>
      </c>
      <c r="E14" s="100">
        <v>0</v>
      </c>
      <c r="F14" s="100">
        <f>D14-E14</f>
        <v>228.21799999999999</v>
      </c>
      <c r="G14" s="101"/>
      <c r="H14" s="101"/>
      <c r="I14" s="100">
        <f t="shared" si="1"/>
        <v>228.21799999999999</v>
      </c>
      <c r="J14" s="99" t="s">
        <v>72</v>
      </c>
      <c r="K14" s="43">
        <f t="shared" si="2"/>
        <v>4</v>
      </c>
      <c r="M14" s="44"/>
      <c r="N14" s="44"/>
    </row>
    <row r="15" spans="1:14" s="618" customFormat="1" x14ac:dyDescent="0.45">
      <c r="A15" s="43">
        <f t="shared" si="0"/>
        <v>5</v>
      </c>
      <c r="B15" s="97">
        <v>561.4</v>
      </c>
      <c r="C15" s="44" t="s">
        <v>73</v>
      </c>
      <c r="D15" s="100">
        <v>5880.4229999999998</v>
      </c>
      <c r="E15" s="100">
        <f>E51</f>
        <v>5877.8884600000001</v>
      </c>
      <c r="F15" s="100">
        <f t="shared" ref="F15:F17" si="3">D15-E15</f>
        <v>2.5345399999996516</v>
      </c>
      <c r="G15" s="101"/>
      <c r="H15" s="101"/>
      <c r="I15" s="100">
        <f t="shared" si="1"/>
        <v>2.5345399999996516</v>
      </c>
      <c r="J15" s="99" t="s">
        <v>74</v>
      </c>
      <c r="K15" s="43">
        <f t="shared" si="2"/>
        <v>5</v>
      </c>
      <c r="M15" s="44"/>
      <c r="N15" s="44"/>
    </row>
    <row r="16" spans="1:14" s="618" customFormat="1" x14ac:dyDescent="0.45">
      <c r="A16" s="43">
        <f t="shared" si="0"/>
        <v>6</v>
      </c>
      <c r="B16" s="97">
        <v>561.5</v>
      </c>
      <c r="C16" s="44" t="s">
        <v>75</v>
      </c>
      <c r="D16" s="100">
        <v>161.16</v>
      </c>
      <c r="E16" s="100">
        <v>0</v>
      </c>
      <c r="F16" s="100">
        <f t="shared" si="3"/>
        <v>161.16</v>
      </c>
      <c r="G16" s="101"/>
      <c r="H16" s="101"/>
      <c r="I16" s="100">
        <f t="shared" si="1"/>
        <v>161.16</v>
      </c>
      <c r="J16" s="99" t="s">
        <v>76</v>
      </c>
      <c r="K16" s="43">
        <f t="shared" si="2"/>
        <v>6</v>
      </c>
      <c r="M16" s="44"/>
      <c r="N16" s="44"/>
    </row>
    <row r="17" spans="1:14" s="618" customFormat="1" x14ac:dyDescent="0.45">
      <c r="A17" s="43">
        <f t="shared" si="0"/>
        <v>7</v>
      </c>
      <c r="B17" s="97">
        <v>561.6</v>
      </c>
      <c r="C17" s="44" t="s">
        <v>77</v>
      </c>
      <c r="D17" s="100">
        <v>0</v>
      </c>
      <c r="E17" s="100">
        <v>0</v>
      </c>
      <c r="F17" s="100">
        <f t="shared" si="3"/>
        <v>0</v>
      </c>
      <c r="G17" s="101"/>
      <c r="H17" s="101"/>
      <c r="I17" s="100">
        <f t="shared" si="1"/>
        <v>0</v>
      </c>
      <c r="J17" s="99" t="s">
        <v>78</v>
      </c>
      <c r="K17" s="43">
        <f t="shared" si="2"/>
        <v>7</v>
      </c>
      <c r="M17" s="44"/>
      <c r="N17" s="44"/>
    </row>
    <row r="18" spans="1:14" s="618" customFormat="1" x14ac:dyDescent="0.45">
      <c r="A18" s="43">
        <f t="shared" si="0"/>
        <v>8</v>
      </c>
      <c r="B18" s="97">
        <v>561.70000000000005</v>
      </c>
      <c r="C18" s="44" t="s">
        <v>79</v>
      </c>
      <c r="D18" s="100">
        <v>2.0910000000000002</v>
      </c>
      <c r="E18" s="100">
        <v>0</v>
      </c>
      <c r="F18" s="100">
        <f>D18-E18</f>
        <v>2.0910000000000002</v>
      </c>
      <c r="G18" s="102"/>
      <c r="H18" s="101"/>
      <c r="I18" s="100">
        <f t="shared" si="1"/>
        <v>2.0910000000000002</v>
      </c>
      <c r="J18" s="99" t="s">
        <v>80</v>
      </c>
      <c r="K18" s="43">
        <f t="shared" si="2"/>
        <v>8</v>
      </c>
      <c r="M18" s="44"/>
      <c r="N18" s="44"/>
    </row>
    <row r="19" spans="1:14" s="618" customFormat="1" x14ac:dyDescent="0.45">
      <c r="A19" s="43">
        <f t="shared" si="0"/>
        <v>9</v>
      </c>
      <c r="B19" s="97">
        <v>561.79999999999995</v>
      </c>
      <c r="C19" s="44" t="s">
        <v>81</v>
      </c>
      <c r="D19" s="100">
        <v>3340.0349999999999</v>
      </c>
      <c r="E19" s="101">
        <f>E52</f>
        <v>2718.2313100000001</v>
      </c>
      <c r="F19" s="100">
        <f t="shared" ref="F19:F20" si="4">D19-E19</f>
        <v>621.80368999999973</v>
      </c>
      <c r="G19" s="102"/>
      <c r="H19" s="101"/>
      <c r="I19" s="100">
        <f t="shared" si="1"/>
        <v>621.80368999999973</v>
      </c>
      <c r="J19" s="99" t="s">
        <v>82</v>
      </c>
      <c r="K19" s="43">
        <f t="shared" si="2"/>
        <v>9</v>
      </c>
      <c r="M19" s="44"/>
      <c r="N19" s="44"/>
    </row>
    <row r="20" spans="1:14" s="618" customFormat="1" ht="17.25" x14ac:dyDescent="0.45">
      <c r="A20" s="43">
        <f t="shared" si="0"/>
        <v>10</v>
      </c>
      <c r="B20" s="97">
        <v>562</v>
      </c>
      <c r="C20" s="44" t="s">
        <v>346</v>
      </c>
      <c r="D20" s="100">
        <v>8343</v>
      </c>
      <c r="E20" s="101">
        <f>E53</f>
        <v>8343</v>
      </c>
      <c r="F20" s="100">
        <f t="shared" si="4"/>
        <v>0</v>
      </c>
      <c r="G20" s="102"/>
      <c r="H20" s="101"/>
      <c r="I20" s="100">
        <f t="shared" si="1"/>
        <v>0</v>
      </c>
      <c r="J20" s="99" t="s">
        <v>83</v>
      </c>
      <c r="K20" s="43">
        <f t="shared" si="2"/>
        <v>10</v>
      </c>
      <c r="L20" s="535"/>
      <c r="M20" s="44"/>
      <c r="N20" s="44"/>
    </row>
    <row r="21" spans="1:14" s="618" customFormat="1" x14ac:dyDescent="0.45">
      <c r="A21" s="43">
        <f t="shared" si="0"/>
        <v>11</v>
      </c>
      <c r="B21" s="97">
        <v>563</v>
      </c>
      <c r="C21" s="44" t="s">
        <v>347</v>
      </c>
      <c r="D21" s="100">
        <v>4406.2079999999996</v>
      </c>
      <c r="E21" s="100">
        <f>E54</f>
        <v>4406.2079999999996</v>
      </c>
      <c r="F21" s="100">
        <f>D21-E21</f>
        <v>0</v>
      </c>
      <c r="G21" s="102"/>
      <c r="H21" s="101"/>
      <c r="I21" s="100">
        <f t="shared" si="1"/>
        <v>0</v>
      </c>
      <c r="J21" s="99" t="s">
        <v>84</v>
      </c>
      <c r="K21" s="43">
        <f t="shared" si="2"/>
        <v>11</v>
      </c>
      <c r="L21" s="536"/>
      <c r="M21" s="44"/>
      <c r="N21" s="44"/>
    </row>
    <row r="22" spans="1:14" s="618" customFormat="1" x14ac:dyDescent="0.45">
      <c r="A22" s="43">
        <f t="shared" si="0"/>
        <v>12</v>
      </c>
      <c r="B22" s="97">
        <v>564</v>
      </c>
      <c r="C22" s="44" t="s">
        <v>85</v>
      </c>
      <c r="D22" s="100">
        <v>0</v>
      </c>
      <c r="E22" s="100">
        <v>0</v>
      </c>
      <c r="F22" s="100">
        <f>D22-E22</f>
        <v>0</v>
      </c>
      <c r="G22" s="102"/>
      <c r="H22" s="101"/>
      <c r="I22" s="100">
        <f t="shared" si="1"/>
        <v>0</v>
      </c>
      <c r="J22" s="99" t="s">
        <v>86</v>
      </c>
      <c r="K22" s="43">
        <f t="shared" si="2"/>
        <v>12</v>
      </c>
      <c r="M22" s="44"/>
      <c r="N22" s="44"/>
    </row>
    <row r="23" spans="1:14" s="618" customFormat="1" x14ac:dyDescent="0.45">
      <c r="A23" s="43">
        <f t="shared" si="0"/>
        <v>13</v>
      </c>
      <c r="B23" s="97">
        <v>565</v>
      </c>
      <c r="C23" s="44" t="s">
        <v>87</v>
      </c>
      <c r="D23" s="100">
        <v>0</v>
      </c>
      <c r="E23" s="100">
        <f>E55</f>
        <v>0</v>
      </c>
      <c r="F23" s="100">
        <f t="shared" ref="F23:F24" si="5">D23-E23</f>
        <v>0</v>
      </c>
      <c r="G23" s="102"/>
      <c r="H23" s="101"/>
      <c r="I23" s="100">
        <f t="shared" si="1"/>
        <v>0</v>
      </c>
      <c r="J23" s="99" t="s">
        <v>88</v>
      </c>
      <c r="K23" s="43">
        <f t="shared" si="2"/>
        <v>13</v>
      </c>
      <c r="M23" s="44"/>
      <c r="N23" s="44"/>
    </row>
    <row r="24" spans="1:14" s="618" customFormat="1" x14ac:dyDescent="0.45">
      <c r="A24" s="43">
        <f t="shared" si="0"/>
        <v>14</v>
      </c>
      <c r="B24" s="97">
        <v>566</v>
      </c>
      <c r="C24" s="44" t="s">
        <v>89</v>
      </c>
      <c r="D24" s="100">
        <v>18341.678</v>
      </c>
      <c r="E24" s="101">
        <f>E61</f>
        <v>3045.7638999999999</v>
      </c>
      <c r="F24" s="100">
        <f t="shared" si="5"/>
        <v>15295.9141</v>
      </c>
      <c r="G24" s="102"/>
      <c r="H24" s="101"/>
      <c r="I24" s="100">
        <f t="shared" si="1"/>
        <v>15295.9141</v>
      </c>
      <c r="J24" s="99" t="s">
        <v>90</v>
      </c>
      <c r="K24" s="43">
        <f t="shared" si="2"/>
        <v>14</v>
      </c>
      <c r="M24" s="44"/>
      <c r="N24" s="44"/>
    </row>
    <row r="25" spans="1:14" s="618" customFormat="1" x14ac:dyDescent="0.45">
      <c r="A25" s="43">
        <f t="shared" si="0"/>
        <v>15</v>
      </c>
      <c r="B25" s="97">
        <v>567</v>
      </c>
      <c r="C25" s="44" t="s">
        <v>91</v>
      </c>
      <c r="D25" s="537">
        <v>2890.1129999999998</v>
      </c>
      <c r="E25" s="537">
        <v>0</v>
      </c>
      <c r="F25" s="537">
        <f>D25-E25</f>
        <v>2890.1129999999998</v>
      </c>
      <c r="G25" s="538"/>
      <c r="H25" s="514"/>
      <c r="I25" s="537">
        <f>F25+H25</f>
        <v>2890.1129999999998</v>
      </c>
      <c r="J25" s="99" t="s">
        <v>92</v>
      </c>
      <c r="K25" s="43">
        <f t="shared" si="2"/>
        <v>15</v>
      </c>
      <c r="M25" s="44"/>
      <c r="N25" s="44"/>
    </row>
    <row r="26" spans="1:14" s="618" customFormat="1" x14ac:dyDescent="0.45">
      <c r="A26" s="43">
        <f t="shared" si="0"/>
        <v>16</v>
      </c>
      <c r="B26" s="97"/>
      <c r="C26" s="44"/>
      <c r="D26" s="100"/>
      <c r="E26" s="101"/>
      <c r="F26" s="100"/>
      <c r="G26" s="101"/>
      <c r="H26" s="101"/>
      <c r="I26" s="100"/>
      <c r="J26" s="99"/>
      <c r="K26" s="43">
        <f t="shared" si="2"/>
        <v>16</v>
      </c>
      <c r="M26" s="44"/>
      <c r="N26" s="44"/>
    </row>
    <row r="27" spans="1:14" s="618" customFormat="1" ht="16.149999999999999" thickBot="1" x14ac:dyDescent="0.55000000000000004">
      <c r="A27" s="43">
        <f t="shared" si="0"/>
        <v>17</v>
      </c>
      <c r="B27" s="105"/>
      <c r="C27" s="106" t="s">
        <v>93</v>
      </c>
      <c r="D27" s="107">
        <f>SUM(D11:D25)</f>
        <v>52409.191999999995</v>
      </c>
      <c r="E27" s="108">
        <f>SUM(E11:E25)</f>
        <v>24391.091670000002</v>
      </c>
      <c r="F27" s="107">
        <f>SUM(F11:F25)</f>
        <v>28018.100330000005</v>
      </c>
      <c r="G27" s="109" t="s">
        <v>16</v>
      </c>
      <c r="H27" s="110">
        <f>SUM(H11:H25)</f>
        <v>-543.57100000000003</v>
      </c>
      <c r="I27" s="540">
        <f>SUM(I11:I25)</f>
        <v>27474.529330000001</v>
      </c>
      <c r="J27" s="111" t="str">
        <f>"Sum Lines "&amp;A11&amp;" thru "&amp;A25</f>
        <v>Sum Lines 1 thru 15</v>
      </c>
      <c r="K27" s="43">
        <f t="shared" si="2"/>
        <v>17</v>
      </c>
      <c r="M27" s="57"/>
      <c r="N27" s="44"/>
    </row>
    <row r="28" spans="1:14" s="618" customFormat="1" x14ac:dyDescent="0.45">
      <c r="A28" s="43">
        <f t="shared" si="0"/>
        <v>18</v>
      </c>
      <c r="B28" s="112"/>
      <c r="C28" s="44"/>
      <c r="D28" s="113"/>
      <c r="E28" s="114"/>
      <c r="F28" s="113"/>
      <c r="G28" s="115"/>
      <c r="H28" s="114"/>
      <c r="I28" s="113"/>
      <c r="J28" s="99"/>
      <c r="K28" s="43">
        <f t="shared" si="2"/>
        <v>18</v>
      </c>
      <c r="M28" s="44"/>
      <c r="N28" s="44"/>
    </row>
    <row r="29" spans="1:14" s="618" customFormat="1" x14ac:dyDescent="0.45">
      <c r="A29" s="43">
        <f t="shared" si="0"/>
        <v>19</v>
      </c>
      <c r="B29" s="92"/>
      <c r="C29" s="93" t="s">
        <v>94</v>
      </c>
      <c r="D29" s="113"/>
      <c r="E29" s="114"/>
      <c r="F29" s="113"/>
      <c r="G29" s="115"/>
      <c r="H29" s="114"/>
      <c r="I29" s="113"/>
      <c r="J29" s="99"/>
      <c r="K29" s="43">
        <f t="shared" si="2"/>
        <v>19</v>
      </c>
      <c r="M29" s="44"/>
      <c r="N29" s="44"/>
    </row>
    <row r="30" spans="1:14" s="618" customFormat="1" x14ac:dyDescent="0.45">
      <c r="A30" s="43">
        <f t="shared" si="0"/>
        <v>20</v>
      </c>
      <c r="B30" s="97">
        <v>568</v>
      </c>
      <c r="C30" s="44" t="s">
        <v>95</v>
      </c>
      <c r="D30" s="98">
        <v>2329.3449999999998</v>
      </c>
      <c r="E30" s="98">
        <v>0</v>
      </c>
      <c r="F30" s="98">
        <f t="shared" ref="F30:F31" si="6">D30-E30</f>
        <v>2329.3449999999998</v>
      </c>
      <c r="G30" s="116"/>
      <c r="H30" s="41"/>
      <c r="I30" s="98">
        <f>F30+H30</f>
        <v>2329.3449999999998</v>
      </c>
      <c r="J30" s="99" t="s">
        <v>96</v>
      </c>
      <c r="K30" s="43">
        <f t="shared" si="2"/>
        <v>20</v>
      </c>
      <c r="M30" s="44"/>
      <c r="N30" s="44"/>
    </row>
    <row r="31" spans="1:14" s="618" customFormat="1" x14ac:dyDescent="0.45">
      <c r="A31" s="43">
        <f t="shared" si="0"/>
        <v>21</v>
      </c>
      <c r="B31" s="97">
        <v>569</v>
      </c>
      <c r="C31" s="44" t="s">
        <v>97</v>
      </c>
      <c r="D31" s="100">
        <v>9.9350000000000005</v>
      </c>
      <c r="E31" s="101">
        <v>0</v>
      </c>
      <c r="F31" s="100">
        <f t="shared" si="6"/>
        <v>9.9350000000000005</v>
      </c>
      <c r="G31" s="102"/>
      <c r="H31" s="101"/>
      <c r="I31" s="100">
        <f>F31+H31</f>
        <v>9.9350000000000005</v>
      </c>
      <c r="J31" s="99" t="s">
        <v>98</v>
      </c>
      <c r="K31" s="43">
        <f t="shared" si="2"/>
        <v>21</v>
      </c>
      <c r="M31" s="44"/>
      <c r="N31" s="44"/>
    </row>
    <row r="32" spans="1:14" s="618" customFormat="1" x14ac:dyDescent="0.45">
      <c r="A32" s="43">
        <f t="shared" si="0"/>
        <v>22</v>
      </c>
      <c r="B32" s="97">
        <v>569.1</v>
      </c>
      <c r="C32" s="44" t="s">
        <v>99</v>
      </c>
      <c r="D32" s="100">
        <v>1322.203</v>
      </c>
      <c r="E32" s="101">
        <v>0</v>
      </c>
      <c r="F32" s="100">
        <f>D32-E32</f>
        <v>1322.203</v>
      </c>
      <c r="G32" s="102"/>
      <c r="H32" s="101"/>
      <c r="I32" s="100">
        <f t="shared" ref="I32:I39" si="7">F32+H32</f>
        <v>1322.203</v>
      </c>
      <c r="J32" s="99" t="s">
        <v>100</v>
      </c>
      <c r="K32" s="43">
        <f t="shared" si="2"/>
        <v>22</v>
      </c>
      <c r="M32" s="44"/>
      <c r="N32" s="44"/>
    </row>
    <row r="33" spans="1:14" s="618" customFormat="1" x14ac:dyDescent="0.45">
      <c r="A33" s="43">
        <f t="shared" si="0"/>
        <v>23</v>
      </c>
      <c r="B33" s="97">
        <v>569.20000000000005</v>
      </c>
      <c r="C33" s="44" t="s">
        <v>101</v>
      </c>
      <c r="D33" s="100">
        <v>1941.6030000000001</v>
      </c>
      <c r="E33" s="101">
        <v>0</v>
      </c>
      <c r="F33" s="100">
        <f t="shared" ref="F33:F35" si="8">D33-E33</f>
        <v>1941.6030000000001</v>
      </c>
      <c r="G33" s="102"/>
      <c r="H33" s="101"/>
      <c r="I33" s="100">
        <f t="shared" si="7"/>
        <v>1941.6030000000001</v>
      </c>
      <c r="J33" s="99" t="s">
        <v>102</v>
      </c>
      <c r="K33" s="43">
        <f t="shared" si="2"/>
        <v>23</v>
      </c>
      <c r="M33" s="44"/>
      <c r="N33" s="44"/>
    </row>
    <row r="34" spans="1:14" s="618" customFormat="1" x14ac:dyDescent="0.45">
      <c r="A34" s="43">
        <f t="shared" si="0"/>
        <v>24</v>
      </c>
      <c r="B34" s="97">
        <v>569.29999999999995</v>
      </c>
      <c r="C34" s="44" t="s">
        <v>103</v>
      </c>
      <c r="D34" s="100">
        <v>0</v>
      </c>
      <c r="E34" s="101">
        <v>0</v>
      </c>
      <c r="F34" s="100">
        <f t="shared" si="8"/>
        <v>0</v>
      </c>
      <c r="G34" s="102"/>
      <c r="H34" s="101"/>
      <c r="I34" s="100">
        <f t="shared" si="7"/>
        <v>0</v>
      </c>
      <c r="J34" s="99" t="s">
        <v>104</v>
      </c>
      <c r="K34" s="43">
        <f t="shared" si="2"/>
        <v>24</v>
      </c>
      <c r="M34" s="44"/>
      <c r="N34" s="44"/>
    </row>
    <row r="35" spans="1:14" s="618" customFormat="1" x14ac:dyDescent="0.45">
      <c r="A35" s="43">
        <f t="shared" si="0"/>
        <v>25</v>
      </c>
      <c r="B35" s="97">
        <v>569.4</v>
      </c>
      <c r="C35" s="44" t="s">
        <v>105</v>
      </c>
      <c r="D35" s="100">
        <v>165.38800000000001</v>
      </c>
      <c r="E35" s="101">
        <v>0</v>
      </c>
      <c r="F35" s="100">
        <f t="shared" si="8"/>
        <v>165.38800000000001</v>
      </c>
      <c r="G35" s="102"/>
      <c r="H35" s="101"/>
      <c r="I35" s="100">
        <f t="shared" si="7"/>
        <v>165.38800000000001</v>
      </c>
      <c r="J35" s="99" t="s">
        <v>106</v>
      </c>
      <c r="K35" s="43">
        <f t="shared" si="2"/>
        <v>25</v>
      </c>
      <c r="M35" s="44"/>
      <c r="N35" s="44"/>
    </row>
    <row r="36" spans="1:14" s="618" customFormat="1" ht="17.649999999999999" x14ac:dyDescent="0.45">
      <c r="A36" s="43">
        <f t="shared" si="0"/>
        <v>26</v>
      </c>
      <c r="B36" s="97">
        <v>570</v>
      </c>
      <c r="C36" s="44" t="s">
        <v>348</v>
      </c>
      <c r="D36" s="100">
        <v>14934.723</v>
      </c>
      <c r="E36" s="101">
        <f>E62</f>
        <v>14934.723</v>
      </c>
      <c r="F36" s="100">
        <f>D36-E36</f>
        <v>0</v>
      </c>
      <c r="G36" s="102"/>
      <c r="H36" s="101"/>
      <c r="I36" s="100">
        <f t="shared" si="7"/>
        <v>0</v>
      </c>
      <c r="J36" s="99" t="s">
        <v>107</v>
      </c>
      <c r="K36" s="43">
        <f t="shared" si="2"/>
        <v>26</v>
      </c>
      <c r="M36" s="44"/>
      <c r="N36" s="44"/>
    </row>
    <row r="37" spans="1:14" s="618" customFormat="1" ht="17.649999999999999" x14ac:dyDescent="0.45">
      <c r="A37" s="43">
        <f t="shared" si="0"/>
        <v>27</v>
      </c>
      <c r="B37" s="97">
        <v>571</v>
      </c>
      <c r="C37" s="44" t="s">
        <v>349</v>
      </c>
      <c r="D37" s="100">
        <v>14791.550999999999</v>
      </c>
      <c r="E37" s="101">
        <f>E63</f>
        <v>14791.550999999999</v>
      </c>
      <c r="F37" s="100">
        <f t="shared" ref="F37:F38" si="9">D37-E37</f>
        <v>0</v>
      </c>
      <c r="G37" s="102"/>
      <c r="H37" s="101"/>
      <c r="I37" s="100">
        <f t="shared" si="7"/>
        <v>0</v>
      </c>
      <c r="J37" s="99" t="s">
        <v>108</v>
      </c>
      <c r="K37" s="43">
        <f t="shared" si="2"/>
        <v>27</v>
      </c>
      <c r="M37" s="44"/>
      <c r="N37" s="44"/>
    </row>
    <row r="38" spans="1:14" s="618" customFormat="1" ht="17.25" x14ac:dyDescent="0.45">
      <c r="A38" s="43">
        <f t="shared" si="0"/>
        <v>28</v>
      </c>
      <c r="B38" s="97">
        <v>572</v>
      </c>
      <c r="C38" s="44" t="s">
        <v>350</v>
      </c>
      <c r="D38" s="100">
        <v>671.30499999999995</v>
      </c>
      <c r="E38" s="101">
        <f>E64</f>
        <v>671.30499999999995</v>
      </c>
      <c r="F38" s="100">
        <f t="shared" si="9"/>
        <v>0</v>
      </c>
      <c r="G38" s="101"/>
      <c r="H38" s="101"/>
      <c r="I38" s="100">
        <f t="shared" si="7"/>
        <v>0</v>
      </c>
      <c r="J38" s="99" t="s">
        <v>109</v>
      </c>
      <c r="K38" s="43">
        <f t="shared" si="2"/>
        <v>28</v>
      </c>
      <c r="M38" s="44"/>
      <c r="N38" s="44"/>
    </row>
    <row r="39" spans="1:14" s="618" customFormat="1" x14ac:dyDescent="0.45">
      <c r="A39" s="43">
        <f t="shared" si="0"/>
        <v>29</v>
      </c>
      <c r="B39" s="97">
        <v>573</v>
      </c>
      <c r="C39" s="44" t="s">
        <v>110</v>
      </c>
      <c r="D39" s="537">
        <v>0</v>
      </c>
      <c r="E39" s="537">
        <v>0</v>
      </c>
      <c r="F39" s="537">
        <f>D39-E39</f>
        <v>0</v>
      </c>
      <c r="G39" s="538"/>
      <c r="H39" s="514"/>
      <c r="I39" s="537">
        <f t="shared" si="7"/>
        <v>0</v>
      </c>
      <c r="J39" s="99" t="s">
        <v>111</v>
      </c>
      <c r="K39" s="43">
        <f t="shared" si="2"/>
        <v>29</v>
      </c>
      <c r="M39" s="44"/>
      <c r="N39" s="44"/>
    </row>
    <row r="40" spans="1:14" s="618" customFormat="1" x14ac:dyDescent="0.45">
      <c r="A40" s="43">
        <f t="shared" si="0"/>
        <v>30</v>
      </c>
      <c r="B40" s="97"/>
      <c r="C40" s="44"/>
      <c r="D40" s="117"/>
      <c r="E40" s="101"/>
      <c r="F40" s="117"/>
      <c r="G40" s="101"/>
      <c r="H40" s="101"/>
      <c r="I40" s="100"/>
      <c r="J40" s="99"/>
      <c r="K40" s="43">
        <f t="shared" si="2"/>
        <v>30</v>
      </c>
      <c r="M40" s="44"/>
      <c r="N40" s="44"/>
    </row>
    <row r="41" spans="1:14" s="618" customFormat="1" x14ac:dyDescent="0.45">
      <c r="A41" s="43">
        <f t="shared" si="0"/>
        <v>31</v>
      </c>
      <c r="B41" s="112"/>
      <c r="C41" s="118" t="s">
        <v>351</v>
      </c>
      <c r="D41" s="98">
        <f>SUM(D30:D39)</f>
        <v>36166.053</v>
      </c>
      <c r="E41" s="98">
        <f>SUM(E30:E39)</f>
        <v>30397.578999999998</v>
      </c>
      <c r="F41" s="627">
        <f>SUM(F30:F39)</f>
        <v>5768.4739999999993</v>
      </c>
      <c r="G41" s="541"/>
      <c r="H41" s="542">
        <f t="shared" ref="H41:I41" si="10">SUM(H30:H39)</f>
        <v>0</v>
      </c>
      <c r="I41" s="627">
        <f t="shared" si="10"/>
        <v>5768.4739999999993</v>
      </c>
      <c r="J41" s="99" t="str">
        <f>"Sum Lines "&amp;A30&amp;" thru "&amp;A39</f>
        <v>Sum Lines 20 thru 29</v>
      </c>
      <c r="K41" s="43">
        <f t="shared" si="2"/>
        <v>31</v>
      </c>
      <c r="M41" s="44"/>
      <c r="N41" s="44"/>
    </row>
    <row r="42" spans="1:14" s="618" customFormat="1" x14ac:dyDescent="0.45">
      <c r="A42" s="43">
        <f t="shared" si="0"/>
        <v>32</v>
      </c>
      <c r="B42" s="112"/>
      <c r="C42" s="44"/>
      <c r="D42" s="119"/>
      <c r="E42" s="119"/>
      <c r="F42" s="119"/>
      <c r="G42" s="120"/>
      <c r="H42" s="120"/>
      <c r="I42" s="122"/>
      <c r="J42" s="99"/>
      <c r="K42" s="43">
        <f t="shared" si="2"/>
        <v>32</v>
      </c>
      <c r="M42" s="44"/>
      <c r="N42" s="44"/>
    </row>
    <row r="43" spans="1:14" s="618" customFormat="1" ht="16.149999999999999" thickBot="1" x14ac:dyDescent="0.55000000000000004">
      <c r="A43" s="43">
        <f t="shared" si="0"/>
        <v>33</v>
      </c>
      <c r="B43" s="88"/>
      <c r="C43" s="618" t="s">
        <v>112</v>
      </c>
      <c r="D43" s="123">
        <f>D27+D41</f>
        <v>88575.244999999995</v>
      </c>
      <c r="E43" s="123">
        <f>+E27+E41</f>
        <v>54788.67067</v>
      </c>
      <c r="F43" s="123">
        <f>+F27+F41</f>
        <v>33786.574330000003</v>
      </c>
      <c r="G43" s="124" t="s">
        <v>16</v>
      </c>
      <c r="H43" s="125">
        <f t="shared" ref="H43:I43" si="11">+H27+H41</f>
        <v>-543.57100000000003</v>
      </c>
      <c r="I43" s="123">
        <f t="shared" si="11"/>
        <v>33243.00333</v>
      </c>
      <c r="J43" s="99" t="str">
        <f>"Line "&amp;A27&amp;" + Line "&amp;A41</f>
        <v>Line 17 + Line 31</v>
      </c>
      <c r="K43" s="43">
        <f t="shared" si="2"/>
        <v>33</v>
      </c>
      <c r="M43" s="44"/>
      <c r="N43" s="44"/>
    </row>
    <row r="44" spans="1:14" s="618" customFormat="1" ht="15.75" thickTop="1" x14ac:dyDescent="0.45">
      <c r="A44" s="43">
        <f t="shared" si="0"/>
        <v>34</v>
      </c>
      <c r="B44" s="88"/>
      <c r="D44" s="122"/>
      <c r="E44" s="122"/>
      <c r="F44" s="122"/>
      <c r="G44" s="120"/>
      <c r="H44" s="120"/>
      <c r="I44" s="122"/>
      <c r="J44" s="99"/>
      <c r="K44" s="43">
        <f t="shared" si="2"/>
        <v>34</v>
      </c>
      <c r="M44" s="44"/>
      <c r="N44" s="44"/>
    </row>
    <row r="45" spans="1:14" s="618" customFormat="1" ht="17.25" x14ac:dyDescent="0.45">
      <c r="A45" s="43">
        <f t="shared" si="0"/>
        <v>35</v>
      </c>
      <c r="B45" s="97">
        <v>413</v>
      </c>
      <c r="C45" s="44" t="s">
        <v>352</v>
      </c>
      <c r="D45" s="537">
        <v>0</v>
      </c>
      <c r="E45" s="537">
        <v>0</v>
      </c>
      <c r="F45" s="537">
        <f>D45-E45</f>
        <v>0</v>
      </c>
      <c r="G45" s="538"/>
      <c r="H45" s="514"/>
      <c r="I45" s="537"/>
      <c r="J45" s="174"/>
      <c r="K45" s="43">
        <f t="shared" si="2"/>
        <v>35</v>
      </c>
      <c r="M45" s="44"/>
      <c r="N45" s="44"/>
    </row>
    <row r="46" spans="1:14" s="618" customFormat="1" x14ac:dyDescent="0.45">
      <c r="A46" s="43">
        <f t="shared" si="0"/>
        <v>36</v>
      </c>
      <c r="B46" s="88"/>
      <c r="D46" s="122"/>
      <c r="E46" s="122"/>
      <c r="F46" s="122"/>
      <c r="G46" s="120"/>
      <c r="H46" s="120"/>
      <c r="I46" s="122"/>
      <c r="J46" s="99"/>
      <c r="K46" s="43">
        <f t="shared" si="2"/>
        <v>36</v>
      </c>
      <c r="M46" s="44"/>
      <c r="N46" s="44"/>
    </row>
    <row r="47" spans="1:14" s="618" customFormat="1" ht="16.149999999999999" thickBot="1" x14ac:dyDescent="0.55000000000000004">
      <c r="A47" s="43">
        <f t="shared" si="0"/>
        <v>37</v>
      </c>
      <c r="B47" s="88"/>
      <c r="C47" s="618" t="s">
        <v>353</v>
      </c>
      <c r="D47" s="123">
        <f>D43+D45</f>
        <v>88575.244999999995</v>
      </c>
      <c r="E47" s="123">
        <f>E43+E45</f>
        <v>54788.67067</v>
      </c>
      <c r="F47" s="123">
        <f>F43+F45</f>
        <v>33786.574330000003</v>
      </c>
      <c r="G47" s="628" t="s">
        <v>16</v>
      </c>
      <c r="H47" s="125">
        <f t="shared" ref="H47:I47" si="12">H43+H45</f>
        <v>-543.57100000000003</v>
      </c>
      <c r="I47" s="123">
        <f t="shared" si="12"/>
        <v>33243.00333</v>
      </c>
      <c r="J47" s="99" t="str">
        <f>"Line "&amp;A43&amp;" + Line "&amp;A45</f>
        <v>Line 33 + Line 35</v>
      </c>
      <c r="K47" s="43">
        <f t="shared" si="2"/>
        <v>37</v>
      </c>
      <c r="M47" s="44"/>
      <c r="N47" s="44"/>
    </row>
    <row r="48" spans="1:14" ht="16.149999999999999" thickTop="1" thickBot="1" x14ac:dyDescent="0.5">
      <c r="A48" s="43">
        <f t="shared" si="0"/>
        <v>38</v>
      </c>
      <c r="B48" s="126"/>
      <c r="C48" s="127"/>
      <c r="D48" s="128"/>
      <c r="E48" s="129"/>
      <c r="F48" s="128"/>
      <c r="G48" s="130"/>
      <c r="H48" s="130"/>
      <c r="I48" s="128"/>
      <c r="J48" s="131"/>
      <c r="K48" s="43">
        <f t="shared" si="2"/>
        <v>38</v>
      </c>
    </row>
    <row r="49" spans="1:11" x14ac:dyDescent="0.45">
      <c r="A49" s="43">
        <f t="shared" si="0"/>
        <v>39</v>
      </c>
      <c r="B49" s="132"/>
      <c r="D49" s="133"/>
      <c r="E49" s="114"/>
      <c r="F49" s="133"/>
      <c r="G49" s="133"/>
      <c r="H49" s="133"/>
      <c r="I49" s="133"/>
      <c r="J49" s="134"/>
      <c r="K49" s="43">
        <f t="shared" si="2"/>
        <v>39</v>
      </c>
    </row>
    <row r="50" spans="1:11" s="20" customFormat="1" x14ac:dyDescent="0.45">
      <c r="A50" s="43">
        <f t="shared" si="0"/>
        <v>40</v>
      </c>
      <c r="B50" s="543" t="s">
        <v>354</v>
      </c>
      <c r="D50" s="544"/>
      <c r="E50" s="545"/>
      <c r="F50" s="544"/>
      <c r="G50" s="544"/>
      <c r="H50" s="544"/>
      <c r="I50" s="544"/>
      <c r="J50" s="21"/>
      <c r="K50" s="43">
        <f t="shared" si="2"/>
        <v>40</v>
      </c>
    </row>
    <row r="51" spans="1:11" s="20" customFormat="1" x14ac:dyDescent="0.45">
      <c r="A51" s="43">
        <f t="shared" si="0"/>
        <v>41</v>
      </c>
      <c r="B51" s="546">
        <v>561.4</v>
      </c>
      <c r="C51" s="20" t="s">
        <v>113</v>
      </c>
      <c r="D51" s="544"/>
      <c r="E51" s="35">
        <v>5877.8884600000001</v>
      </c>
      <c r="F51" s="547"/>
      <c r="G51" s="547"/>
      <c r="H51" s="547"/>
      <c r="I51" s="547"/>
      <c r="J51" s="21"/>
      <c r="K51" s="43">
        <f t="shared" si="2"/>
        <v>41</v>
      </c>
    </row>
    <row r="52" spans="1:11" s="20" customFormat="1" x14ac:dyDescent="0.45">
      <c r="A52" s="43">
        <f t="shared" si="0"/>
        <v>42</v>
      </c>
      <c r="B52" s="546">
        <v>561.79999999999995</v>
      </c>
      <c r="C52" s="20" t="s">
        <v>114</v>
      </c>
      <c r="D52" s="544"/>
      <c r="E52" s="32">
        <v>2718.2313100000001</v>
      </c>
      <c r="F52" s="547"/>
      <c r="G52" s="547"/>
      <c r="H52" s="547"/>
      <c r="I52" s="547"/>
      <c r="J52" s="21"/>
      <c r="K52" s="43">
        <f t="shared" si="2"/>
        <v>42</v>
      </c>
    </row>
    <row r="53" spans="1:11" s="20" customFormat="1" ht="17.649999999999999" x14ac:dyDescent="0.45">
      <c r="A53" s="43">
        <f t="shared" si="0"/>
        <v>43</v>
      </c>
      <c r="B53" s="546">
        <v>562</v>
      </c>
      <c r="C53" s="548" t="s">
        <v>346</v>
      </c>
      <c r="D53" s="544"/>
      <c r="E53" s="32">
        <v>8343</v>
      </c>
      <c r="F53" s="547"/>
      <c r="G53" s="547"/>
      <c r="H53" s="547"/>
      <c r="I53" s="547"/>
      <c r="J53" s="21"/>
      <c r="K53" s="43">
        <f t="shared" si="2"/>
        <v>43</v>
      </c>
    </row>
    <row r="54" spans="1:11" s="20" customFormat="1" x14ac:dyDescent="0.45">
      <c r="A54" s="43">
        <f t="shared" si="0"/>
        <v>44</v>
      </c>
      <c r="B54" s="546">
        <v>563</v>
      </c>
      <c r="C54" s="548" t="s">
        <v>347</v>
      </c>
      <c r="D54" s="544"/>
      <c r="E54" s="32">
        <v>4406.2079999999996</v>
      </c>
      <c r="F54" s="547"/>
      <c r="G54" s="547"/>
      <c r="H54" s="547"/>
      <c r="I54" s="547"/>
      <c r="J54" s="21"/>
      <c r="K54" s="43">
        <f t="shared" si="2"/>
        <v>44</v>
      </c>
    </row>
    <row r="55" spans="1:11" s="20" customFormat="1" x14ac:dyDescent="0.45">
      <c r="A55" s="43">
        <f t="shared" si="0"/>
        <v>45</v>
      </c>
      <c r="B55" s="546">
        <v>565</v>
      </c>
      <c r="C55" s="20" t="s">
        <v>115</v>
      </c>
      <c r="D55" s="544"/>
      <c r="E55" s="32">
        <v>0</v>
      </c>
      <c r="F55" s="547"/>
      <c r="G55" s="547"/>
      <c r="H55" s="547"/>
      <c r="I55" s="547"/>
      <c r="J55" s="21"/>
      <c r="K55" s="43">
        <f t="shared" si="2"/>
        <v>45</v>
      </c>
    </row>
    <row r="56" spans="1:11" s="20" customFormat="1" x14ac:dyDescent="0.45">
      <c r="A56" s="43">
        <f t="shared" si="0"/>
        <v>46</v>
      </c>
      <c r="B56" s="546">
        <v>566</v>
      </c>
      <c r="C56" s="20" t="s">
        <v>355</v>
      </c>
      <c r="D56" s="544"/>
      <c r="E56" s="32"/>
      <c r="F56" s="544"/>
      <c r="G56" s="544"/>
      <c r="H56" s="544"/>
      <c r="I56" s="544"/>
      <c r="J56" s="21"/>
      <c r="K56" s="43">
        <f t="shared" si="2"/>
        <v>46</v>
      </c>
    </row>
    <row r="57" spans="1:11" s="20" customFormat="1" x14ac:dyDescent="0.45">
      <c r="A57" s="43">
        <f t="shared" si="0"/>
        <v>47</v>
      </c>
      <c r="B57" s="549"/>
      <c r="C57" s="20" t="s">
        <v>356</v>
      </c>
      <c r="D57" s="35">
        <v>-34.882319999999993</v>
      </c>
      <c r="E57" s="32"/>
      <c r="F57" s="544"/>
      <c r="G57" s="544"/>
      <c r="H57" s="544"/>
      <c r="I57" s="544"/>
      <c r="J57" s="21"/>
      <c r="K57" s="43">
        <f t="shared" si="2"/>
        <v>47</v>
      </c>
    </row>
    <row r="58" spans="1:11" s="20" customFormat="1" x14ac:dyDescent="0.45">
      <c r="A58" s="43">
        <f t="shared" si="0"/>
        <v>48</v>
      </c>
      <c r="B58" s="549"/>
      <c r="C58" s="20" t="s">
        <v>357</v>
      </c>
      <c r="D58" s="32">
        <v>6.7259500000000001</v>
      </c>
      <c r="E58" s="32"/>
      <c r="F58" s="544"/>
      <c r="G58" s="544"/>
      <c r="H58" s="544"/>
      <c r="I58" s="544"/>
      <c r="J58" s="21"/>
      <c r="K58" s="43">
        <f t="shared" si="2"/>
        <v>48</v>
      </c>
    </row>
    <row r="59" spans="1:11" s="20" customFormat="1" x14ac:dyDescent="0.45">
      <c r="A59" s="43">
        <f t="shared" si="0"/>
        <v>49</v>
      </c>
      <c r="B59" s="549"/>
      <c r="C59" s="20" t="s">
        <v>358</v>
      </c>
      <c r="D59" s="32">
        <v>2300.0309600000001</v>
      </c>
      <c r="E59" s="32"/>
      <c r="F59" s="544"/>
      <c r="G59" s="544"/>
      <c r="H59" s="544"/>
      <c r="I59" s="544"/>
      <c r="J59" s="21"/>
      <c r="K59" s="43">
        <f t="shared" si="2"/>
        <v>49</v>
      </c>
    </row>
    <row r="60" spans="1:11" s="20" customFormat="1" x14ac:dyDescent="0.45">
      <c r="A60" s="43">
        <f t="shared" si="0"/>
        <v>50</v>
      </c>
      <c r="B60" s="549"/>
      <c r="C60" s="20" t="s">
        <v>359</v>
      </c>
      <c r="D60" s="32">
        <v>461.42366000000004</v>
      </c>
      <c r="E60" s="32"/>
      <c r="F60" s="544"/>
      <c r="G60" s="544"/>
      <c r="H60" s="544"/>
      <c r="I60" s="544"/>
      <c r="J60" s="21"/>
      <c r="K60" s="43">
        <f t="shared" si="2"/>
        <v>50</v>
      </c>
    </row>
    <row r="61" spans="1:11" s="20" customFormat="1" x14ac:dyDescent="0.45">
      <c r="A61" s="43">
        <f t="shared" si="0"/>
        <v>51</v>
      </c>
      <c r="B61" s="549"/>
      <c r="C61" s="20" t="s">
        <v>360</v>
      </c>
      <c r="D61" s="550">
        <v>312.46565000000004</v>
      </c>
      <c r="E61" s="32">
        <f>SUM(D57:D61)</f>
        <v>3045.7638999999999</v>
      </c>
      <c r="F61" s="547"/>
      <c r="G61" s="547"/>
      <c r="H61" s="547"/>
      <c r="I61" s="547"/>
      <c r="J61" s="21"/>
      <c r="K61" s="43">
        <f t="shared" si="2"/>
        <v>51</v>
      </c>
    </row>
    <row r="62" spans="1:11" s="20" customFormat="1" ht="17.649999999999999" x14ac:dyDescent="0.45">
      <c r="A62" s="43">
        <f t="shared" si="0"/>
        <v>52</v>
      </c>
      <c r="B62" s="546">
        <v>570</v>
      </c>
      <c r="C62" s="551" t="s">
        <v>361</v>
      </c>
      <c r="D62" s="32"/>
      <c r="E62" s="32">
        <v>14934.723</v>
      </c>
      <c r="F62" s="547"/>
      <c r="G62" s="547"/>
      <c r="H62" s="547"/>
      <c r="I62" s="547"/>
      <c r="J62" s="21"/>
      <c r="K62" s="43">
        <f t="shared" si="2"/>
        <v>52</v>
      </c>
    </row>
    <row r="63" spans="1:11" s="20" customFormat="1" ht="17.649999999999999" x14ac:dyDescent="0.45">
      <c r="A63" s="43">
        <f t="shared" si="0"/>
        <v>53</v>
      </c>
      <c r="B63" s="546">
        <v>571</v>
      </c>
      <c r="C63" s="551" t="s">
        <v>362</v>
      </c>
      <c r="D63" s="32"/>
      <c r="E63" s="32">
        <v>14791.550999999999</v>
      </c>
      <c r="F63" s="547"/>
      <c r="G63" s="547"/>
      <c r="H63" s="547"/>
      <c r="I63" s="547"/>
      <c r="J63" s="21"/>
      <c r="K63" s="43">
        <f t="shared" si="2"/>
        <v>53</v>
      </c>
    </row>
    <row r="64" spans="1:11" s="20" customFormat="1" ht="17.649999999999999" x14ac:dyDescent="0.45">
      <c r="A64" s="43">
        <f t="shared" si="0"/>
        <v>54</v>
      </c>
      <c r="B64" s="546">
        <v>572</v>
      </c>
      <c r="C64" s="552" t="s">
        <v>350</v>
      </c>
      <c r="D64" s="32"/>
      <c r="E64" s="550">
        <v>671.30499999999995</v>
      </c>
      <c r="F64" s="544"/>
      <c r="G64" s="544"/>
      <c r="H64" s="544"/>
      <c r="I64" s="544"/>
      <c r="J64" s="21"/>
      <c r="K64" s="43">
        <f t="shared" si="2"/>
        <v>54</v>
      </c>
    </row>
    <row r="65" spans="1:12" s="20" customFormat="1" x14ac:dyDescent="0.45">
      <c r="A65" s="43">
        <f t="shared" si="0"/>
        <v>55</v>
      </c>
      <c r="B65" s="553"/>
      <c r="D65" s="544"/>
      <c r="E65" s="554"/>
      <c r="F65" s="544"/>
      <c r="G65" s="544"/>
      <c r="H65" s="544"/>
      <c r="I65" s="544"/>
      <c r="J65" s="21"/>
      <c r="K65" s="43">
        <f t="shared" si="2"/>
        <v>55</v>
      </c>
    </row>
    <row r="66" spans="1:12" s="20" customFormat="1" ht="15.75" thickBot="1" x14ac:dyDescent="0.5">
      <c r="A66" s="43">
        <f t="shared" si="0"/>
        <v>56</v>
      </c>
      <c r="B66" s="555"/>
      <c r="C66" s="556" t="s">
        <v>116</v>
      </c>
      <c r="D66" s="544"/>
      <c r="E66" s="36">
        <f>SUM(E51:E64)</f>
        <v>54788.67067</v>
      </c>
      <c r="F66" s="544"/>
      <c r="G66" s="544"/>
      <c r="H66" s="544"/>
      <c r="I66" s="544"/>
      <c r="J66" s="21"/>
      <c r="K66" s="43">
        <f t="shared" si="2"/>
        <v>56</v>
      </c>
    </row>
    <row r="67" spans="1:12" s="20" customFormat="1" ht="15.75" thickTop="1" x14ac:dyDescent="0.45">
      <c r="A67" s="43">
        <f t="shared" si="0"/>
        <v>57</v>
      </c>
      <c r="B67" s="555"/>
      <c r="C67" s="551"/>
      <c r="D67" s="544"/>
      <c r="E67" s="34"/>
      <c r="F67" s="544"/>
      <c r="G67" s="544"/>
      <c r="H67" s="544"/>
      <c r="I67" s="544"/>
      <c r="J67" s="21"/>
      <c r="K67" s="43">
        <f t="shared" si="2"/>
        <v>57</v>
      </c>
    </row>
    <row r="68" spans="1:12" s="20" customFormat="1" ht="15.75" x14ac:dyDescent="0.5">
      <c r="A68" s="43">
        <f t="shared" si="0"/>
        <v>58</v>
      </c>
      <c r="B68" s="74" t="s">
        <v>16</v>
      </c>
      <c r="C68" s="26" t="s">
        <v>388</v>
      </c>
      <c r="D68" s="544"/>
      <c r="E68" s="32"/>
      <c r="F68" s="544"/>
      <c r="G68" s="544"/>
      <c r="H68" s="544"/>
      <c r="I68" s="544"/>
      <c r="J68" s="21"/>
      <c r="K68" s="43">
        <f t="shared" si="2"/>
        <v>58</v>
      </c>
      <c r="L68" s="26"/>
    </row>
    <row r="69" spans="1:12" s="20" customFormat="1" ht="17.649999999999999" x14ac:dyDescent="0.45">
      <c r="A69" s="43">
        <f t="shared" si="0"/>
        <v>59</v>
      </c>
      <c r="B69" s="557">
        <v>1</v>
      </c>
      <c r="C69" s="551" t="s">
        <v>363</v>
      </c>
      <c r="D69" s="544"/>
      <c r="E69" s="33"/>
      <c r="F69" s="544"/>
      <c r="G69" s="544"/>
      <c r="H69" s="544"/>
      <c r="I69" s="544"/>
      <c r="J69" s="21"/>
      <c r="K69" s="43">
        <f t="shared" si="2"/>
        <v>59</v>
      </c>
    </row>
    <row r="70" spans="1:12" s="20" customFormat="1" ht="17.649999999999999" x14ac:dyDescent="0.45">
      <c r="A70" s="43">
        <f t="shared" si="0"/>
        <v>60</v>
      </c>
      <c r="B70" s="557"/>
      <c r="C70" s="551" t="s">
        <v>364</v>
      </c>
      <c r="D70" s="544"/>
      <c r="E70" s="33"/>
      <c r="F70" s="544"/>
      <c r="G70" s="544"/>
      <c r="H70" s="544"/>
      <c r="I70" s="544"/>
      <c r="J70" s="21"/>
      <c r="K70" s="43">
        <f t="shared" si="2"/>
        <v>60</v>
      </c>
    </row>
    <row r="71" spans="1:12" s="20" customFormat="1" ht="17.649999999999999" x14ac:dyDescent="0.45">
      <c r="A71" s="43">
        <f t="shared" si="0"/>
        <v>61</v>
      </c>
      <c r="B71" s="557">
        <v>2</v>
      </c>
      <c r="C71" s="551" t="s">
        <v>365</v>
      </c>
      <c r="E71" s="33"/>
      <c r="J71" s="21"/>
      <c r="K71" s="43">
        <f t="shared" si="2"/>
        <v>61</v>
      </c>
    </row>
    <row r="72" spans="1:12" s="20" customFormat="1" ht="17.649999999999999" x14ac:dyDescent="0.45">
      <c r="A72" s="43">
        <f t="shared" si="0"/>
        <v>62</v>
      </c>
      <c r="B72" s="557">
        <v>3</v>
      </c>
      <c r="C72" s="551" t="s">
        <v>608</v>
      </c>
      <c r="E72" s="33"/>
      <c r="J72" s="21"/>
      <c r="K72" s="43">
        <f t="shared" si="2"/>
        <v>62</v>
      </c>
    </row>
    <row r="73" spans="1:12" s="20" customFormat="1" ht="17.649999999999999" x14ac:dyDescent="0.45">
      <c r="A73" s="43">
        <f t="shared" si="0"/>
        <v>63</v>
      </c>
      <c r="B73" s="557"/>
      <c r="C73" s="551" t="s">
        <v>366</v>
      </c>
      <c r="E73" s="33"/>
      <c r="J73" s="21"/>
      <c r="K73" s="43">
        <f t="shared" si="2"/>
        <v>63</v>
      </c>
    </row>
    <row r="74" spans="1:12" s="20" customFormat="1" ht="17.649999999999999" x14ac:dyDescent="0.45">
      <c r="A74" s="43">
        <f t="shared" si="0"/>
        <v>64</v>
      </c>
      <c r="B74" s="557">
        <v>4</v>
      </c>
      <c r="C74" s="44" t="s">
        <v>625</v>
      </c>
      <c r="E74" s="33"/>
      <c r="J74" s="21"/>
      <c r="K74" s="43">
        <f t="shared" si="2"/>
        <v>64</v>
      </c>
    </row>
    <row r="75" spans="1:12" s="20" customFormat="1" ht="17.649999999999999" x14ac:dyDescent="0.45">
      <c r="A75" s="43">
        <f t="shared" si="0"/>
        <v>65</v>
      </c>
      <c r="B75" s="557"/>
      <c r="C75" s="44" t="s">
        <v>626</v>
      </c>
      <c r="E75" s="33"/>
      <c r="J75" s="21"/>
      <c r="K75" s="43">
        <f t="shared" si="2"/>
        <v>65</v>
      </c>
    </row>
    <row r="76" spans="1:12" ht="15.75" thickBot="1" x14ac:dyDescent="0.5">
      <c r="A76" s="43">
        <f t="shared" si="0"/>
        <v>66</v>
      </c>
      <c r="B76" s="136"/>
      <c r="C76" s="127"/>
      <c r="D76" s="127"/>
      <c r="E76" s="137"/>
      <c r="F76" s="127"/>
      <c r="G76" s="127"/>
      <c r="H76" s="127"/>
      <c r="I76" s="127"/>
      <c r="J76" s="131"/>
      <c r="K76" s="43">
        <f t="shared" si="2"/>
        <v>66</v>
      </c>
    </row>
    <row r="77" spans="1:12" x14ac:dyDescent="0.45">
      <c r="A77" s="43"/>
      <c r="B77" s="138"/>
    </row>
    <row r="78" spans="1:12" ht="17.25" x14ac:dyDescent="0.45">
      <c r="A78" s="43"/>
      <c r="B78" s="558"/>
      <c r="C78" s="20"/>
      <c r="D78" s="274"/>
      <c r="E78" s="274"/>
      <c r="F78" s="274"/>
      <c r="G78" s="274"/>
      <c r="H78" s="274"/>
      <c r="I78" s="274"/>
    </row>
    <row r="79" spans="1:12" ht="17.25" x14ac:dyDescent="0.45">
      <c r="A79" s="43"/>
      <c r="B79" s="558"/>
      <c r="C79" s="518"/>
      <c r="D79" s="274"/>
      <c r="E79" s="274"/>
      <c r="F79" s="274"/>
      <c r="G79" s="274"/>
      <c r="H79" s="274"/>
      <c r="I79" s="274"/>
    </row>
    <row r="80" spans="1:12" ht="17.25" x14ac:dyDescent="0.45">
      <c r="A80" s="43"/>
      <c r="B80" s="558"/>
      <c r="C80" s="518"/>
      <c r="D80" s="274"/>
      <c r="E80" s="274"/>
      <c r="F80" s="274"/>
      <c r="G80" s="274"/>
      <c r="H80" s="274"/>
      <c r="I80" s="274"/>
    </row>
    <row r="81" spans="1:5" x14ac:dyDescent="0.45">
      <c r="A81" s="43"/>
      <c r="B81" s="138"/>
    </row>
    <row r="82" spans="1:5" x14ac:dyDescent="0.45">
      <c r="A82" s="43"/>
      <c r="B82" s="138"/>
    </row>
    <row r="83" spans="1:5" x14ac:dyDescent="0.45">
      <c r="A83" s="43"/>
      <c r="B83" s="138"/>
    </row>
    <row r="84" spans="1:5" x14ac:dyDescent="0.45">
      <c r="A84" s="43"/>
      <c r="B84" s="138"/>
    </row>
    <row r="85" spans="1:5" x14ac:dyDescent="0.45">
      <c r="A85" s="43"/>
      <c r="B85" s="138"/>
    </row>
    <row r="86" spans="1:5" x14ac:dyDescent="0.45">
      <c r="A86" s="43"/>
      <c r="B86" s="138"/>
    </row>
    <row r="87" spans="1:5" x14ac:dyDescent="0.45">
      <c r="A87" s="43"/>
      <c r="B87" s="138"/>
    </row>
    <row r="88" spans="1:5" x14ac:dyDescent="0.45">
      <c r="A88" s="43"/>
      <c r="B88" s="138"/>
    </row>
    <row r="89" spans="1:5" x14ac:dyDescent="0.45">
      <c r="A89" s="43"/>
      <c r="B89" s="138"/>
    </row>
    <row r="90" spans="1:5" x14ac:dyDescent="0.45">
      <c r="A90" s="43"/>
      <c r="B90" s="138"/>
      <c r="E90" s="44"/>
    </row>
    <row r="91" spans="1:5" x14ac:dyDescent="0.45">
      <c r="A91" s="43"/>
      <c r="B91" s="138"/>
      <c r="E91" s="44"/>
    </row>
    <row r="92" spans="1:5" x14ac:dyDescent="0.45">
      <c r="A92" s="43"/>
      <c r="B92" s="138"/>
      <c r="E92" s="44"/>
    </row>
    <row r="93" spans="1:5" x14ac:dyDescent="0.45">
      <c r="A93" s="43"/>
      <c r="B93" s="138"/>
      <c r="E93" s="44"/>
    </row>
    <row r="94" spans="1:5" x14ac:dyDescent="0.45">
      <c r="A94" s="43"/>
      <c r="B94" s="138"/>
      <c r="E94" s="44"/>
    </row>
    <row r="95" spans="1:5" x14ac:dyDescent="0.45">
      <c r="A95" s="43"/>
      <c r="B95" s="138"/>
      <c r="E95" s="44"/>
    </row>
    <row r="96" spans="1:5" x14ac:dyDescent="0.45">
      <c r="A96" s="43"/>
      <c r="B96" s="138"/>
      <c r="E96" s="44"/>
    </row>
    <row r="97" spans="1:5" x14ac:dyDescent="0.45">
      <c r="A97" s="43"/>
      <c r="B97" s="138"/>
      <c r="E97" s="44"/>
    </row>
    <row r="98" spans="1:5" x14ac:dyDescent="0.45">
      <c r="A98" s="43"/>
      <c r="B98" s="138"/>
      <c r="E98" s="44"/>
    </row>
    <row r="99" spans="1:5" x14ac:dyDescent="0.45">
      <c r="A99" s="43"/>
      <c r="B99" s="138"/>
      <c r="E99" s="44"/>
    </row>
    <row r="100" spans="1:5" x14ac:dyDescent="0.45">
      <c r="A100" s="43"/>
      <c r="B100" s="138"/>
      <c r="E100" s="44"/>
    </row>
    <row r="101" spans="1:5" x14ac:dyDescent="0.45">
      <c r="A101" s="43"/>
      <c r="B101" s="138"/>
      <c r="E101" s="44"/>
    </row>
    <row r="102" spans="1:5" x14ac:dyDescent="0.45">
      <c r="A102" s="43"/>
      <c r="B102" s="138"/>
      <c r="E102" s="44"/>
    </row>
    <row r="103" spans="1:5" x14ac:dyDescent="0.45">
      <c r="A103" s="43"/>
      <c r="B103" s="138"/>
      <c r="E103" s="44"/>
    </row>
    <row r="104" spans="1:5" x14ac:dyDescent="0.45">
      <c r="B104" s="138"/>
      <c r="E104" s="44"/>
    </row>
    <row r="105" spans="1:5" x14ac:dyDescent="0.45">
      <c r="B105" s="138"/>
      <c r="E105" s="44"/>
    </row>
    <row r="106" spans="1:5" x14ac:dyDescent="0.45">
      <c r="B106" s="138"/>
      <c r="E106" s="44"/>
    </row>
    <row r="107" spans="1:5" x14ac:dyDescent="0.45">
      <c r="B107" s="138"/>
      <c r="E107" s="44"/>
    </row>
    <row r="108" spans="1:5" x14ac:dyDescent="0.45">
      <c r="B108" s="138"/>
      <c r="E108" s="44"/>
    </row>
    <row r="109" spans="1:5" x14ac:dyDescent="0.45">
      <c r="B109" s="138"/>
      <c r="E109" s="44"/>
    </row>
    <row r="110" spans="1:5" x14ac:dyDescent="0.45">
      <c r="B110" s="138"/>
      <c r="E110" s="44"/>
    </row>
    <row r="111" spans="1:5" x14ac:dyDescent="0.45">
      <c r="B111" s="138"/>
      <c r="E111" s="44"/>
    </row>
    <row r="112" spans="1:5" x14ac:dyDescent="0.45">
      <c r="B112" s="138"/>
      <c r="E112" s="44"/>
    </row>
    <row r="113" spans="2:5" x14ac:dyDescent="0.45">
      <c r="B113" s="138"/>
      <c r="E113" s="44"/>
    </row>
    <row r="114" spans="2:5" x14ac:dyDescent="0.45">
      <c r="B114" s="138"/>
      <c r="E114" s="44"/>
    </row>
    <row r="115" spans="2:5" x14ac:dyDescent="0.45">
      <c r="B115" s="138"/>
      <c r="E115" s="44"/>
    </row>
    <row r="116" spans="2:5" x14ac:dyDescent="0.45">
      <c r="B116" s="138"/>
      <c r="E116" s="44"/>
    </row>
    <row r="117" spans="2:5" x14ac:dyDescent="0.45">
      <c r="B117" s="138"/>
      <c r="E117" s="44"/>
    </row>
    <row r="118" spans="2:5" x14ac:dyDescent="0.45">
      <c r="B118" s="138"/>
      <c r="E118" s="44"/>
    </row>
    <row r="119" spans="2:5" x14ac:dyDescent="0.45">
      <c r="B119" s="138"/>
      <c r="E119" s="44"/>
    </row>
    <row r="120" spans="2:5" x14ac:dyDescent="0.45">
      <c r="B120" s="138"/>
      <c r="E120" s="44"/>
    </row>
    <row r="121" spans="2:5" x14ac:dyDescent="0.45">
      <c r="B121" s="138"/>
      <c r="E121" s="44"/>
    </row>
    <row r="122" spans="2:5" x14ac:dyDescent="0.45">
      <c r="B122" s="138"/>
      <c r="E122" s="44"/>
    </row>
    <row r="123" spans="2:5" x14ac:dyDescent="0.45">
      <c r="B123" s="138"/>
      <c r="E123" s="44"/>
    </row>
    <row r="124" spans="2:5" x14ac:dyDescent="0.45">
      <c r="B124" s="138"/>
      <c r="E124" s="44"/>
    </row>
    <row r="125" spans="2:5" x14ac:dyDescent="0.45">
      <c r="B125" s="138"/>
      <c r="E125" s="44"/>
    </row>
    <row r="126" spans="2:5" x14ac:dyDescent="0.45">
      <c r="B126" s="138"/>
      <c r="E126" s="44"/>
    </row>
    <row r="127" spans="2:5" x14ac:dyDescent="0.45">
      <c r="B127" s="138"/>
      <c r="E127" s="44"/>
    </row>
    <row r="128" spans="2:5" x14ac:dyDescent="0.45">
      <c r="B128" s="138"/>
      <c r="E128" s="44"/>
    </row>
    <row r="129" spans="2:5" x14ac:dyDescent="0.45">
      <c r="B129" s="138"/>
      <c r="E129" s="44"/>
    </row>
    <row r="130" spans="2:5" x14ac:dyDescent="0.45">
      <c r="B130" s="138"/>
      <c r="E130" s="44"/>
    </row>
    <row r="131" spans="2:5" x14ac:dyDescent="0.45">
      <c r="B131" s="138"/>
      <c r="E131" s="44"/>
    </row>
    <row r="132" spans="2:5" x14ac:dyDescent="0.45">
      <c r="B132" s="138"/>
      <c r="E132" s="44"/>
    </row>
    <row r="133" spans="2:5" x14ac:dyDescent="0.45">
      <c r="B133" s="138"/>
      <c r="E133" s="44"/>
    </row>
    <row r="134" spans="2:5" x14ac:dyDescent="0.45">
      <c r="B134" s="138"/>
      <c r="E134" s="44"/>
    </row>
    <row r="135" spans="2:5" x14ac:dyDescent="0.45">
      <c r="B135" s="138"/>
      <c r="E135" s="44"/>
    </row>
    <row r="136" spans="2:5" x14ac:dyDescent="0.45">
      <c r="B136" s="138"/>
      <c r="E136" s="44"/>
    </row>
    <row r="137" spans="2:5" x14ac:dyDescent="0.45">
      <c r="B137" s="138"/>
      <c r="E137" s="44"/>
    </row>
    <row r="138" spans="2:5" x14ac:dyDescent="0.45">
      <c r="B138" s="138"/>
      <c r="E138" s="44"/>
    </row>
    <row r="139" spans="2:5" x14ac:dyDescent="0.45">
      <c r="B139" s="138"/>
      <c r="E139" s="44"/>
    </row>
    <row r="140" spans="2:5" x14ac:dyDescent="0.45">
      <c r="B140" s="138"/>
      <c r="E140" s="44"/>
    </row>
    <row r="141" spans="2:5" x14ac:dyDescent="0.45">
      <c r="B141" s="138"/>
      <c r="E141" s="44"/>
    </row>
    <row r="142" spans="2:5" x14ac:dyDescent="0.45">
      <c r="B142" s="138"/>
      <c r="E142" s="44"/>
    </row>
    <row r="143" spans="2:5" x14ac:dyDescent="0.45">
      <c r="B143" s="138"/>
      <c r="E143" s="44"/>
    </row>
    <row r="144" spans="2:5" x14ac:dyDescent="0.45">
      <c r="B144" s="138"/>
      <c r="E144" s="44"/>
    </row>
    <row r="145" spans="2:5" x14ac:dyDescent="0.45">
      <c r="B145" s="138"/>
      <c r="E145" s="44"/>
    </row>
    <row r="146" spans="2:5" x14ac:dyDescent="0.45">
      <c r="B146" s="138"/>
      <c r="E146" s="44"/>
    </row>
    <row r="147" spans="2:5" x14ac:dyDescent="0.45">
      <c r="B147" s="138"/>
      <c r="E147" s="44"/>
    </row>
    <row r="148" spans="2:5" x14ac:dyDescent="0.45">
      <c r="B148" s="138"/>
      <c r="E148" s="44"/>
    </row>
    <row r="149" spans="2:5" x14ac:dyDescent="0.45">
      <c r="B149" s="138"/>
      <c r="E149" s="44"/>
    </row>
    <row r="150" spans="2:5" x14ac:dyDescent="0.45">
      <c r="B150" s="138"/>
      <c r="E150" s="44"/>
    </row>
    <row r="151" spans="2:5" x14ac:dyDescent="0.45">
      <c r="B151" s="138"/>
      <c r="E151" s="44"/>
    </row>
    <row r="152" spans="2:5" x14ac:dyDescent="0.45">
      <c r="B152" s="138"/>
      <c r="E152" s="44"/>
    </row>
    <row r="153" spans="2:5" x14ac:dyDescent="0.45">
      <c r="B153" s="138"/>
      <c r="E153" s="44"/>
    </row>
    <row r="154" spans="2:5" x14ac:dyDescent="0.45">
      <c r="B154" s="138"/>
      <c r="E154" s="44"/>
    </row>
    <row r="155" spans="2:5" x14ac:dyDescent="0.45">
      <c r="B155" s="138"/>
      <c r="E155" s="44"/>
    </row>
    <row r="156" spans="2:5" x14ac:dyDescent="0.45">
      <c r="B156" s="138"/>
      <c r="E156" s="44"/>
    </row>
    <row r="157" spans="2:5" x14ac:dyDescent="0.45">
      <c r="B157" s="138"/>
      <c r="E157" s="44"/>
    </row>
    <row r="158" spans="2:5" x14ac:dyDescent="0.45">
      <c r="B158" s="138"/>
      <c r="E158" s="44"/>
    </row>
    <row r="159" spans="2:5" x14ac:dyDescent="0.45">
      <c r="B159" s="138"/>
      <c r="E159" s="44"/>
    </row>
    <row r="160" spans="2:5" x14ac:dyDescent="0.45">
      <c r="B160" s="138"/>
      <c r="E160" s="44"/>
    </row>
    <row r="161" spans="2:5" x14ac:dyDescent="0.45">
      <c r="B161" s="138"/>
      <c r="E161" s="44"/>
    </row>
    <row r="162" spans="2:5" x14ac:dyDescent="0.45">
      <c r="B162" s="138"/>
      <c r="E162" s="44"/>
    </row>
    <row r="163" spans="2:5" x14ac:dyDescent="0.45">
      <c r="B163" s="138"/>
      <c r="E163" s="44"/>
    </row>
    <row r="164" spans="2:5" x14ac:dyDescent="0.45">
      <c r="B164" s="138"/>
      <c r="E164" s="44"/>
    </row>
    <row r="165" spans="2:5" x14ac:dyDescent="0.45">
      <c r="B165" s="138"/>
      <c r="E165" s="44"/>
    </row>
    <row r="166" spans="2:5" x14ac:dyDescent="0.45">
      <c r="B166" s="138"/>
      <c r="E166" s="44"/>
    </row>
    <row r="167" spans="2:5" x14ac:dyDescent="0.45">
      <c r="B167" s="138"/>
      <c r="E167" s="44"/>
    </row>
    <row r="168" spans="2:5" x14ac:dyDescent="0.45">
      <c r="B168" s="138"/>
      <c r="E168" s="44"/>
    </row>
    <row r="169" spans="2:5" x14ac:dyDescent="0.45">
      <c r="B169" s="138"/>
      <c r="E169" s="44"/>
    </row>
    <row r="170" spans="2:5" x14ac:dyDescent="0.45">
      <c r="B170" s="138"/>
      <c r="E170" s="44"/>
    </row>
    <row r="171" spans="2:5" x14ac:dyDescent="0.45">
      <c r="B171" s="138"/>
      <c r="E171" s="44"/>
    </row>
    <row r="172" spans="2:5" x14ac:dyDescent="0.45">
      <c r="B172" s="138"/>
      <c r="E172" s="44"/>
    </row>
    <row r="173" spans="2:5" x14ac:dyDescent="0.45">
      <c r="B173" s="138"/>
      <c r="E173" s="44"/>
    </row>
    <row r="174" spans="2:5" x14ac:dyDescent="0.45">
      <c r="B174" s="138"/>
      <c r="E174" s="44"/>
    </row>
    <row r="175" spans="2:5" x14ac:dyDescent="0.45">
      <c r="B175" s="138"/>
      <c r="E175" s="44"/>
    </row>
    <row r="176" spans="2:5" x14ac:dyDescent="0.45">
      <c r="B176" s="138"/>
      <c r="E176" s="44"/>
    </row>
    <row r="177" spans="2:5" x14ac:dyDescent="0.45">
      <c r="B177" s="138"/>
      <c r="E177" s="44"/>
    </row>
    <row r="178" spans="2:5" x14ac:dyDescent="0.45">
      <c r="B178" s="138"/>
      <c r="E178" s="44"/>
    </row>
    <row r="179" spans="2:5" x14ac:dyDescent="0.45">
      <c r="B179" s="138"/>
      <c r="E179" s="44"/>
    </row>
    <row r="180" spans="2:5" x14ac:dyDescent="0.45">
      <c r="B180" s="138"/>
      <c r="E180" s="44"/>
    </row>
    <row r="181" spans="2:5" x14ac:dyDescent="0.45">
      <c r="B181" s="138"/>
      <c r="E181" s="44"/>
    </row>
    <row r="182" spans="2:5" x14ac:dyDescent="0.45">
      <c r="B182" s="138"/>
      <c r="E182" s="44"/>
    </row>
    <row r="183" spans="2:5" x14ac:dyDescent="0.45">
      <c r="B183" s="138"/>
      <c r="E183" s="44"/>
    </row>
    <row r="184" spans="2:5" x14ac:dyDescent="0.45">
      <c r="B184" s="138"/>
      <c r="E184" s="44"/>
    </row>
    <row r="185" spans="2:5" x14ac:dyDescent="0.45">
      <c r="B185" s="138"/>
      <c r="E185" s="44"/>
    </row>
    <row r="186" spans="2:5" x14ac:dyDescent="0.45">
      <c r="B186" s="138"/>
      <c r="E186" s="44"/>
    </row>
    <row r="187" spans="2:5" x14ac:dyDescent="0.45">
      <c r="B187" s="138"/>
      <c r="E187" s="44"/>
    </row>
    <row r="188" spans="2:5" x14ac:dyDescent="0.45">
      <c r="B188" s="138"/>
      <c r="E188" s="44"/>
    </row>
    <row r="189" spans="2:5" x14ac:dyDescent="0.45">
      <c r="B189" s="138"/>
      <c r="E189" s="44"/>
    </row>
    <row r="190" spans="2:5" x14ac:dyDescent="0.45">
      <c r="B190" s="138"/>
      <c r="E190" s="44"/>
    </row>
    <row r="191" spans="2:5" x14ac:dyDescent="0.45">
      <c r="B191" s="138"/>
      <c r="E191" s="44"/>
    </row>
    <row r="192" spans="2:5" x14ac:dyDescent="0.45">
      <c r="B192" s="138"/>
      <c r="E192" s="44"/>
    </row>
    <row r="193" spans="2:5" x14ac:dyDescent="0.45">
      <c r="B193" s="138"/>
      <c r="E193" s="44"/>
    </row>
    <row r="194" spans="2:5" x14ac:dyDescent="0.45">
      <c r="B194" s="138"/>
      <c r="E194" s="44"/>
    </row>
    <row r="195" spans="2:5" x14ac:dyDescent="0.45">
      <c r="B195" s="138"/>
      <c r="E195" s="44"/>
    </row>
    <row r="196" spans="2:5" x14ac:dyDescent="0.45">
      <c r="B196" s="138"/>
      <c r="E196" s="44"/>
    </row>
    <row r="197" spans="2:5" x14ac:dyDescent="0.45">
      <c r="B197" s="138"/>
      <c r="E197" s="44"/>
    </row>
    <row r="198" spans="2:5" x14ac:dyDescent="0.45">
      <c r="B198" s="138"/>
      <c r="E198" s="44"/>
    </row>
    <row r="199" spans="2:5" x14ac:dyDescent="0.45">
      <c r="B199" s="138"/>
      <c r="E199" s="44"/>
    </row>
    <row r="200" spans="2:5" x14ac:dyDescent="0.45">
      <c r="B200" s="138"/>
      <c r="E200" s="44"/>
    </row>
    <row r="201" spans="2:5" x14ac:dyDescent="0.45">
      <c r="B201" s="138"/>
      <c r="E201" s="44"/>
    </row>
    <row r="202" spans="2:5" x14ac:dyDescent="0.45">
      <c r="B202" s="138"/>
      <c r="E202" s="44"/>
    </row>
    <row r="203" spans="2:5" x14ac:dyDescent="0.45">
      <c r="B203" s="138"/>
      <c r="E203" s="44"/>
    </row>
    <row r="204" spans="2:5" x14ac:dyDescent="0.45">
      <c r="B204" s="138"/>
      <c r="E204" s="44"/>
    </row>
    <row r="205" spans="2:5" x14ac:dyDescent="0.45">
      <c r="B205" s="138"/>
      <c r="E205" s="44"/>
    </row>
    <row r="206" spans="2:5" x14ac:dyDescent="0.45">
      <c r="B206" s="138"/>
      <c r="E206" s="44"/>
    </row>
    <row r="207" spans="2:5" x14ac:dyDescent="0.45">
      <c r="B207" s="138"/>
      <c r="E207" s="44"/>
    </row>
    <row r="208" spans="2:5" x14ac:dyDescent="0.45">
      <c r="B208" s="138"/>
      <c r="E208" s="44"/>
    </row>
    <row r="209" spans="2:5" x14ac:dyDescent="0.45">
      <c r="B209" s="138"/>
      <c r="E209" s="44"/>
    </row>
    <row r="210" spans="2:5" x14ac:dyDescent="0.45">
      <c r="B210" s="138"/>
      <c r="E210" s="44"/>
    </row>
    <row r="211" spans="2:5" x14ac:dyDescent="0.45">
      <c r="B211" s="138"/>
      <c r="E211" s="44"/>
    </row>
    <row r="212" spans="2:5" x14ac:dyDescent="0.45">
      <c r="B212" s="138"/>
      <c r="E212" s="44"/>
    </row>
    <row r="213" spans="2:5" x14ac:dyDescent="0.45">
      <c r="B213" s="138"/>
      <c r="E213" s="44"/>
    </row>
    <row r="214" spans="2:5" x14ac:dyDescent="0.45">
      <c r="B214" s="138"/>
      <c r="E214" s="44"/>
    </row>
    <row r="215" spans="2:5" x14ac:dyDescent="0.45">
      <c r="B215" s="138"/>
      <c r="E215" s="44"/>
    </row>
    <row r="216" spans="2:5" x14ac:dyDescent="0.45">
      <c r="B216" s="138"/>
      <c r="E216" s="44"/>
    </row>
    <row r="217" spans="2:5" x14ac:dyDescent="0.45">
      <c r="B217" s="138"/>
      <c r="E217" s="44"/>
    </row>
    <row r="218" spans="2:5" x14ac:dyDescent="0.45">
      <c r="B218" s="138"/>
      <c r="E218" s="44"/>
    </row>
    <row r="219" spans="2:5" x14ac:dyDescent="0.45">
      <c r="B219" s="138"/>
      <c r="E219" s="44"/>
    </row>
    <row r="220" spans="2:5" x14ac:dyDescent="0.45">
      <c r="B220" s="138"/>
      <c r="E220" s="44"/>
    </row>
    <row r="221" spans="2:5" x14ac:dyDescent="0.45">
      <c r="B221" s="138"/>
      <c r="E221" s="44"/>
    </row>
    <row r="222" spans="2:5" x14ac:dyDescent="0.45">
      <c r="B222" s="138"/>
      <c r="E222" s="44"/>
    </row>
    <row r="223" spans="2:5" x14ac:dyDescent="0.45">
      <c r="B223" s="138"/>
      <c r="E223" s="44"/>
    </row>
    <row r="224" spans="2:5" x14ac:dyDescent="0.45">
      <c r="B224" s="138"/>
      <c r="E224" s="44"/>
    </row>
    <row r="225" spans="2:5" x14ac:dyDescent="0.45">
      <c r="B225" s="138"/>
      <c r="E225" s="44"/>
    </row>
    <row r="226" spans="2:5" x14ac:dyDescent="0.45">
      <c r="B226" s="138"/>
      <c r="E226" s="44"/>
    </row>
    <row r="227" spans="2:5" x14ac:dyDescent="0.45">
      <c r="B227" s="138"/>
      <c r="E227" s="44"/>
    </row>
    <row r="228" spans="2:5" x14ac:dyDescent="0.45">
      <c r="B228" s="138"/>
      <c r="E228" s="44"/>
    </row>
    <row r="229" spans="2:5" x14ac:dyDescent="0.45">
      <c r="B229" s="138"/>
      <c r="E229" s="44"/>
    </row>
    <row r="230" spans="2:5" x14ac:dyDescent="0.45">
      <c r="B230" s="138"/>
      <c r="E230" s="44"/>
    </row>
    <row r="231" spans="2:5" x14ac:dyDescent="0.45">
      <c r="B231" s="138"/>
      <c r="E231" s="44"/>
    </row>
    <row r="232" spans="2:5" x14ac:dyDescent="0.45">
      <c r="B232" s="138"/>
      <c r="E232" s="44"/>
    </row>
    <row r="233" spans="2:5" x14ac:dyDescent="0.45">
      <c r="B233" s="138"/>
      <c r="E233" s="44"/>
    </row>
    <row r="234" spans="2:5" x14ac:dyDescent="0.45">
      <c r="B234" s="138"/>
      <c r="E234" s="44"/>
    </row>
    <row r="235" spans="2:5" x14ac:dyDescent="0.45">
      <c r="B235" s="138"/>
      <c r="E235" s="44"/>
    </row>
    <row r="236" spans="2:5" x14ac:dyDescent="0.45">
      <c r="B236" s="138"/>
      <c r="E236" s="44"/>
    </row>
    <row r="237" spans="2:5" x14ac:dyDescent="0.45">
      <c r="B237" s="138"/>
      <c r="E237" s="44"/>
    </row>
    <row r="238" spans="2:5" x14ac:dyDescent="0.45">
      <c r="B238" s="138"/>
      <c r="E238" s="44"/>
    </row>
    <row r="239" spans="2:5" x14ac:dyDescent="0.45">
      <c r="B239" s="138"/>
      <c r="E239" s="44"/>
    </row>
    <row r="240" spans="2:5" x14ac:dyDescent="0.45">
      <c r="B240" s="138"/>
      <c r="E240" s="44"/>
    </row>
    <row r="241" spans="2:5" x14ac:dyDescent="0.45">
      <c r="B241" s="138"/>
      <c r="E241" s="44"/>
    </row>
    <row r="242" spans="2:5" x14ac:dyDescent="0.45">
      <c r="B242" s="138"/>
      <c r="E242" s="44"/>
    </row>
    <row r="243" spans="2:5" x14ac:dyDescent="0.45">
      <c r="B243" s="138"/>
      <c r="E243" s="44"/>
    </row>
    <row r="244" spans="2:5" x14ac:dyDescent="0.45">
      <c r="B244" s="138"/>
      <c r="E244" s="44"/>
    </row>
    <row r="245" spans="2:5" x14ac:dyDescent="0.45">
      <c r="B245" s="138"/>
      <c r="E245" s="44"/>
    </row>
    <row r="246" spans="2:5" x14ac:dyDescent="0.45">
      <c r="B246" s="138"/>
      <c r="E246" s="44"/>
    </row>
    <row r="247" spans="2:5" x14ac:dyDescent="0.45">
      <c r="B247" s="138"/>
      <c r="E247" s="44"/>
    </row>
    <row r="248" spans="2:5" x14ac:dyDescent="0.45">
      <c r="B248" s="138"/>
      <c r="E248" s="44"/>
    </row>
    <row r="249" spans="2:5" x14ac:dyDescent="0.45">
      <c r="B249" s="138"/>
      <c r="E249" s="44"/>
    </row>
    <row r="250" spans="2:5" x14ac:dyDescent="0.45">
      <c r="B250" s="138"/>
      <c r="E250" s="44"/>
    </row>
    <row r="251" spans="2:5" x14ac:dyDescent="0.45">
      <c r="B251" s="138"/>
      <c r="E251" s="44"/>
    </row>
    <row r="252" spans="2:5" x14ac:dyDescent="0.45">
      <c r="B252" s="138"/>
      <c r="E252" s="44"/>
    </row>
    <row r="253" spans="2:5" x14ac:dyDescent="0.45">
      <c r="B253" s="138"/>
      <c r="E253" s="44"/>
    </row>
    <row r="254" spans="2:5" x14ac:dyDescent="0.45">
      <c r="B254" s="138"/>
      <c r="E254" s="44"/>
    </row>
    <row r="255" spans="2:5" x14ac:dyDescent="0.45">
      <c r="B255" s="138"/>
      <c r="E255" s="44"/>
    </row>
    <row r="256" spans="2:5" x14ac:dyDescent="0.45">
      <c r="B256" s="138"/>
      <c r="E256" s="44"/>
    </row>
    <row r="257" spans="2:5" x14ac:dyDescent="0.45">
      <c r="B257" s="138"/>
      <c r="E257" s="44"/>
    </row>
    <row r="258" spans="2:5" x14ac:dyDescent="0.45">
      <c r="B258" s="138"/>
      <c r="E258" s="44"/>
    </row>
    <row r="259" spans="2:5" x14ac:dyDescent="0.45">
      <c r="B259" s="138"/>
      <c r="E259" s="44"/>
    </row>
    <row r="260" spans="2:5" x14ac:dyDescent="0.45">
      <c r="B260" s="138"/>
      <c r="E260" s="44"/>
    </row>
    <row r="261" spans="2:5" x14ac:dyDescent="0.45">
      <c r="B261" s="138"/>
      <c r="E261" s="44"/>
    </row>
    <row r="262" spans="2:5" x14ac:dyDescent="0.45">
      <c r="B262" s="138"/>
      <c r="E262" s="44"/>
    </row>
    <row r="263" spans="2:5" x14ac:dyDescent="0.45">
      <c r="B263" s="138"/>
      <c r="E263" s="44"/>
    </row>
    <row r="264" spans="2:5" x14ac:dyDescent="0.45">
      <c r="B264" s="138"/>
      <c r="E264" s="44"/>
    </row>
    <row r="265" spans="2:5" x14ac:dyDescent="0.45">
      <c r="B265" s="138"/>
      <c r="E265" s="44"/>
    </row>
    <row r="266" spans="2:5" x14ac:dyDescent="0.45">
      <c r="B266" s="138"/>
      <c r="E266" s="44"/>
    </row>
    <row r="267" spans="2:5" x14ac:dyDescent="0.45">
      <c r="B267" s="138"/>
      <c r="E267" s="44"/>
    </row>
    <row r="268" spans="2:5" x14ac:dyDescent="0.45">
      <c r="B268" s="138"/>
      <c r="E268" s="44"/>
    </row>
    <row r="269" spans="2:5" x14ac:dyDescent="0.45">
      <c r="B269" s="138"/>
      <c r="E269" s="44"/>
    </row>
    <row r="270" spans="2:5" x14ac:dyDescent="0.45">
      <c r="B270" s="138"/>
      <c r="E270" s="44"/>
    </row>
    <row r="271" spans="2:5" x14ac:dyDescent="0.45">
      <c r="B271" s="138"/>
      <c r="E271" s="44"/>
    </row>
    <row r="272" spans="2:5" x14ac:dyDescent="0.45">
      <c r="B272" s="138"/>
      <c r="E272" s="44"/>
    </row>
    <row r="273" spans="2:5" x14ac:dyDescent="0.45">
      <c r="B273" s="138"/>
      <c r="E273" s="44"/>
    </row>
    <row r="274" spans="2:5" x14ac:dyDescent="0.45">
      <c r="B274" s="138"/>
      <c r="E274" s="44"/>
    </row>
    <row r="275" spans="2:5" x14ac:dyDescent="0.45">
      <c r="B275" s="138"/>
      <c r="E275" s="44"/>
    </row>
    <row r="276" spans="2:5" x14ac:dyDescent="0.45">
      <c r="B276" s="138"/>
      <c r="E276" s="44"/>
    </row>
    <row r="277" spans="2:5" x14ac:dyDescent="0.45">
      <c r="B277" s="138"/>
      <c r="E277" s="44"/>
    </row>
    <row r="278" spans="2:5" x14ac:dyDescent="0.45">
      <c r="B278" s="138"/>
      <c r="E278" s="44"/>
    </row>
    <row r="279" spans="2:5" x14ac:dyDescent="0.45">
      <c r="B279" s="138"/>
      <c r="E279" s="44"/>
    </row>
    <row r="280" spans="2:5" x14ac:dyDescent="0.45">
      <c r="B280" s="138"/>
      <c r="E280" s="44"/>
    </row>
    <row r="281" spans="2:5" x14ac:dyDescent="0.45">
      <c r="B281" s="138"/>
      <c r="E281" s="44"/>
    </row>
    <row r="282" spans="2:5" x14ac:dyDescent="0.45">
      <c r="B282" s="138"/>
      <c r="E282" s="44"/>
    </row>
    <row r="283" spans="2:5" x14ac:dyDescent="0.45">
      <c r="B283" s="138"/>
      <c r="E283" s="44"/>
    </row>
    <row r="284" spans="2:5" x14ac:dyDescent="0.45">
      <c r="B284" s="138"/>
      <c r="E284" s="44"/>
    </row>
    <row r="285" spans="2:5" x14ac:dyDescent="0.45">
      <c r="B285" s="138"/>
      <c r="E285" s="44"/>
    </row>
    <row r="286" spans="2:5" x14ac:dyDescent="0.45">
      <c r="B286" s="138"/>
      <c r="E286" s="44"/>
    </row>
    <row r="287" spans="2:5" x14ac:dyDescent="0.45">
      <c r="B287" s="138"/>
      <c r="E287" s="44"/>
    </row>
    <row r="288" spans="2:5" x14ac:dyDescent="0.45">
      <c r="B288" s="138"/>
      <c r="E288" s="44"/>
    </row>
    <row r="289" spans="2:5" x14ac:dyDescent="0.45">
      <c r="B289" s="138"/>
      <c r="E289" s="44"/>
    </row>
    <row r="290" spans="2:5" x14ac:dyDescent="0.45">
      <c r="B290" s="138"/>
      <c r="E290" s="44"/>
    </row>
    <row r="291" spans="2:5" x14ac:dyDescent="0.45">
      <c r="B291" s="138"/>
      <c r="E291" s="44"/>
    </row>
    <row r="292" spans="2:5" x14ac:dyDescent="0.45">
      <c r="B292" s="138"/>
      <c r="E292" s="44"/>
    </row>
    <row r="293" spans="2:5" x14ac:dyDescent="0.45">
      <c r="B293" s="138"/>
      <c r="E293" s="44"/>
    </row>
    <row r="294" spans="2:5" x14ac:dyDescent="0.45">
      <c r="B294" s="138"/>
      <c r="E294" s="44"/>
    </row>
    <row r="295" spans="2:5" x14ac:dyDescent="0.45">
      <c r="B295" s="138"/>
      <c r="E295" s="44"/>
    </row>
    <row r="296" spans="2:5" x14ac:dyDescent="0.45">
      <c r="B296" s="138"/>
      <c r="E296" s="44"/>
    </row>
    <row r="297" spans="2:5" x14ac:dyDescent="0.45">
      <c r="B297" s="138"/>
      <c r="E297" s="44"/>
    </row>
    <row r="298" spans="2:5" x14ac:dyDescent="0.45">
      <c r="B298" s="138"/>
      <c r="E298" s="44"/>
    </row>
    <row r="299" spans="2:5" x14ac:dyDescent="0.45">
      <c r="B299" s="138"/>
      <c r="E299" s="44"/>
    </row>
    <row r="300" spans="2:5" x14ac:dyDescent="0.45">
      <c r="B300" s="138"/>
      <c r="E300" s="44"/>
    </row>
    <row r="301" spans="2:5" x14ac:dyDescent="0.45">
      <c r="B301" s="138"/>
      <c r="E301" s="44"/>
    </row>
    <row r="302" spans="2:5" x14ac:dyDescent="0.45">
      <c r="B302" s="138"/>
      <c r="E302" s="44"/>
    </row>
    <row r="303" spans="2:5" x14ac:dyDescent="0.45">
      <c r="B303" s="138"/>
      <c r="E303" s="44"/>
    </row>
    <row r="304" spans="2:5" x14ac:dyDescent="0.45">
      <c r="B304" s="138"/>
      <c r="E304" s="44"/>
    </row>
    <row r="305" spans="2:5" x14ac:dyDescent="0.45">
      <c r="B305" s="138"/>
      <c r="E305" s="44"/>
    </row>
    <row r="306" spans="2:5" x14ac:dyDescent="0.45">
      <c r="B306" s="138"/>
      <c r="E306" s="44"/>
    </row>
    <row r="307" spans="2:5" x14ac:dyDescent="0.45">
      <c r="B307" s="138"/>
      <c r="E307" s="44"/>
    </row>
    <row r="308" spans="2:5" x14ac:dyDescent="0.45">
      <c r="B308" s="138"/>
      <c r="E308" s="44"/>
    </row>
    <row r="309" spans="2:5" x14ac:dyDescent="0.45">
      <c r="B309" s="138"/>
      <c r="E309" s="44"/>
    </row>
    <row r="310" spans="2:5" x14ac:dyDescent="0.45">
      <c r="B310" s="138"/>
      <c r="E310" s="44"/>
    </row>
    <row r="311" spans="2:5" x14ac:dyDescent="0.45">
      <c r="B311" s="138"/>
      <c r="E311" s="44"/>
    </row>
    <row r="312" spans="2:5" x14ac:dyDescent="0.45">
      <c r="B312" s="138"/>
      <c r="E312" s="44"/>
    </row>
    <row r="313" spans="2:5" x14ac:dyDescent="0.45">
      <c r="B313" s="138"/>
      <c r="E313" s="44"/>
    </row>
    <row r="314" spans="2:5" x14ac:dyDescent="0.45">
      <c r="B314" s="138"/>
      <c r="E314" s="44"/>
    </row>
    <row r="315" spans="2:5" x14ac:dyDescent="0.45">
      <c r="B315" s="138"/>
      <c r="E315" s="44"/>
    </row>
    <row r="316" spans="2:5" x14ac:dyDescent="0.45">
      <c r="B316" s="138"/>
      <c r="E316" s="44"/>
    </row>
    <row r="317" spans="2:5" x14ac:dyDescent="0.45">
      <c r="B317" s="138"/>
      <c r="E317" s="44"/>
    </row>
    <row r="318" spans="2:5" x14ac:dyDescent="0.45">
      <c r="B318" s="138"/>
      <c r="E318" s="44"/>
    </row>
    <row r="319" spans="2:5" x14ac:dyDescent="0.45">
      <c r="B319" s="138"/>
      <c r="E319" s="44"/>
    </row>
    <row r="320" spans="2:5" x14ac:dyDescent="0.45">
      <c r="B320" s="138"/>
      <c r="E320" s="44"/>
    </row>
    <row r="321" spans="2:5" x14ac:dyDescent="0.45">
      <c r="B321" s="138"/>
      <c r="E321" s="44"/>
    </row>
    <row r="322" spans="2:5" x14ac:dyDescent="0.45">
      <c r="B322" s="138"/>
      <c r="E322" s="44"/>
    </row>
    <row r="323" spans="2:5" x14ac:dyDescent="0.45">
      <c r="B323" s="138"/>
      <c r="E323" s="44"/>
    </row>
    <row r="324" spans="2:5" x14ac:dyDescent="0.45">
      <c r="B324" s="138"/>
      <c r="E324" s="44"/>
    </row>
    <row r="325" spans="2:5" x14ac:dyDescent="0.45">
      <c r="B325" s="138"/>
      <c r="E325" s="44"/>
    </row>
    <row r="326" spans="2:5" x14ac:dyDescent="0.45">
      <c r="B326" s="138"/>
      <c r="E326" s="44"/>
    </row>
    <row r="327" spans="2:5" x14ac:dyDescent="0.45">
      <c r="B327" s="138"/>
      <c r="E327" s="44"/>
    </row>
    <row r="328" spans="2:5" x14ac:dyDescent="0.45">
      <c r="B328" s="138"/>
      <c r="E328" s="44"/>
    </row>
    <row r="329" spans="2:5" x14ac:dyDescent="0.45">
      <c r="B329" s="138"/>
      <c r="E329" s="44"/>
    </row>
    <row r="330" spans="2:5" x14ac:dyDescent="0.45">
      <c r="B330" s="138"/>
      <c r="E330" s="44"/>
    </row>
    <row r="331" spans="2:5" x14ac:dyDescent="0.45">
      <c r="B331" s="138"/>
      <c r="E331" s="44"/>
    </row>
    <row r="332" spans="2:5" x14ac:dyDescent="0.45">
      <c r="B332" s="138"/>
      <c r="E332" s="44"/>
    </row>
    <row r="333" spans="2:5" x14ac:dyDescent="0.45">
      <c r="B333" s="138"/>
      <c r="E333" s="44"/>
    </row>
    <row r="334" spans="2:5" x14ac:dyDescent="0.45">
      <c r="B334" s="138"/>
      <c r="E334" s="44"/>
    </row>
    <row r="335" spans="2:5" x14ac:dyDescent="0.45">
      <c r="B335" s="138"/>
      <c r="E335" s="44"/>
    </row>
    <row r="336" spans="2:5" x14ac:dyDescent="0.45">
      <c r="B336" s="138"/>
      <c r="E336" s="44"/>
    </row>
    <row r="337" spans="2:5" x14ac:dyDescent="0.45">
      <c r="B337" s="138"/>
      <c r="E337" s="44"/>
    </row>
    <row r="338" spans="2:5" x14ac:dyDescent="0.45">
      <c r="B338" s="138"/>
      <c r="E338" s="44"/>
    </row>
    <row r="339" spans="2:5" x14ac:dyDescent="0.45">
      <c r="B339" s="138"/>
      <c r="E339" s="44"/>
    </row>
    <row r="340" spans="2:5" x14ac:dyDescent="0.45">
      <c r="B340" s="138"/>
      <c r="E340" s="44"/>
    </row>
    <row r="341" spans="2:5" x14ac:dyDescent="0.45">
      <c r="B341" s="138"/>
      <c r="E341" s="44"/>
    </row>
    <row r="342" spans="2:5" x14ac:dyDescent="0.45">
      <c r="B342" s="138"/>
      <c r="E342" s="44"/>
    </row>
    <row r="343" spans="2:5" x14ac:dyDescent="0.45">
      <c r="B343" s="138"/>
      <c r="E343" s="44"/>
    </row>
    <row r="344" spans="2:5" x14ac:dyDescent="0.45">
      <c r="B344" s="138"/>
      <c r="E344" s="44"/>
    </row>
    <row r="345" spans="2:5" x14ac:dyDescent="0.45">
      <c r="B345" s="138"/>
      <c r="E345" s="44"/>
    </row>
    <row r="346" spans="2:5" x14ac:dyDescent="0.45">
      <c r="B346" s="138"/>
      <c r="E346" s="44"/>
    </row>
    <row r="347" spans="2:5" x14ac:dyDescent="0.45">
      <c r="B347" s="138"/>
      <c r="E347" s="44"/>
    </row>
    <row r="348" spans="2:5" x14ac:dyDescent="0.45">
      <c r="B348" s="138"/>
      <c r="E348" s="44"/>
    </row>
    <row r="349" spans="2:5" x14ac:dyDescent="0.45">
      <c r="B349" s="138"/>
      <c r="E349" s="44"/>
    </row>
    <row r="350" spans="2:5" x14ac:dyDescent="0.45">
      <c r="B350" s="138"/>
      <c r="E350" s="44"/>
    </row>
    <row r="351" spans="2:5" x14ac:dyDescent="0.45">
      <c r="B351" s="138"/>
      <c r="E351" s="44"/>
    </row>
    <row r="352" spans="2:5" x14ac:dyDescent="0.45">
      <c r="B352" s="138"/>
      <c r="E352" s="44"/>
    </row>
    <row r="353" spans="2:5" x14ac:dyDescent="0.45">
      <c r="B353" s="138"/>
      <c r="E353" s="44"/>
    </row>
    <row r="354" spans="2:5" x14ac:dyDescent="0.45">
      <c r="B354" s="138"/>
      <c r="E354" s="44"/>
    </row>
    <row r="355" spans="2:5" x14ac:dyDescent="0.45">
      <c r="B355" s="138"/>
      <c r="E355" s="44"/>
    </row>
    <row r="356" spans="2:5" x14ac:dyDescent="0.45">
      <c r="B356" s="138"/>
      <c r="E356" s="44"/>
    </row>
    <row r="357" spans="2:5" x14ac:dyDescent="0.45">
      <c r="B357" s="138"/>
      <c r="E357" s="44"/>
    </row>
    <row r="358" spans="2:5" x14ac:dyDescent="0.45">
      <c r="B358" s="138"/>
      <c r="E358" s="44"/>
    </row>
    <row r="359" spans="2:5" x14ac:dyDescent="0.45">
      <c r="B359" s="138"/>
      <c r="E359" s="44"/>
    </row>
    <row r="360" spans="2:5" x14ac:dyDescent="0.45">
      <c r="B360" s="138"/>
      <c r="E360" s="44"/>
    </row>
    <row r="361" spans="2:5" x14ac:dyDescent="0.45">
      <c r="B361" s="138"/>
      <c r="E361" s="44"/>
    </row>
    <row r="362" spans="2:5" x14ac:dyDescent="0.45">
      <c r="B362" s="138"/>
      <c r="E362" s="44"/>
    </row>
    <row r="363" spans="2:5" x14ac:dyDescent="0.45">
      <c r="B363" s="138"/>
      <c r="E363" s="44"/>
    </row>
    <row r="364" spans="2:5" x14ac:dyDescent="0.45">
      <c r="B364" s="138"/>
      <c r="E364" s="44"/>
    </row>
    <row r="365" spans="2:5" x14ac:dyDescent="0.45">
      <c r="B365" s="138"/>
      <c r="E365" s="44"/>
    </row>
    <row r="366" spans="2:5" x14ac:dyDescent="0.45">
      <c r="B366" s="138"/>
      <c r="E366" s="44"/>
    </row>
    <row r="367" spans="2:5" x14ac:dyDescent="0.45">
      <c r="B367" s="138"/>
      <c r="E367" s="44"/>
    </row>
    <row r="368" spans="2:5" x14ac:dyDescent="0.45">
      <c r="B368" s="138"/>
      <c r="E368" s="44"/>
    </row>
    <row r="369" spans="2:5" x14ac:dyDescent="0.45">
      <c r="B369" s="138"/>
      <c r="E369" s="44"/>
    </row>
    <row r="370" spans="2:5" x14ac:dyDescent="0.45">
      <c r="B370" s="138"/>
      <c r="E370" s="44"/>
    </row>
    <row r="371" spans="2:5" x14ac:dyDescent="0.45">
      <c r="B371" s="138"/>
      <c r="E371" s="44"/>
    </row>
    <row r="372" spans="2:5" x14ac:dyDescent="0.45">
      <c r="B372" s="138"/>
      <c r="E372" s="44"/>
    </row>
    <row r="373" spans="2:5" x14ac:dyDescent="0.45">
      <c r="B373" s="138"/>
      <c r="E373" s="44"/>
    </row>
    <row r="374" spans="2:5" x14ac:dyDescent="0.45">
      <c r="B374" s="138"/>
      <c r="E374" s="44"/>
    </row>
    <row r="375" spans="2:5" x14ac:dyDescent="0.45">
      <c r="B375" s="138"/>
      <c r="E375" s="44"/>
    </row>
    <row r="376" spans="2:5" x14ac:dyDescent="0.45">
      <c r="B376" s="138"/>
      <c r="E376" s="44"/>
    </row>
    <row r="377" spans="2:5" x14ac:dyDescent="0.45">
      <c r="B377" s="138"/>
      <c r="E377" s="44"/>
    </row>
    <row r="378" spans="2:5" x14ac:dyDescent="0.45">
      <c r="B378" s="138"/>
      <c r="E378" s="44"/>
    </row>
    <row r="379" spans="2:5" x14ac:dyDescent="0.45">
      <c r="B379" s="138"/>
      <c r="E379" s="44"/>
    </row>
    <row r="380" spans="2:5" x14ac:dyDescent="0.45">
      <c r="B380" s="138"/>
      <c r="E380" s="44"/>
    </row>
    <row r="381" spans="2:5" x14ac:dyDescent="0.45">
      <c r="B381" s="138"/>
      <c r="E381" s="44"/>
    </row>
    <row r="382" spans="2:5" x14ac:dyDescent="0.45">
      <c r="B382" s="138"/>
      <c r="E382" s="44"/>
    </row>
    <row r="383" spans="2:5" x14ac:dyDescent="0.45">
      <c r="B383" s="138"/>
      <c r="E383" s="44"/>
    </row>
    <row r="384" spans="2:5" x14ac:dyDescent="0.45">
      <c r="B384" s="138"/>
      <c r="E384" s="44"/>
    </row>
    <row r="385" spans="2:5" x14ac:dyDescent="0.45">
      <c r="B385" s="138"/>
      <c r="E385" s="44"/>
    </row>
    <row r="386" spans="2:5" x14ac:dyDescent="0.45">
      <c r="B386" s="138"/>
      <c r="E386" s="44"/>
    </row>
    <row r="387" spans="2:5" x14ac:dyDescent="0.45">
      <c r="B387" s="138"/>
      <c r="E387" s="44"/>
    </row>
    <row r="388" spans="2:5" x14ac:dyDescent="0.45">
      <c r="B388" s="138"/>
      <c r="E388" s="44"/>
    </row>
    <row r="389" spans="2:5" x14ac:dyDescent="0.45">
      <c r="B389" s="138"/>
      <c r="E389" s="44"/>
    </row>
    <row r="390" spans="2:5" x14ac:dyDescent="0.45">
      <c r="B390" s="138"/>
      <c r="E390" s="44"/>
    </row>
    <row r="391" spans="2:5" x14ac:dyDescent="0.45">
      <c r="B391" s="138"/>
      <c r="E391" s="44"/>
    </row>
    <row r="392" spans="2:5" x14ac:dyDescent="0.45">
      <c r="B392" s="138"/>
      <c r="E392" s="44"/>
    </row>
    <row r="393" spans="2:5" x14ac:dyDescent="0.45">
      <c r="B393" s="138"/>
      <c r="E393" s="44"/>
    </row>
    <row r="394" spans="2:5" x14ac:dyDescent="0.45">
      <c r="B394" s="138"/>
      <c r="E394" s="44"/>
    </row>
    <row r="395" spans="2:5" x14ac:dyDescent="0.45">
      <c r="B395" s="138"/>
      <c r="E395" s="44"/>
    </row>
    <row r="396" spans="2:5" x14ac:dyDescent="0.45">
      <c r="B396" s="138"/>
      <c r="E396" s="44"/>
    </row>
    <row r="397" spans="2:5" x14ac:dyDescent="0.45">
      <c r="B397" s="138"/>
      <c r="E397" s="44"/>
    </row>
    <row r="398" spans="2:5" x14ac:dyDescent="0.45">
      <c r="B398" s="138"/>
      <c r="E398" s="44"/>
    </row>
    <row r="399" spans="2:5" x14ac:dyDescent="0.45">
      <c r="B399" s="138"/>
      <c r="E399" s="44"/>
    </row>
    <row r="400" spans="2:5" x14ac:dyDescent="0.45">
      <c r="B400" s="138"/>
      <c r="E400" s="44"/>
    </row>
    <row r="401" spans="2:5" x14ac:dyDescent="0.45">
      <c r="B401" s="138"/>
      <c r="E401" s="44"/>
    </row>
    <row r="402" spans="2:5" x14ac:dyDescent="0.45">
      <c r="B402" s="138"/>
      <c r="E402" s="44"/>
    </row>
    <row r="403" spans="2:5" x14ac:dyDescent="0.45">
      <c r="B403" s="138"/>
      <c r="E403" s="44"/>
    </row>
    <row r="404" spans="2:5" x14ac:dyDescent="0.45">
      <c r="B404" s="138"/>
      <c r="E404" s="44"/>
    </row>
    <row r="405" spans="2:5" x14ac:dyDescent="0.45">
      <c r="B405" s="138"/>
      <c r="E405" s="44"/>
    </row>
    <row r="406" spans="2:5" x14ac:dyDescent="0.45">
      <c r="B406" s="138"/>
      <c r="E406" s="44"/>
    </row>
    <row r="407" spans="2:5" x14ac:dyDescent="0.45">
      <c r="B407" s="138"/>
      <c r="E407" s="44"/>
    </row>
    <row r="408" spans="2:5" x14ac:dyDescent="0.45">
      <c r="B408" s="138"/>
      <c r="E408" s="44"/>
    </row>
    <row r="409" spans="2:5" x14ac:dyDescent="0.45">
      <c r="B409" s="138"/>
      <c r="E409" s="44"/>
    </row>
    <row r="410" spans="2:5" x14ac:dyDescent="0.45">
      <c r="B410" s="138"/>
      <c r="E410" s="44"/>
    </row>
    <row r="411" spans="2:5" x14ac:dyDescent="0.45">
      <c r="B411" s="138"/>
      <c r="E411" s="44"/>
    </row>
    <row r="412" spans="2:5" x14ac:dyDescent="0.45">
      <c r="B412" s="138"/>
      <c r="E412" s="44"/>
    </row>
    <row r="413" spans="2:5" x14ac:dyDescent="0.45">
      <c r="B413" s="138"/>
      <c r="E413" s="44"/>
    </row>
    <row r="414" spans="2:5" x14ac:dyDescent="0.45">
      <c r="B414" s="138"/>
      <c r="E414" s="44"/>
    </row>
    <row r="415" spans="2:5" x14ac:dyDescent="0.45">
      <c r="B415" s="138"/>
      <c r="E415" s="44"/>
    </row>
    <row r="416" spans="2:5" x14ac:dyDescent="0.45">
      <c r="B416" s="138"/>
      <c r="E416" s="44"/>
    </row>
    <row r="417" spans="2:5" x14ac:dyDescent="0.45">
      <c r="B417" s="138"/>
      <c r="E417" s="44"/>
    </row>
    <row r="418" spans="2:5" x14ac:dyDescent="0.45">
      <c r="B418" s="138"/>
      <c r="E418" s="44"/>
    </row>
    <row r="419" spans="2:5" x14ac:dyDescent="0.45">
      <c r="B419" s="138"/>
      <c r="E419" s="44"/>
    </row>
    <row r="420" spans="2:5" x14ac:dyDescent="0.45">
      <c r="B420" s="138"/>
      <c r="E420" s="44"/>
    </row>
    <row r="421" spans="2:5" x14ac:dyDescent="0.45">
      <c r="B421" s="138"/>
      <c r="E421" s="44"/>
    </row>
    <row r="422" spans="2:5" x14ac:dyDescent="0.45">
      <c r="B422" s="138"/>
      <c r="E422" s="44"/>
    </row>
    <row r="423" spans="2:5" x14ac:dyDescent="0.45">
      <c r="B423" s="138"/>
      <c r="E423" s="44"/>
    </row>
    <row r="424" spans="2:5" x14ac:dyDescent="0.45">
      <c r="B424" s="138"/>
      <c r="E424" s="44"/>
    </row>
    <row r="425" spans="2:5" x14ac:dyDescent="0.45">
      <c r="B425" s="138"/>
      <c r="E425" s="44"/>
    </row>
    <row r="426" spans="2:5" x14ac:dyDescent="0.45">
      <c r="B426" s="138"/>
      <c r="E426" s="44"/>
    </row>
    <row r="427" spans="2:5" x14ac:dyDescent="0.45">
      <c r="B427" s="138"/>
      <c r="E427" s="44"/>
    </row>
    <row r="428" spans="2:5" x14ac:dyDescent="0.45">
      <c r="B428" s="138"/>
      <c r="E428" s="44"/>
    </row>
    <row r="429" spans="2:5" x14ac:dyDescent="0.45">
      <c r="B429" s="138"/>
      <c r="E429" s="44"/>
    </row>
  </sheetData>
  <mergeCells count="4">
    <mergeCell ref="B2:J2"/>
    <mergeCell ref="B3:J3"/>
    <mergeCell ref="B4:J4"/>
    <mergeCell ref="B5:J5"/>
  </mergeCells>
  <printOptions horizontalCentered="1"/>
  <pageMargins left="0.25" right="0.25" top="0.5" bottom="0.5" header="0.35" footer="0.25"/>
  <pageSetup scale="51" orientation="portrait" r:id="rId1"/>
  <headerFooter scaleWithDoc="0" alignWithMargins="0">
    <oddHeader>&amp;C&amp;"Times New Roman,Bold"REVISED</oddHeader>
    <oddFooter>&amp;CPage 6.1&amp;R&amp;F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8B7B-11AC-4A06-8AF1-90580E0BC2C7}">
  <sheetPr>
    <pageSetUpPr fitToPage="1"/>
  </sheetPr>
  <dimension ref="A1:N77"/>
  <sheetViews>
    <sheetView zoomScale="80" zoomScaleNormal="80" workbookViewId="0"/>
  </sheetViews>
  <sheetFormatPr defaultColWidth="9.1328125" defaultRowHeight="15.4" x14ac:dyDescent="0.45"/>
  <cols>
    <col min="1" max="1" width="5.1328125" style="139" customWidth="1"/>
    <col min="2" max="2" width="8.59765625" style="140" customWidth="1"/>
    <col min="3" max="3" width="68.73046875" style="140" customWidth="1"/>
    <col min="4" max="6" width="16.86328125" style="140" customWidth="1"/>
    <col min="7" max="7" width="1.59765625" style="140" customWidth="1"/>
    <col min="8" max="9" width="16.86328125" style="140" customWidth="1"/>
    <col min="10" max="10" width="34.59765625" style="140" customWidth="1"/>
    <col min="11" max="11" width="5.1328125" style="139" customWidth="1"/>
    <col min="12" max="12" width="4" style="140" customWidth="1"/>
    <col min="13" max="13" width="13.265625" style="140" bestFit="1" customWidth="1"/>
    <col min="14" max="14" width="9.1328125" style="140"/>
    <col min="15" max="15" width="9.73046875" style="140" customWidth="1"/>
    <col min="16" max="16" width="10" style="140" customWidth="1"/>
    <col min="17" max="16384" width="9.1328125" style="140"/>
  </cols>
  <sheetData>
    <row r="1" spans="1:14" x14ac:dyDescent="0.45">
      <c r="J1" s="564"/>
    </row>
    <row r="2" spans="1:14" x14ac:dyDescent="0.45">
      <c r="B2" s="773" t="s">
        <v>24</v>
      </c>
      <c r="C2" s="773"/>
      <c r="D2" s="773"/>
      <c r="E2" s="773"/>
      <c r="F2" s="773"/>
      <c r="G2" s="773"/>
      <c r="H2" s="773"/>
      <c r="I2" s="773"/>
      <c r="J2" s="773"/>
      <c r="K2" s="619"/>
    </row>
    <row r="3" spans="1:14" x14ac:dyDescent="0.45">
      <c r="B3" s="773" t="s">
        <v>117</v>
      </c>
      <c r="C3" s="773"/>
      <c r="D3" s="773"/>
      <c r="E3" s="773"/>
      <c r="F3" s="773"/>
      <c r="G3" s="773"/>
      <c r="H3" s="773"/>
      <c r="I3" s="773"/>
      <c r="J3" s="773"/>
      <c r="K3" s="619"/>
    </row>
    <row r="4" spans="1:14" x14ac:dyDescent="0.45">
      <c r="B4" s="773" t="s">
        <v>607</v>
      </c>
      <c r="C4" s="773"/>
      <c r="D4" s="773"/>
      <c r="E4" s="773"/>
      <c r="F4" s="773"/>
      <c r="G4" s="773"/>
      <c r="H4" s="773"/>
      <c r="I4" s="773"/>
      <c r="J4" s="773"/>
      <c r="K4" s="619"/>
    </row>
    <row r="5" spans="1:14" x14ac:dyDescent="0.45">
      <c r="B5" s="774" t="s">
        <v>1</v>
      </c>
      <c r="C5" s="774"/>
      <c r="D5" s="774"/>
      <c r="E5" s="774"/>
      <c r="F5" s="774"/>
      <c r="G5" s="774"/>
      <c r="H5" s="774"/>
      <c r="I5" s="774"/>
      <c r="J5" s="774"/>
      <c r="K5" s="619"/>
    </row>
    <row r="6" spans="1:14" ht="15.75" thickBot="1" x14ac:dyDescent="0.5">
      <c r="D6" s="141"/>
      <c r="E6" s="141"/>
      <c r="F6" s="141"/>
      <c r="G6" s="141"/>
      <c r="H6" s="141"/>
      <c r="I6" s="141"/>
      <c r="J6" s="141"/>
      <c r="M6" s="44"/>
    </row>
    <row r="7" spans="1:14" ht="17.25" x14ac:dyDescent="0.4">
      <c r="A7" s="619"/>
      <c r="B7" s="142"/>
      <c r="C7" s="143"/>
      <c r="D7" s="144" t="s">
        <v>10</v>
      </c>
      <c r="E7" s="145" t="s">
        <v>53</v>
      </c>
      <c r="F7" s="144" t="s">
        <v>54</v>
      </c>
      <c r="G7" s="145"/>
      <c r="H7" s="86" t="s">
        <v>263</v>
      </c>
      <c r="I7" s="86" t="s">
        <v>55</v>
      </c>
      <c r="J7" s="146"/>
      <c r="K7" s="619"/>
    </row>
    <row r="8" spans="1:14" x14ac:dyDescent="0.4">
      <c r="A8" s="139" t="s">
        <v>2</v>
      </c>
      <c r="B8" s="147" t="s">
        <v>56</v>
      </c>
      <c r="C8" s="148"/>
      <c r="D8" s="149" t="s">
        <v>9</v>
      </c>
      <c r="E8" s="619" t="s">
        <v>57</v>
      </c>
      <c r="F8" s="149" t="s">
        <v>9</v>
      </c>
      <c r="G8" s="150"/>
      <c r="H8" s="559" t="s">
        <v>344</v>
      </c>
      <c r="I8" s="90" t="s">
        <v>58</v>
      </c>
      <c r="J8" s="151"/>
      <c r="K8" s="139" t="s">
        <v>2</v>
      </c>
    </row>
    <row r="9" spans="1:14" ht="15.75" thickBot="1" x14ac:dyDescent="0.45">
      <c r="A9" s="139" t="s">
        <v>6</v>
      </c>
      <c r="B9" s="152" t="s">
        <v>59</v>
      </c>
      <c r="C9" s="153" t="s">
        <v>3</v>
      </c>
      <c r="D9" s="154" t="s">
        <v>60</v>
      </c>
      <c r="E9" s="153" t="s">
        <v>61</v>
      </c>
      <c r="F9" s="154" t="s">
        <v>62</v>
      </c>
      <c r="G9" s="155"/>
      <c r="H9" s="179" t="s">
        <v>367</v>
      </c>
      <c r="I9" s="156" t="s">
        <v>118</v>
      </c>
      <c r="J9" s="157" t="s">
        <v>5</v>
      </c>
      <c r="K9" s="139" t="s">
        <v>6</v>
      </c>
      <c r="L9" s="139"/>
    </row>
    <row r="10" spans="1:14" x14ac:dyDescent="0.45">
      <c r="B10" s="158"/>
      <c r="C10" s="159" t="s">
        <v>119</v>
      </c>
      <c r="D10" s="560"/>
      <c r="E10" s="560"/>
      <c r="F10" s="160"/>
      <c r="G10" s="161"/>
      <c r="H10" s="161"/>
      <c r="I10" s="162"/>
      <c r="J10" s="163"/>
    </row>
    <row r="11" spans="1:14" x14ac:dyDescent="0.45">
      <c r="A11" s="139">
        <v>1</v>
      </c>
      <c r="B11" s="158">
        <v>920</v>
      </c>
      <c r="C11" s="164" t="s">
        <v>120</v>
      </c>
      <c r="D11" s="98">
        <v>38528.063410000002</v>
      </c>
      <c r="E11" s="98">
        <v>0</v>
      </c>
      <c r="F11" s="98">
        <f>D11-E11</f>
        <v>38528.063410000002</v>
      </c>
      <c r="G11" s="41"/>
      <c r="H11" s="41"/>
      <c r="I11" s="98">
        <f>F11+H11</f>
        <v>38528.063410000002</v>
      </c>
      <c r="J11" s="91" t="s">
        <v>121</v>
      </c>
      <c r="K11" s="139">
        <f>A11</f>
        <v>1</v>
      </c>
      <c r="L11" s="140" t="s">
        <v>11</v>
      </c>
      <c r="M11" s="165"/>
    </row>
    <row r="12" spans="1:14" x14ac:dyDescent="0.45">
      <c r="A12" s="139">
        <f t="shared" ref="A12:A57" si="0">A11+1</f>
        <v>2</v>
      </c>
      <c r="B12" s="158">
        <v>921</v>
      </c>
      <c r="C12" s="164" t="s">
        <v>122</v>
      </c>
      <c r="D12" s="100">
        <v>8714.1837200000009</v>
      </c>
      <c r="E12" s="101">
        <v>0.75301000000000207</v>
      </c>
      <c r="F12" s="100">
        <f>D12-E12</f>
        <v>8713.4307100000005</v>
      </c>
      <c r="G12" s="101"/>
      <c r="H12" s="101"/>
      <c r="I12" s="100">
        <f>F12+H12</f>
        <v>8713.4307100000005</v>
      </c>
      <c r="J12" s="91" t="s">
        <v>123</v>
      </c>
      <c r="K12" s="139">
        <f t="shared" ref="K12:K57" si="1">K11+1</f>
        <v>2</v>
      </c>
      <c r="M12" s="165"/>
      <c r="N12" s="166"/>
    </row>
    <row r="13" spans="1:14" x14ac:dyDescent="0.45">
      <c r="A13" s="139">
        <f t="shared" si="0"/>
        <v>3</v>
      </c>
      <c r="B13" s="158">
        <v>922</v>
      </c>
      <c r="C13" s="164" t="s">
        <v>124</v>
      </c>
      <c r="D13" s="100">
        <v>-10239.58124</v>
      </c>
      <c r="E13" s="101">
        <v>0</v>
      </c>
      <c r="F13" s="100">
        <f>D13-E13</f>
        <v>-10239.58124</v>
      </c>
      <c r="G13" s="101"/>
      <c r="H13" s="101"/>
      <c r="I13" s="100">
        <f t="shared" ref="I13:I24" si="2">F13+H13</f>
        <v>-10239.58124</v>
      </c>
      <c r="J13" s="91" t="s">
        <v>125</v>
      </c>
      <c r="K13" s="139">
        <f t="shared" si="1"/>
        <v>3</v>
      </c>
      <c r="M13" s="165"/>
    </row>
    <row r="14" spans="1:14" ht="15.75" x14ac:dyDescent="0.5">
      <c r="A14" s="139">
        <f t="shared" si="0"/>
        <v>4</v>
      </c>
      <c r="B14" s="147">
        <v>923</v>
      </c>
      <c r="C14" s="164" t="s">
        <v>126</v>
      </c>
      <c r="D14" s="100">
        <v>93646.322090000001</v>
      </c>
      <c r="E14" s="101">
        <v>333.74215999999996</v>
      </c>
      <c r="F14" s="100">
        <f>D14-E14</f>
        <v>93312.579930000007</v>
      </c>
      <c r="G14" s="29" t="s">
        <v>16</v>
      </c>
      <c r="H14" s="759">
        <f>543.571+282.674</f>
        <v>826.245</v>
      </c>
      <c r="I14" s="104">
        <f t="shared" si="2"/>
        <v>94138.824930000002</v>
      </c>
      <c r="J14" s="91" t="s">
        <v>127</v>
      </c>
      <c r="K14" s="139">
        <f t="shared" si="1"/>
        <v>4</v>
      </c>
      <c r="M14" s="165"/>
    </row>
    <row r="15" spans="1:14" x14ac:dyDescent="0.45">
      <c r="A15" s="139">
        <f t="shared" si="0"/>
        <v>5</v>
      </c>
      <c r="B15" s="158">
        <v>924</v>
      </c>
      <c r="C15" s="164" t="s">
        <v>128</v>
      </c>
      <c r="D15" s="100">
        <v>5523.0058700000009</v>
      </c>
      <c r="E15" s="101">
        <v>0</v>
      </c>
      <c r="F15" s="100">
        <f t="shared" ref="F15:F16" si="3">D15-E15</f>
        <v>5523.0058700000009</v>
      </c>
      <c r="G15" s="101"/>
      <c r="H15" s="101"/>
      <c r="I15" s="100">
        <f t="shared" si="2"/>
        <v>5523.0058700000009</v>
      </c>
      <c r="J15" s="91" t="s">
        <v>129</v>
      </c>
      <c r="K15" s="139">
        <f t="shared" si="1"/>
        <v>5</v>
      </c>
      <c r="M15" s="165"/>
    </row>
    <row r="16" spans="1:14" x14ac:dyDescent="0.45">
      <c r="A16" s="139">
        <f t="shared" si="0"/>
        <v>6</v>
      </c>
      <c r="B16" s="158">
        <v>925</v>
      </c>
      <c r="C16" s="164" t="s">
        <v>130</v>
      </c>
      <c r="D16" s="100">
        <v>112646.05174</v>
      </c>
      <c r="E16" s="101">
        <v>102.631419228</v>
      </c>
      <c r="F16" s="100">
        <f t="shared" si="3"/>
        <v>112543.420320772</v>
      </c>
      <c r="G16" s="101"/>
      <c r="H16" s="101"/>
      <c r="I16" s="100">
        <f t="shared" si="2"/>
        <v>112543.420320772</v>
      </c>
      <c r="J16" s="91" t="s">
        <v>131</v>
      </c>
      <c r="K16" s="139">
        <f t="shared" si="1"/>
        <v>6</v>
      </c>
      <c r="M16" s="165"/>
    </row>
    <row r="17" spans="1:13" x14ac:dyDescent="0.45">
      <c r="A17" s="139">
        <f t="shared" si="0"/>
        <v>7</v>
      </c>
      <c r="B17" s="158">
        <v>926</v>
      </c>
      <c r="C17" s="164" t="s">
        <v>368</v>
      </c>
      <c r="D17" s="100">
        <v>48997.417150000008</v>
      </c>
      <c r="E17" s="101">
        <v>343.98778952699996</v>
      </c>
      <c r="F17" s="100">
        <f>D17-E17</f>
        <v>48653.429360473012</v>
      </c>
      <c r="G17" s="101"/>
      <c r="H17" s="101"/>
      <c r="I17" s="100">
        <f t="shared" si="2"/>
        <v>48653.429360473012</v>
      </c>
      <c r="J17" s="91" t="s">
        <v>132</v>
      </c>
      <c r="K17" s="139">
        <f t="shared" si="1"/>
        <v>7</v>
      </c>
      <c r="M17" s="167"/>
    </row>
    <row r="18" spans="1:13" x14ac:dyDescent="0.45">
      <c r="A18" s="139">
        <f t="shared" si="0"/>
        <v>8</v>
      </c>
      <c r="B18" s="158">
        <v>927</v>
      </c>
      <c r="C18" s="164" t="s">
        <v>133</v>
      </c>
      <c r="D18" s="100">
        <v>131978.20225999999</v>
      </c>
      <c r="E18" s="101">
        <v>131978.20225999999</v>
      </c>
      <c r="F18" s="100">
        <f t="shared" ref="F18:F20" si="4">D18-E18</f>
        <v>0</v>
      </c>
      <c r="G18" s="101"/>
      <c r="H18" s="101"/>
      <c r="I18" s="100">
        <f t="shared" si="2"/>
        <v>0</v>
      </c>
      <c r="J18" s="91" t="s">
        <v>134</v>
      </c>
      <c r="K18" s="139">
        <f t="shared" si="1"/>
        <v>8</v>
      </c>
      <c r="M18" s="167"/>
    </row>
    <row r="19" spans="1:13" x14ac:dyDescent="0.45">
      <c r="A19" s="139">
        <f t="shared" si="0"/>
        <v>9</v>
      </c>
      <c r="B19" s="158">
        <v>928</v>
      </c>
      <c r="C19" s="164" t="s">
        <v>369</v>
      </c>
      <c r="D19" s="100">
        <v>20960.245720000003</v>
      </c>
      <c r="E19" s="101">
        <v>10076.049580000001</v>
      </c>
      <c r="F19" s="100">
        <f t="shared" si="4"/>
        <v>10884.196140000002</v>
      </c>
      <c r="G19" s="101"/>
      <c r="H19" s="101"/>
      <c r="I19" s="100">
        <f t="shared" si="2"/>
        <v>10884.196140000002</v>
      </c>
      <c r="J19" s="91" t="s">
        <v>135</v>
      </c>
      <c r="K19" s="139">
        <f t="shared" si="1"/>
        <v>9</v>
      </c>
      <c r="M19" s="167"/>
    </row>
    <row r="20" spans="1:13" x14ac:dyDescent="0.45">
      <c r="A20" s="139">
        <f t="shared" si="0"/>
        <v>10</v>
      </c>
      <c r="B20" s="158">
        <v>929</v>
      </c>
      <c r="C20" s="164" t="s">
        <v>136</v>
      </c>
      <c r="D20" s="100">
        <v>-1622.2648800000004</v>
      </c>
      <c r="E20" s="101">
        <v>0</v>
      </c>
      <c r="F20" s="100">
        <f t="shared" si="4"/>
        <v>-1622.2648800000004</v>
      </c>
      <c r="G20" s="101"/>
      <c r="H20" s="101"/>
      <c r="I20" s="100">
        <f t="shared" si="2"/>
        <v>-1622.2648800000004</v>
      </c>
      <c r="J20" s="91" t="s">
        <v>137</v>
      </c>
      <c r="K20" s="139">
        <f t="shared" si="1"/>
        <v>10</v>
      </c>
      <c r="M20" s="165"/>
    </row>
    <row r="21" spans="1:13" x14ac:dyDescent="0.45">
      <c r="A21" s="139">
        <f t="shared" si="0"/>
        <v>11</v>
      </c>
      <c r="B21" s="169">
        <v>930.1</v>
      </c>
      <c r="C21" s="164" t="s">
        <v>138</v>
      </c>
      <c r="D21" s="100">
        <v>242.68352000000002</v>
      </c>
      <c r="E21" s="101">
        <v>242.68352000000002</v>
      </c>
      <c r="F21" s="100">
        <f>D21-E21</f>
        <v>0</v>
      </c>
      <c r="G21" s="101"/>
      <c r="H21" s="101"/>
      <c r="I21" s="100">
        <f t="shared" si="2"/>
        <v>0</v>
      </c>
      <c r="J21" s="91" t="s">
        <v>139</v>
      </c>
      <c r="K21" s="139">
        <f t="shared" si="1"/>
        <v>11</v>
      </c>
      <c r="M21" s="165"/>
    </row>
    <row r="22" spans="1:13" x14ac:dyDescent="0.45">
      <c r="A22" s="139">
        <f t="shared" si="0"/>
        <v>12</v>
      </c>
      <c r="B22" s="169">
        <v>930.2</v>
      </c>
      <c r="C22" s="164" t="s">
        <v>140</v>
      </c>
      <c r="D22" s="100">
        <v>7563.7374500000005</v>
      </c>
      <c r="E22" s="101">
        <v>2000.03565</v>
      </c>
      <c r="F22" s="100">
        <f t="shared" ref="F22" si="5">D22-E22</f>
        <v>5563.7018000000007</v>
      </c>
      <c r="G22" s="101"/>
      <c r="H22" s="101"/>
      <c r="I22" s="100">
        <f t="shared" si="2"/>
        <v>5563.7018000000007</v>
      </c>
      <c r="J22" s="91" t="s">
        <v>141</v>
      </c>
      <c r="K22" s="139">
        <f t="shared" si="1"/>
        <v>12</v>
      </c>
      <c r="M22" s="170"/>
    </row>
    <row r="23" spans="1:13" x14ac:dyDescent="0.45">
      <c r="A23" s="139">
        <f t="shared" si="0"/>
        <v>13</v>
      </c>
      <c r="B23" s="158">
        <v>931</v>
      </c>
      <c r="C23" s="164" t="s">
        <v>91</v>
      </c>
      <c r="D23" s="100">
        <v>11844.36429</v>
      </c>
      <c r="E23" s="101">
        <v>0</v>
      </c>
      <c r="F23" s="100">
        <f>D23-E23</f>
        <v>11844.36429</v>
      </c>
      <c r="G23" s="101"/>
      <c r="H23" s="101"/>
      <c r="I23" s="100">
        <f t="shared" si="2"/>
        <v>11844.36429</v>
      </c>
      <c r="J23" s="91" t="s">
        <v>142</v>
      </c>
      <c r="K23" s="139">
        <f t="shared" si="1"/>
        <v>13</v>
      </c>
      <c r="M23" s="165"/>
    </row>
    <row r="24" spans="1:13" x14ac:dyDescent="0.45">
      <c r="A24" s="139">
        <f t="shared" si="0"/>
        <v>14</v>
      </c>
      <c r="B24" s="158">
        <v>935</v>
      </c>
      <c r="C24" s="164" t="s">
        <v>143</v>
      </c>
      <c r="D24" s="537">
        <v>9056.059220000001</v>
      </c>
      <c r="E24" s="514">
        <v>65.000791141999997</v>
      </c>
      <c r="F24" s="537">
        <f>D24-E24</f>
        <v>8991.0584288580012</v>
      </c>
      <c r="G24" s="538"/>
      <c r="H24" s="514"/>
      <c r="I24" s="537">
        <f t="shared" si="2"/>
        <v>8991.0584288580012</v>
      </c>
      <c r="J24" s="91" t="s">
        <v>144</v>
      </c>
      <c r="K24" s="139">
        <f t="shared" si="1"/>
        <v>14</v>
      </c>
      <c r="L24" s="140" t="s">
        <v>11</v>
      </c>
      <c r="M24" s="165"/>
    </row>
    <row r="25" spans="1:13" x14ac:dyDescent="0.45">
      <c r="A25" s="139">
        <f t="shared" si="0"/>
        <v>15</v>
      </c>
      <c r="B25" s="158"/>
      <c r="D25" s="171"/>
      <c r="F25" s="171"/>
      <c r="I25" s="171"/>
      <c r="J25" s="172"/>
      <c r="K25" s="139">
        <f t="shared" si="1"/>
        <v>15</v>
      </c>
    </row>
    <row r="26" spans="1:13" ht="16.149999999999999" thickBot="1" x14ac:dyDescent="0.55000000000000004">
      <c r="A26" s="139">
        <f t="shared" si="0"/>
        <v>16</v>
      </c>
      <c r="B26" s="158"/>
      <c r="C26" s="148" t="s">
        <v>145</v>
      </c>
      <c r="D26" s="173">
        <f>SUM(D11:D24)</f>
        <v>477838.49032000004</v>
      </c>
      <c r="E26" s="125">
        <f>SUM(E11:E24)</f>
        <v>145143.08617989699</v>
      </c>
      <c r="F26" s="629">
        <f>SUM(F11:F24)</f>
        <v>332695.40414010303</v>
      </c>
      <c r="G26" s="124" t="s">
        <v>16</v>
      </c>
      <c r="H26" s="125">
        <f t="shared" ref="H26:I26" si="6">SUM(H11:H24)</f>
        <v>826.245</v>
      </c>
      <c r="I26" s="123">
        <f t="shared" si="6"/>
        <v>333521.64914010302</v>
      </c>
      <c r="J26" s="174" t="str">
        <f>"Sum Lines "&amp;A11&amp;" thru "&amp;A24</f>
        <v>Sum Lines 1 thru 14</v>
      </c>
      <c r="K26" s="139">
        <f t="shared" si="1"/>
        <v>16</v>
      </c>
    </row>
    <row r="27" spans="1:13" ht="15.75" thickTop="1" x14ac:dyDescent="0.45">
      <c r="A27" s="139">
        <f t="shared" si="0"/>
        <v>17</v>
      </c>
      <c r="B27" s="158"/>
      <c r="C27" s="148"/>
      <c r="D27" s="561"/>
      <c r="E27" s="121"/>
      <c r="F27" s="122"/>
      <c r="G27" s="120"/>
      <c r="H27" s="120"/>
      <c r="I27" s="122"/>
      <c r="J27" s="174"/>
      <c r="K27" s="139">
        <f t="shared" si="1"/>
        <v>17</v>
      </c>
    </row>
    <row r="28" spans="1:13" ht="17.25" x14ac:dyDescent="0.45">
      <c r="A28" s="139">
        <f t="shared" si="0"/>
        <v>18</v>
      </c>
      <c r="B28" s="158">
        <v>413</v>
      </c>
      <c r="C28" s="140" t="s">
        <v>370</v>
      </c>
      <c r="D28" s="537">
        <v>0</v>
      </c>
      <c r="E28" s="539">
        <v>0</v>
      </c>
      <c r="F28" s="538">
        <f>D28-E28</f>
        <v>0</v>
      </c>
      <c r="G28" s="538"/>
      <c r="H28" s="539">
        <f t="shared" ref="H28:I28" si="7">F28-G28</f>
        <v>0</v>
      </c>
      <c r="I28" s="537">
        <f t="shared" si="7"/>
        <v>0</v>
      </c>
      <c r="J28" s="174"/>
      <c r="K28" s="139">
        <f t="shared" si="1"/>
        <v>18</v>
      </c>
    </row>
    <row r="29" spans="1:13" x14ac:dyDescent="0.45">
      <c r="A29" s="139">
        <f t="shared" si="0"/>
        <v>19</v>
      </c>
      <c r="B29" s="158"/>
      <c r="C29" s="148"/>
      <c r="D29" s="561"/>
      <c r="E29" s="121"/>
      <c r="F29" s="122"/>
      <c r="G29" s="120"/>
      <c r="H29" s="120"/>
      <c r="I29" s="122"/>
      <c r="J29" s="174"/>
      <c r="K29" s="139">
        <f t="shared" si="1"/>
        <v>19</v>
      </c>
    </row>
    <row r="30" spans="1:13" ht="16.149999999999999" thickBot="1" x14ac:dyDescent="0.55000000000000004">
      <c r="A30" s="139">
        <f t="shared" si="0"/>
        <v>20</v>
      </c>
      <c r="B30" s="158"/>
      <c r="C30" s="148" t="s">
        <v>371</v>
      </c>
      <c r="D30" s="173">
        <f>D26+D28</f>
        <v>477838.49032000004</v>
      </c>
      <c r="E30" s="121">
        <f>E26+E28</f>
        <v>145143.08617989699</v>
      </c>
      <c r="F30" s="123">
        <f>F26+F28</f>
        <v>332695.40414010303</v>
      </c>
      <c r="G30" s="124" t="s">
        <v>16</v>
      </c>
      <c r="H30" s="125">
        <f t="shared" ref="H30:I30" si="8">H26+H28</f>
        <v>826.245</v>
      </c>
      <c r="I30" s="123">
        <f t="shared" si="8"/>
        <v>333521.64914010302</v>
      </c>
      <c r="J30" s="174" t="str">
        <f>"Line "&amp;A26&amp;" + Line "&amp;A28</f>
        <v>Line 16 + Line 18</v>
      </c>
      <c r="K30" s="139">
        <f t="shared" si="1"/>
        <v>20</v>
      </c>
    </row>
    <row r="31" spans="1:13" ht="16.149999999999999" thickTop="1" thickBot="1" x14ac:dyDescent="0.5">
      <c r="A31" s="139">
        <f t="shared" si="0"/>
        <v>21</v>
      </c>
      <c r="B31" s="175"/>
      <c r="C31" s="141"/>
      <c r="D31" s="176"/>
      <c r="E31" s="177"/>
      <c r="F31" s="177"/>
      <c r="G31" s="178"/>
      <c r="H31" s="178"/>
      <c r="I31" s="180"/>
      <c r="J31" s="181"/>
      <c r="K31" s="139">
        <f t="shared" si="1"/>
        <v>21</v>
      </c>
    </row>
    <row r="32" spans="1:13" x14ac:dyDescent="0.45">
      <c r="A32" s="139">
        <f t="shared" si="0"/>
        <v>22</v>
      </c>
      <c r="B32" s="190"/>
      <c r="D32" s="562"/>
      <c r="E32" s="563"/>
      <c r="F32" s="562"/>
      <c r="G32" s="562"/>
      <c r="H32" s="562"/>
      <c r="I32" s="562"/>
      <c r="J32" s="172"/>
      <c r="K32" s="139">
        <f t="shared" si="1"/>
        <v>22</v>
      </c>
    </row>
    <row r="33" spans="1:13" x14ac:dyDescent="0.45">
      <c r="A33" s="139">
        <f t="shared" si="0"/>
        <v>23</v>
      </c>
      <c r="B33" s="182" t="s">
        <v>146</v>
      </c>
      <c r="C33" s="139"/>
      <c r="D33" s="139"/>
      <c r="E33" s="139"/>
      <c r="F33" s="139"/>
      <c r="G33" s="139"/>
      <c r="H33" s="139"/>
      <c r="I33" s="139"/>
      <c r="J33" s="172"/>
      <c r="K33" s="139">
        <f t="shared" si="1"/>
        <v>23</v>
      </c>
    </row>
    <row r="34" spans="1:13" x14ac:dyDescent="0.45">
      <c r="A34" s="139">
        <f t="shared" si="0"/>
        <v>24</v>
      </c>
      <c r="B34" s="183">
        <v>921</v>
      </c>
      <c r="C34" s="22" t="s">
        <v>148</v>
      </c>
      <c r="D34" s="184"/>
      <c r="E34" s="35">
        <v>0.75301000000000207</v>
      </c>
      <c r="F34" s="139"/>
      <c r="G34" s="139"/>
      <c r="H34" s="139"/>
      <c r="I34" s="139"/>
      <c r="J34" s="172"/>
      <c r="K34" s="139">
        <f t="shared" si="1"/>
        <v>24</v>
      </c>
    </row>
    <row r="35" spans="1:13" x14ac:dyDescent="0.45">
      <c r="A35" s="139">
        <f t="shared" si="0"/>
        <v>25</v>
      </c>
      <c r="B35" s="183">
        <v>923</v>
      </c>
      <c r="C35" s="22" t="s">
        <v>148</v>
      </c>
      <c r="D35" s="184"/>
      <c r="E35" s="32">
        <v>333.74215999999996</v>
      </c>
      <c r="J35" s="172"/>
      <c r="K35" s="139">
        <f t="shared" si="1"/>
        <v>25</v>
      </c>
      <c r="M35" s="164"/>
    </row>
    <row r="36" spans="1:13" x14ac:dyDescent="0.45">
      <c r="A36" s="139">
        <f t="shared" si="0"/>
        <v>26</v>
      </c>
      <c r="B36" s="183">
        <v>925</v>
      </c>
      <c r="C36" s="185" t="s">
        <v>147</v>
      </c>
      <c r="D36" s="32">
        <v>102.631419228</v>
      </c>
      <c r="J36" s="172"/>
      <c r="K36" s="139">
        <f t="shared" si="1"/>
        <v>26</v>
      </c>
    </row>
    <row r="37" spans="1:13" x14ac:dyDescent="0.45">
      <c r="A37" s="139">
        <f t="shared" si="0"/>
        <v>27</v>
      </c>
      <c r="B37" s="183"/>
      <c r="C37" s="185" t="s">
        <v>130</v>
      </c>
      <c r="D37" s="550">
        <v>0</v>
      </c>
      <c r="E37" s="140">
        <f>SUM(D36:D37)</f>
        <v>102.631419228</v>
      </c>
      <c r="J37" s="172"/>
      <c r="K37" s="139">
        <f t="shared" si="1"/>
        <v>27</v>
      </c>
    </row>
    <row r="38" spans="1:13" x14ac:dyDescent="0.45">
      <c r="A38" s="139">
        <f t="shared" si="0"/>
        <v>28</v>
      </c>
      <c r="B38" s="183">
        <v>926</v>
      </c>
      <c r="C38" s="185" t="s">
        <v>147</v>
      </c>
      <c r="D38" s="186"/>
      <c r="E38" s="32">
        <v>343.98778952699996</v>
      </c>
      <c r="J38" s="172"/>
      <c r="K38" s="139">
        <f t="shared" si="1"/>
        <v>28</v>
      </c>
    </row>
    <row r="39" spans="1:13" x14ac:dyDescent="0.45">
      <c r="A39" s="139">
        <f t="shared" si="0"/>
        <v>29</v>
      </c>
      <c r="B39" s="183">
        <v>927</v>
      </c>
      <c r="C39" s="185" t="s">
        <v>133</v>
      </c>
      <c r="D39" s="186"/>
      <c r="E39" s="32">
        <v>131978.20225999999</v>
      </c>
      <c r="F39" s="564"/>
      <c r="G39" s="564"/>
      <c r="H39" s="564"/>
      <c r="I39" s="564"/>
      <c r="J39" s="565"/>
      <c r="K39" s="139">
        <f t="shared" si="1"/>
        <v>29</v>
      </c>
    </row>
    <row r="40" spans="1:13" x14ac:dyDescent="0.45">
      <c r="A40" s="139">
        <f t="shared" si="0"/>
        <v>30</v>
      </c>
      <c r="B40" s="183">
        <v>928</v>
      </c>
      <c r="C40" s="185" t="s">
        <v>147</v>
      </c>
      <c r="D40" s="32">
        <v>0</v>
      </c>
      <c r="E40" s="32"/>
      <c r="J40" s="172"/>
      <c r="K40" s="139">
        <f t="shared" si="1"/>
        <v>30</v>
      </c>
    </row>
    <row r="41" spans="1:13" x14ac:dyDescent="0.45">
      <c r="A41" s="139">
        <f t="shared" si="0"/>
        <v>31</v>
      </c>
      <c r="B41" s="183"/>
      <c r="C41" s="22" t="s">
        <v>18</v>
      </c>
      <c r="D41" s="32">
        <v>0</v>
      </c>
      <c r="E41" s="32"/>
      <c r="J41" s="172"/>
      <c r="K41" s="139">
        <f t="shared" si="1"/>
        <v>31</v>
      </c>
    </row>
    <row r="42" spans="1:13" x14ac:dyDescent="0.45">
      <c r="A42" s="139">
        <f t="shared" si="0"/>
        <v>32</v>
      </c>
      <c r="B42" s="183"/>
      <c r="C42" s="22" t="s">
        <v>149</v>
      </c>
      <c r="D42" s="32">
        <v>1333.8680300000003</v>
      </c>
      <c r="E42" s="630"/>
      <c r="F42" s="564"/>
      <c r="G42" s="564"/>
      <c r="H42" s="564"/>
      <c r="I42" s="564"/>
      <c r="J42" s="565"/>
      <c r="K42" s="139">
        <f t="shared" si="1"/>
        <v>32</v>
      </c>
    </row>
    <row r="43" spans="1:13" x14ac:dyDescent="0.45">
      <c r="A43" s="139">
        <f t="shared" si="0"/>
        <v>33</v>
      </c>
      <c r="B43" s="183"/>
      <c r="C43" s="22" t="s">
        <v>150</v>
      </c>
      <c r="D43" s="32">
        <v>8601.3346500000007</v>
      </c>
      <c r="E43" s="631"/>
      <c r="J43" s="172"/>
      <c r="K43" s="139">
        <f t="shared" si="1"/>
        <v>33</v>
      </c>
    </row>
    <row r="44" spans="1:13" x14ac:dyDescent="0.45">
      <c r="A44" s="139">
        <f t="shared" si="0"/>
        <v>34</v>
      </c>
      <c r="B44" s="187"/>
      <c r="C44" s="185" t="s">
        <v>151</v>
      </c>
      <c r="D44" s="632">
        <v>140.84690000000001</v>
      </c>
      <c r="E44" s="633">
        <f>SUM(D40:D44)</f>
        <v>10076.049580000001</v>
      </c>
      <c r="J44" s="172"/>
      <c r="K44" s="139">
        <f t="shared" si="1"/>
        <v>34</v>
      </c>
    </row>
    <row r="45" spans="1:13" x14ac:dyDescent="0.45">
      <c r="A45" s="139">
        <f t="shared" si="0"/>
        <v>35</v>
      </c>
      <c r="B45" s="188">
        <v>930.1</v>
      </c>
      <c r="C45" s="22" t="s">
        <v>138</v>
      </c>
      <c r="D45" s="186"/>
      <c r="E45" s="32">
        <v>242.68352000000002</v>
      </c>
      <c r="J45" s="172"/>
      <c r="K45" s="139">
        <f t="shared" si="1"/>
        <v>35</v>
      </c>
    </row>
    <row r="46" spans="1:13" x14ac:dyDescent="0.45">
      <c r="A46" s="139">
        <f t="shared" si="0"/>
        <v>36</v>
      </c>
      <c r="B46" s="188">
        <v>930.2</v>
      </c>
      <c r="C46" s="185" t="s">
        <v>152</v>
      </c>
      <c r="D46" s="634">
        <v>0</v>
      </c>
      <c r="E46" s="635"/>
      <c r="J46" s="172"/>
      <c r="K46" s="139">
        <f t="shared" si="1"/>
        <v>36</v>
      </c>
    </row>
    <row r="47" spans="1:13" x14ac:dyDescent="0.45">
      <c r="A47" s="139">
        <f t="shared" si="0"/>
        <v>37</v>
      </c>
      <c r="B47" s="188"/>
      <c r="C47" s="185" t="s">
        <v>153</v>
      </c>
      <c r="D47" s="636">
        <v>2000.03565</v>
      </c>
      <c r="E47" s="634">
        <f>SUM(D46:D47)</f>
        <v>2000.03565</v>
      </c>
      <c r="F47" s="61"/>
      <c r="G47" s="61"/>
      <c r="H47" s="61"/>
      <c r="I47" s="61"/>
      <c r="J47" s="172"/>
      <c r="K47" s="139">
        <f t="shared" si="1"/>
        <v>37</v>
      </c>
    </row>
    <row r="48" spans="1:13" x14ac:dyDescent="0.45">
      <c r="A48" s="139">
        <f t="shared" si="0"/>
        <v>38</v>
      </c>
      <c r="B48" s="183">
        <v>935</v>
      </c>
      <c r="C48" s="189" t="s">
        <v>154</v>
      </c>
      <c r="D48" s="637"/>
      <c r="E48" s="550">
        <v>65.000791141999997</v>
      </c>
      <c r="F48" s="61"/>
      <c r="G48" s="61"/>
      <c r="H48" s="61"/>
      <c r="I48" s="61"/>
      <c r="J48" s="172"/>
      <c r="K48" s="139">
        <f t="shared" si="1"/>
        <v>38</v>
      </c>
    </row>
    <row r="49" spans="1:11" x14ac:dyDescent="0.45">
      <c r="A49" s="139">
        <f t="shared" si="0"/>
        <v>39</v>
      </c>
      <c r="B49" s="638"/>
      <c r="C49" s="164"/>
      <c r="D49" s="639"/>
      <c r="E49" s="32"/>
      <c r="F49" s="61"/>
      <c r="G49" s="61"/>
      <c r="H49" s="61"/>
      <c r="I49" s="61"/>
      <c r="J49" s="172"/>
      <c r="K49" s="139">
        <f t="shared" si="1"/>
        <v>39</v>
      </c>
    </row>
    <row r="50" spans="1:11" ht="15.75" thickBot="1" x14ac:dyDescent="0.45">
      <c r="A50" s="139">
        <f t="shared" si="0"/>
        <v>40</v>
      </c>
      <c r="B50" s="190"/>
      <c r="C50" s="191" t="s">
        <v>116</v>
      </c>
      <c r="D50" s="640"/>
      <c r="E50" s="23">
        <f>SUM(E34:E48)</f>
        <v>145143.08617989699</v>
      </c>
      <c r="F50" s="618"/>
      <c r="G50" s="618"/>
      <c r="H50" s="618"/>
      <c r="I50" s="618"/>
      <c r="J50" s="172"/>
      <c r="K50" s="139">
        <f t="shared" si="1"/>
        <v>40</v>
      </c>
    </row>
    <row r="51" spans="1:11" ht="15.75" thickTop="1" x14ac:dyDescent="0.45">
      <c r="A51" s="139">
        <f t="shared" si="0"/>
        <v>41</v>
      </c>
      <c r="B51" s="190"/>
      <c r="C51" s="191"/>
      <c r="E51" s="192"/>
      <c r="F51" s="618"/>
      <c r="G51" s="618"/>
      <c r="H51" s="618"/>
      <c r="I51" s="618"/>
      <c r="J51" s="172"/>
      <c r="K51" s="139">
        <f t="shared" si="1"/>
        <v>41</v>
      </c>
    </row>
    <row r="52" spans="1:11" ht="15.75" x14ac:dyDescent="0.5">
      <c r="A52" s="139">
        <f t="shared" si="0"/>
        <v>42</v>
      </c>
      <c r="B52" s="74" t="s">
        <v>16</v>
      </c>
      <c r="C52" s="26" t="s">
        <v>388</v>
      </c>
      <c r="E52" s="192"/>
      <c r="F52" s="618"/>
      <c r="G52" s="618"/>
      <c r="H52" s="618"/>
      <c r="I52" s="618"/>
      <c r="J52" s="172"/>
      <c r="K52" s="139">
        <f t="shared" si="1"/>
        <v>42</v>
      </c>
    </row>
    <row r="53" spans="1:11" ht="17.649999999999999" x14ac:dyDescent="0.45">
      <c r="A53" s="139">
        <f t="shared" si="0"/>
        <v>43</v>
      </c>
      <c r="B53" s="557">
        <v>1</v>
      </c>
      <c r="C53" s="551" t="s">
        <v>609</v>
      </c>
      <c r="E53" s="192"/>
      <c r="F53" s="618"/>
      <c r="G53" s="618"/>
      <c r="H53" s="618"/>
      <c r="I53" s="618"/>
      <c r="J53" s="172"/>
      <c r="K53" s="139">
        <f t="shared" si="1"/>
        <v>43</v>
      </c>
    </row>
    <row r="54" spans="1:11" ht="17.649999999999999" x14ac:dyDescent="0.45">
      <c r="A54" s="139">
        <f t="shared" si="0"/>
        <v>44</v>
      </c>
      <c r="B54" s="566"/>
      <c r="C54" s="20" t="s">
        <v>372</v>
      </c>
      <c r="E54" s="192"/>
      <c r="F54" s="618"/>
      <c r="G54" s="618"/>
      <c r="H54" s="618"/>
      <c r="I54" s="618"/>
      <c r="J54" s="172"/>
      <c r="K54" s="139">
        <f t="shared" si="1"/>
        <v>44</v>
      </c>
    </row>
    <row r="55" spans="1:11" ht="17.25" x14ac:dyDescent="0.45">
      <c r="A55" s="139">
        <f t="shared" si="0"/>
        <v>45</v>
      </c>
      <c r="B55" s="193">
        <v>2</v>
      </c>
      <c r="C55" s="44" t="s">
        <v>623</v>
      </c>
      <c r="E55" s="192"/>
      <c r="F55" s="618"/>
      <c r="G55" s="618"/>
      <c r="H55" s="618"/>
      <c r="I55" s="618"/>
      <c r="J55" s="172"/>
      <c r="K55" s="139">
        <f t="shared" si="1"/>
        <v>45</v>
      </c>
    </row>
    <row r="56" spans="1:11" ht="17.25" x14ac:dyDescent="0.45">
      <c r="A56" s="139">
        <f t="shared" si="0"/>
        <v>46</v>
      </c>
      <c r="B56" s="193"/>
      <c r="C56" s="44" t="s">
        <v>627</v>
      </c>
      <c r="E56" s="192"/>
      <c r="F56" s="623"/>
      <c r="G56" s="623"/>
      <c r="H56" s="623"/>
      <c r="I56" s="623"/>
      <c r="J56" s="172"/>
      <c r="K56" s="139">
        <f t="shared" si="1"/>
        <v>46</v>
      </c>
    </row>
    <row r="57" spans="1:11" ht="15.75" thickBot="1" x14ac:dyDescent="0.5">
      <c r="A57" s="139">
        <f t="shared" si="0"/>
        <v>47</v>
      </c>
      <c r="B57" s="194"/>
      <c r="C57" s="195"/>
      <c r="D57" s="141"/>
      <c r="E57" s="141"/>
      <c r="F57" s="141"/>
      <c r="G57" s="141"/>
      <c r="H57" s="141"/>
      <c r="I57" s="141"/>
      <c r="J57" s="181"/>
      <c r="K57" s="139">
        <f t="shared" si="1"/>
        <v>47</v>
      </c>
    </row>
    <row r="58" spans="1:11" x14ac:dyDescent="0.45">
      <c r="C58" s="164"/>
    </row>
    <row r="59" spans="1:11" x14ac:dyDescent="0.45">
      <c r="A59" s="619"/>
      <c r="C59" s="164"/>
      <c r="D59" s="196"/>
      <c r="E59" s="196"/>
    </row>
    <row r="60" spans="1:11" ht="17.25" x14ac:dyDescent="0.45">
      <c r="A60" s="197"/>
      <c r="B60" s="558"/>
      <c r="C60" s="20"/>
      <c r="D60" s="274"/>
      <c r="E60" s="274"/>
      <c r="F60" s="274"/>
      <c r="G60" s="274"/>
      <c r="H60" s="274"/>
      <c r="I60" s="274"/>
    </row>
    <row r="61" spans="1:11" ht="17.25" x14ac:dyDescent="0.45">
      <c r="A61" s="197"/>
      <c r="B61" s="558"/>
      <c r="C61" s="518"/>
      <c r="D61" s="274"/>
      <c r="E61" s="274"/>
      <c r="F61" s="274"/>
      <c r="G61" s="274"/>
      <c r="H61" s="274"/>
      <c r="I61" s="274"/>
    </row>
    <row r="62" spans="1:11" ht="17.25" x14ac:dyDescent="0.45">
      <c r="A62" s="197"/>
      <c r="B62" s="43"/>
      <c r="C62" s="20"/>
      <c r="D62" s="20"/>
      <c r="E62" s="20"/>
      <c r="F62" s="20"/>
      <c r="G62" s="20"/>
      <c r="H62" s="20"/>
      <c r="I62" s="20"/>
    </row>
    <row r="63" spans="1:11" ht="17.25" x14ac:dyDescent="0.45">
      <c r="A63" s="197"/>
      <c r="C63" s="164"/>
    </row>
    <row r="64" spans="1:11" ht="17.25" x14ac:dyDescent="0.45">
      <c r="A64" s="197"/>
      <c r="C64" s="164"/>
    </row>
    <row r="65" spans="1:3" ht="17.25" x14ac:dyDescent="0.45">
      <c r="A65" s="197"/>
      <c r="C65" s="164"/>
    </row>
    <row r="66" spans="1:3" x14ac:dyDescent="0.45">
      <c r="A66" s="619"/>
      <c r="C66" s="164"/>
    </row>
    <row r="67" spans="1:3" ht="17.25" x14ac:dyDescent="0.45">
      <c r="A67" s="197"/>
      <c r="C67" s="164"/>
    </row>
    <row r="68" spans="1:3" x14ac:dyDescent="0.45">
      <c r="A68" s="619"/>
      <c r="C68" s="164"/>
    </row>
    <row r="69" spans="1:3" ht="17.25" x14ac:dyDescent="0.45">
      <c r="A69" s="197"/>
      <c r="C69" s="164"/>
    </row>
    <row r="70" spans="1:3" x14ac:dyDescent="0.45">
      <c r="A70" s="619"/>
      <c r="C70" s="164"/>
    </row>
    <row r="71" spans="1:3" ht="17.25" x14ac:dyDescent="0.45">
      <c r="A71" s="197"/>
      <c r="C71" s="164"/>
    </row>
    <row r="72" spans="1:3" ht="17.25" x14ac:dyDescent="0.45">
      <c r="A72" s="197"/>
      <c r="B72" s="164"/>
    </row>
    <row r="73" spans="1:3" ht="17.25" x14ac:dyDescent="0.45">
      <c r="A73" s="197"/>
      <c r="B73" s="164"/>
    </row>
    <row r="74" spans="1:3" x14ac:dyDescent="0.45">
      <c r="B74" s="164"/>
    </row>
    <row r="75" spans="1:3" ht="17.25" x14ac:dyDescent="0.45">
      <c r="A75" s="197"/>
      <c r="B75" s="164"/>
    </row>
    <row r="76" spans="1:3" x14ac:dyDescent="0.45">
      <c r="A76" s="567"/>
      <c r="B76" s="568"/>
    </row>
    <row r="77" spans="1:3" x14ac:dyDescent="0.45">
      <c r="B77" s="164"/>
    </row>
  </sheetData>
  <mergeCells count="4">
    <mergeCell ref="B2:J2"/>
    <mergeCell ref="B3:J3"/>
    <mergeCell ref="B4:J4"/>
    <mergeCell ref="B5:J5"/>
  </mergeCells>
  <printOptions horizontalCentered="1"/>
  <pageMargins left="0.25" right="0.25" top="0.5" bottom="0.5" header="0.35" footer="0.25"/>
  <pageSetup scale="47" orientation="portrait" r:id="rId1"/>
  <headerFooter scaleWithDoc="0" alignWithMargins="0">
    <oddHeader>&amp;C&amp;"Times New Roman,Bold"REVISED</oddHeader>
    <oddFooter>&amp;CPage 6.2&amp;R&amp;F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C083-0807-43E6-B5CD-7EC58C5B2545}">
  <sheetPr>
    <pageSetUpPr fitToPage="1"/>
  </sheetPr>
  <dimension ref="A1:J34"/>
  <sheetViews>
    <sheetView zoomScale="80" zoomScaleNormal="80" workbookViewId="0"/>
  </sheetViews>
  <sheetFormatPr defaultColWidth="8.86328125" defaultRowHeight="15.4" x14ac:dyDescent="0.45"/>
  <cols>
    <col min="1" max="1" width="5.265625" style="621" bestFit="1" customWidth="1"/>
    <col min="2" max="2" width="68.86328125" style="198" customWidth="1"/>
    <col min="3" max="3" width="24" style="199" customWidth="1"/>
    <col min="4" max="4" width="1.59765625" style="198" customWidth="1"/>
    <col min="5" max="5" width="16.86328125" style="198" customWidth="1"/>
    <col min="6" max="6" width="1.59765625" style="198" customWidth="1"/>
    <col min="7" max="7" width="16.86328125" style="198" customWidth="1"/>
    <col min="8" max="8" width="1.59765625" style="198" customWidth="1"/>
    <col min="9" max="9" width="36.1328125" style="198" customWidth="1"/>
    <col min="10" max="10" width="5.265625" style="198" customWidth="1"/>
    <col min="11" max="16384" width="8.86328125" style="198"/>
  </cols>
  <sheetData>
    <row r="1" spans="1:10" x14ac:dyDescent="0.45">
      <c r="H1" s="621"/>
      <c r="I1" s="564"/>
      <c r="J1" s="621"/>
    </row>
    <row r="2" spans="1:10" x14ac:dyDescent="0.45">
      <c r="B2" s="775" t="s">
        <v>24</v>
      </c>
      <c r="C2" s="776"/>
      <c r="D2" s="776"/>
      <c r="E2" s="776"/>
      <c r="F2" s="776"/>
      <c r="G2" s="776"/>
      <c r="H2" s="776"/>
      <c r="I2" s="776"/>
      <c r="J2" s="620"/>
    </row>
    <row r="3" spans="1:10" x14ac:dyDescent="0.45">
      <c r="B3" s="775" t="s">
        <v>389</v>
      </c>
      <c r="C3" s="776"/>
      <c r="D3" s="776"/>
      <c r="E3" s="776"/>
      <c r="F3" s="776"/>
      <c r="G3" s="776"/>
      <c r="H3" s="776"/>
      <c r="I3" s="776"/>
      <c r="J3" s="620"/>
    </row>
    <row r="4" spans="1:10" x14ac:dyDescent="0.45">
      <c r="B4" s="775" t="s">
        <v>155</v>
      </c>
      <c r="C4" s="776"/>
      <c r="D4" s="776"/>
      <c r="E4" s="776"/>
      <c r="F4" s="776"/>
      <c r="G4" s="776"/>
      <c r="H4" s="776"/>
      <c r="I4" s="776"/>
      <c r="J4" s="620"/>
    </row>
    <row r="5" spans="1:10" x14ac:dyDescent="0.45">
      <c r="B5" s="777" t="s">
        <v>501</v>
      </c>
      <c r="C5" s="777"/>
      <c r="D5" s="777"/>
      <c r="E5" s="777"/>
      <c r="F5" s="777"/>
      <c r="G5" s="777"/>
      <c r="H5" s="777"/>
      <c r="I5" s="777"/>
      <c r="J5" s="620"/>
    </row>
    <row r="6" spans="1:10" x14ac:dyDescent="0.45">
      <c r="B6" s="778" t="s">
        <v>1</v>
      </c>
      <c r="C6" s="778"/>
      <c r="D6" s="778"/>
      <c r="E6" s="778"/>
      <c r="F6" s="778"/>
      <c r="G6" s="778"/>
      <c r="H6" s="778"/>
      <c r="I6" s="778"/>
      <c r="J6" s="200"/>
    </row>
    <row r="7" spans="1:10" x14ac:dyDescent="0.45">
      <c r="B7" s="621"/>
      <c r="D7" s="621"/>
      <c r="E7" s="621"/>
      <c r="F7" s="621"/>
      <c r="G7" s="621"/>
      <c r="H7" s="620"/>
      <c r="I7" s="620"/>
      <c r="J7" s="620"/>
    </row>
    <row r="8" spans="1:10" x14ac:dyDescent="0.45">
      <c r="A8" s="621" t="s">
        <v>2</v>
      </c>
      <c r="B8" s="620"/>
      <c r="C8" s="43" t="s">
        <v>26</v>
      </c>
      <c r="D8" s="621"/>
      <c r="E8" s="621" t="s">
        <v>156</v>
      </c>
      <c r="F8" s="621"/>
      <c r="G8" s="621" t="s">
        <v>157</v>
      </c>
      <c r="H8" s="620"/>
      <c r="I8" s="620"/>
      <c r="J8" s="621" t="s">
        <v>2</v>
      </c>
    </row>
    <row r="9" spans="1:10" x14ac:dyDescent="0.45">
      <c r="A9" s="621" t="s">
        <v>6</v>
      </c>
      <c r="B9" s="620"/>
      <c r="C9" s="515" t="s">
        <v>27</v>
      </c>
      <c r="D9" s="620"/>
      <c r="E9" s="569" t="s">
        <v>158</v>
      </c>
      <c r="F9" s="620"/>
      <c r="G9" s="569" t="s">
        <v>159</v>
      </c>
      <c r="H9" s="620"/>
      <c r="I9" s="570" t="s">
        <v>5</v>
      </c>
      <c r="J9" s="621" t="s">
        <v>6</v>
      </c>
    </row>
    <row r="10" spans="1:10" x14ac:dyDescent="0.45">
      <c r="B10" s="621"/>
      <c r="D10" s="621"/>
      <c r="E10" s="621"/>
      <c r="F10" s="621"/>
      <c r="G10" s="621"/>
      <c r="H10" s="621"/>
      <c r="I10" s="621"/>
      <c r="J10" s="621"/>
    </row>
    <row r="11" spans="1:10" ht="17.25" x14ac:dyDescent="0.45">
      <c r="A11" s="621">
        <v>1</v>
      </c>
      <c r="B11" s="198" t="s">
        <v>160</v>
      </c>
      <c r="C11" s="621" t="s">
        <v>161</v>
      </c>
      <c r="E11" s="571"/>
      <c r="F11" s="201"/>
      <c r="G11" s="454">
        <v>133751.8893076923</v>
      </c>
      <c r="H11" s="201"/>
      <c r="I11" s="69" t="s">
        <v>568</v>
      </c>
      <c r="J11" s="621">
        <f>A11</f>
        <v>1</v>
      </c>
    </row>
    <row r="12" spans="1:10" x14ac:dyDescent="0.45">
      <c r="A12" s="621">
        <f>+A11+1</f>
        <v>2</v>
      </c>
      <c r="C12" s="621"/>
      <c r="E12" s="202"/>
      <c r="F12" s="203"/>
      <c r="G12" s="203"/>
      <c r="H12" s="203"/>
      <c r="I12" s="69"/>
      <c r="J12" s="621">
        <f>+J11+1</f>
        <v>2</v>
      </c>
    </row>
    <row r="13" spans="1:10" x14ac:dyDescent="0.45">
      <c r="A13" s="621">
        <f t="shared" ref="A13:A29" si="0">+A12+1</f>
        <v>3</v>
      </c>
      <c r="B13" s="198" t="s">
        <v>162</v>
      </c>
      <c r="C13" s="621"/>
      <c r="E13" s="204"/>
      <c r="F13" s="205"/>
      <c r="G13" s="572">
        <v>0.38969696669192239</v>
      </c>
      <c r="H13" s="201"/>
      <c r="I13" s="69" t="s">
        <v>569</v>
      </c>
      <c r="J13" s="621">
        <f t="shared" ref="J13:J29" si="1">+J12+1</f>
        <v>3</v>
      </c>
    </row>
    <row r="14" spans="1:10" x14ac:dyDescent="0.45">
      <c r="A14" s="621">
        <f t="shared" si="0"/>
        <v>4</v>
      </c>
      <c r="C14" s="621"/>
      <c r="E14" s="202"/>
      <c r="F14" s="203"/>
      <c r="G14" s="202"/>
      <c r="H14" s="203"/>
      <c r="I14" s="69"/>
      <c r="J14" s="621">
        <f t="shared" si="1"/>
        <v>4</v>
      </c>
    </row>
    <row r="15" spans="1:10" ht="15.75" thickBot="1" x14ac:dyDescent="0.5">
      <c r="A15" s="621">
        <f t="shared" si="0"/>
        <v>5</v>
      </c>
      <c r="B15" s="198" t="s">
        <v>163</v>
      </c>
      <c r="C15" s="621"/>
      <c r="E15" s="573"/>
      <c r="F15" s="203"/>
      <c r="G15" s="574">
        <f>G11*G13</f>
        <v>52122.705552521453</v>
      </c>
      <c r="H15" s="201"/>
      <c r="I15" s="69" t="s">
        <v>570</v>
      </c>
      <c r="J15" s="621">
        <f t="shared" si="1"/>
        <v>5</v>
      </c>
    </row>
    <row r="16" spans="1:10" ht="15.75" thickTop="1" x14ac:dyDescent="0.45">
      <c r="A16" s="621">
        <f t="shared" si="0"/>
        <v>6</v>
      </c>
      <c r="C16" s="621"/>
      <c r="E16" s="575"/>
      <c r="F16" s="621"/>
      <c r="G16" s="621"/>
      <c r="H16" s="621"/>
      <c r="I16" s="69"/>
      <c r="J16" s="621">
        <f t="shared" si="1"/>
        <v>6</v>
      </c>
    </row>
    <row r="17" spans="1:10" ht="17.25" x14ac:dyDescent="0.45">
      <c r="A17" s="621">
        <f t="shared" si="0"/>
        <v>7</v>
      </c>
      <c r="B17" s="198" t="s">
        <v>164</v>
      </c>
      <c r="C17" s="621" t="s">
        <v>165</v>
      </c>
      <c r="D17" s="576"/>
      <c r="E17" s="571"/>
      <c r="F17" s="203"/>
      <c r="G17" s="577">
        <v>50549.307692307695</v>
      </c>
      <c r="H17" s="201"/>
      <c r="I17" s="69" t="s">
        <v>571</v>
      </c>
      <c r="J17" s="621">
        <f t="shared" si="1"/>
        <v>7</v>
      </c>
    </row>
    <row r="18" spans="1:10" x14ac:dyDescent="0.45">
      <c r="A18" s="621">
        <f t="shared" si="0"/>
        <v>8</v>
      </c>
      <c r="C18" s="621"/>
      <c r="E18" s="578"/>
      <c r="F18" s="203"/>
      <c r="G18" s="203"/>
      <c r="H18" s="203"/>
      <c r="I18" s="69"/>
      <c r="J18" s="621">
        <f t="shared" si="1"/>
        <v>8</v>
      </c>
    </row>
    <row r="19" spans="1:10" ht="15.75" thickBot="1" x14ac:dyDescent="0.5">
      <c r="A19" s="621">
        <f t="shared" si="0"/>
        <v>9</v>
      </c>
      <c r="B19" s="198" t="s">
        <v>166</v>
      </c>
      <c r="E19" s="571"/>
      <c r="F19" s="203"/>
      <c r="G19" s="574">
        <f>G13*G17</f>
        <v>19698.911876068967</v>
      </c>
      <c r="H19" s="201"/>
      <c r="I19" s="69" t="s">
        <v>572</v>
      </c>
      <c r="J19" s="621">
        <f t="shared" si="1"/>
        <v>9</v>
      </c>
    </row>
    <row r="20" spans="1:10" ht="15.75" thickTop="1" x14ac:dyDescent="0.45">
      <c r="A20" s="621">
        <f t="shared" si="0"/>
        <v>10</v>
      </c>
      <c r="E20" s="579"/>
      <c r="F20" s="203"/>
      <c r="G20" s="203"/>
      <c r="H20" s="203"/>
      <c r="I20" s="69"/>
      <c r="J20" s="621">
        <f t="shared" si="1"/>
        <v>10</v>
      </c>
    </row>
    <row r="21" spans="1:10" x14ac:dyDescent="0.45">
      <c r="A21" s="621">
        <f t="shared" si="0"/>
        <v>11</v>
      </c>
      <c r="B21" s="206" t="s">
        <v>167</v>
      </c>
      <c r="E21" s="579"/>
      <c r="F21" s="203"/>
      <c r="G21" s="203"/>
      <c r="H21" s="203"/>
      <c r="I21" s="69"/>
      <c r="J21" s="621">
        <f t="shared" si="1"/>
        <v>11</v>
      </c>
    </row>
    <row r="22" spans="1:10" ht="15.75" x14ac:dyDescent="0.5">
      <c r="A22" s="621">
        <f t="shared" si="0"/>
        <v>12</v>
      </c>
      <c r="B22" s="198" t="s">
        <v>168</v>
      </c>
      <c r="E22" s="580">
        <f>'Pg6 Revised Stmt AH'!E28</f>
        <v>33243.003329999992</v>
      </c>
      <c r="F22" s="29" t="s">
        <v>16</v>
      </c>
      <c r="G22" s="466"/>
      <c r="H22" s="203"/>
      <c r="I22" s="69" t="s">
        <v>503</v>
      </c>
      <c r="J22" s="621">
        <f t="shared" si="1"/>
        <v>12</v>
      </c>
    </row>
    <row r="23" spans="1:10" ht="15.75" x14ac:dyDescent="0.5">
      <c r="A23" s="621">
        <f t="shared" si="0"/>
        <v>13</v>
      </c>
      <c r="B23" s="198" t="s">
        <v>169</v>
      </c>
      <c r="E23" s="581">
        <f>'Pg6 Revised Stmt AH'!E49</f>
        <v>35231.466550356221</v>
      </c>
      <c r="F23" s="29" t="s">
        <v>16</v>
      </c>
      <c r="G23" s="582"/>
      <c r="H23" s="203"/>
      <c r="I23" s="69" t="s">
        <v>505</v>
      </c>
      <c r="J23" s="621">
        <f t="shared" si="1"/>
        <v>13</v>
      </c>
    </row>
    <row r="24" spans="1:10" x14ac:dyDescent="0.45">
      <c r="A24" s="621">
        <f t="shared" si="0"/>
        <v>14</v>
      </c>
      <c r="B24" s="198" t="s">
        <v>170</v>
      </c>
      <c r="E24" s="641">
        <f>-'Pg6 Revised Stmt AH'!E34</f>
        <v>0</v>
      </c>
      <c r="F24" s="203"/>
      <c r="G24" s="582"/>
      <c r="H24" s="203"/>
      <c r="I24" s="69" t="s">
        <v>573</v>
      </c>
      <c r="J24" s="621">
        <f t="shared" si="1"/>
        <v>14</v>
      </c>
    </row>
    <row r="25" spans="1:10" ht="15.75" x14ac:dyDescent="0.5">
      <c r="A25" s="621">
        <f t="shared" si="0"/>
        <v>15</v>
      </c>
      <c r="B25" s="198" t="s">
        <v>171</v>
      </c>
      <c r="E25" s="583">
        <f>SUM(E22:E24)</f>
        <v>68474.469880356221</v>
      </c>
      <c r="F25" s="29" t="s">
        <v>16</v>
      </c>
      <c r="G25" s="576"/>
      <c r="H25" s="69"/>
      <c r="I25" s="69" t="s">
        <v>574</v>
      </c>
      <c r="J25" s="621">
        <f t="shared" si="1"/>
        <v>15</v>
      </c>
    </row>
    <row r="26" spans="1:10" x14ac:dyDescent="0.45">
      <c r="A26" s="621">
        <f t="shared" si="0"/>
        <v>16</v>
      </c>
      <c r="F26" s="621"/>
      <c r="H26" s="621"/>
      <c r="I26" s="69"/>
      <c r="J26" s="621">
        <f t="shared" si="1"/>
        <v>16</v>
      </c>
    </row>
    <row r="27" spans="1:10" x14ac:dyDescent="0.45">
      <c r="A27" s="621">
        <f t="shared" si="0"/>
        <v>17</v>
      </c>
      <c r="B27" s="198" t="s">
        <v>172</v>
      </c>
      <c r="E27" s="584">
        <f>1/8</f>
        <v>0.125</v>
      </c>
      <c r="F27" s="621"/>
      <c r="G27" s="585"/>
      <c r="H27" s="621"/>
      <c r="I27" s="69" t="s">
        <v>173</v>
      </c>
      <c r="J27" s="621">
        <f t="shared" si="1"/>
        <v>17</v>
      </c>
    </row>
    <row r="28" spans="1:10" x14ac:dyDescent="0.45">
      <c r="A28" s="621">
        <f t="shared" si="0"/>
        <v>18</v>
      </c>
      <c r="E28" s="202" t="s">
        <v>11</v>
      </c>
      <c r="F28" s="203"/>
      <c r="G28" s="202"/>
      <c r="H28" s="203"/>
      <c r="I28" s="69"/>
      <c r="J28" s="621">
        <f t="shared" si="1"/>
        <v>18</v>
      </c>
    </row>
    <row r="29" spans="1:10" ht="16.149999999999999" thickBot="1" x14ac:dyDescent="0.55000000000000004">
      <c r="A29" s="621">
        <f t="shared" si="0"/>
        <v>19</v>
      </c>
      <c r="B29" s="198" t="s">
        <v>174</v>
      </c>
      <c r="E29" s="586">
        <f>E25*E27</f>
        <v>8559.3087350445276</v>
      </c>
      <c r="F29" s="29" t="s">
        <v>16</v>
      </c>
      <c r="G29" s="573"/>
      <c r="H29" s="203"/>
      <c r="I29" s="621" t="s">
        <v>575</v>
      </c>
      <c r="J29" s="621">
        <f t="shared" si="1"/>
        <v>19</v>
      </c>
    </row>
    <row r="30" spans="1:10" ht="15.75" thickTop="1" x14ac:dyDescent="0.45">
      <c r="B30" s="587"/>
    </row>
    <row r="31" spans="1:10" ht="15.75" x14ac:dyDescent="0.5">
      <c r="A31" s="29" t="s">
        <v>16</v>
      </c>
      <c r="B31" s="26" t="s">
        <v>388</v>
      </c>
    </row>
    <row r="32" spans="1:10" ht="17.25" x14ac:dyDescent="0.45">
      <c r="A32" s="209">
        <v>1</v>
      </c>
      <c r="B32" s="198" t="s">
        <v>175</v>
      </c>
    </row>
    <row r="33" spans="1:2" ht="17.25" x14ac:dyDescent="0.45">
      <c r="A33" s="209"/>
    </row>
    <row r="34" spans="1:2" x14ac:dyDescent="0.45">
      <c r="A34" s="620"/>
      <c r="B34" s="200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7" orientation="portrait" r:id="rId1"/>
  <headerFooter scaleWithDoc="0" alignWithMargins="0">
    <oddHeader>&amp;C&amp;"Times New Roman,Bold"REVISED</oddHeader>
    <oddFooter>&amp;CPage 7&amp;R&amp;F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0FDD8C43D82F49AB8C4057A15F2F1C" ma:contentTypeVersion="8" ma:contentTypeDescription="Create a new document." ma:contentTypeScope="" ma:versionID="7984683deb0eadfe33b7313b7d5520e1">
  <xsd:schema xmlns:xsd="http://www.w3.org/2001/XMLSchema" xmlns:xs="http://www.w3.org/2001/XMLSchema" xmlns:p="http://schemas.microsoft.com/office/2006/metadata/properties" xmlns:ns2="d1b6833a-d8f7-4a13-b002-37960639cb34" targetNamespace="http://schemas.microsoft.com/office/2006/metadata/properties" ma:root="true" ma:fieldsID="72a83c8cf6be1a1d7d46bd788d014a3e" ns2:_="">
    <xsd:import namespace="d1b6833a-d8f7-4a13-b002-37960639cb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833a-d8f7-4a13-b002-37960639c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13B3B9-87C6-4A42-8C75-02B6AB4D9C35}">
  <ds:schemaRefs>
    <ds:schemaRef ds:uri="http://purl.org/dc/terms/"/>
    <ds:schemaRef ds:uri="http://schemas.openxmlformats.org/package/2006/metadata/core-properties"/>
    <ds:schemaRef ds:uri="d1b6833a-d8f7-4a13-b002-37960639cb34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05678D4-B422-4EE9-A9A0-2008125686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6833a-d8f7-4a13-b002-37960639cb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Pg1 Appendix XII C2 Cost Adj</vt:lpstr>
      <vt:lpstr>Pg2 Appendix XII C2 Comparison</vt:lpstr>
      <vt:lpstr>Pg3 Revised Appendix XII C2</vt:lpstr>
      <vt:lpstr>Pg4 As Filed Appendix XII C2</vt:lpstr>
      <vt:lpstr>Pg5 Rev B.Sec.2-Non-Direct Exp</vt:lpstr>
      <vt:lpstr>Pg6 Revised Stmt AH</vt:lpstr>
      <vt:lpstr>Pg6.1 Revised AH-2</vt:lpstr>
      <vt:lpstr>Pg6.2 Revised AH-3</vt:lpstr>
      <vt:lpstr>Pg7 Revised Stmt AL</vt:lpstr>
      <vt:lpstr>Pg8 Revised Stmt AV</vt:lpstr>
      <vt:lpstr>Pg9 Revised AV-4</vt:lpstr>
      <vt:lpstr>Pg10 Appendix XII C2 Int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Tanedo, Lolit</dc:creator>
  <cp:lastModifiedBy>Tanedo, Lolit</cp:lastModifiedBy>
  <cp:lastPrinted>2021-10-05T18:06:26Z</cp:lastPrinted>
  <dcterms:created xsi:type="dcterms:W3CDTF">2021-03-15T22:51:55Z</dcterms:created>
  <dcterms:modified xsi:type="dcterms:W3CDTF">2021-10-13T17:43:04Z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0x0101005C0FDD8C43D82F49AB8C4057A15F2F1C</vt:lpwstr>
  </property>
</Properties>
</file>