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Citizens/Sunrise/Cycle 12 Annual Filing/Sunrise Cycle 12 Oct Filing/Revised Sunrise Cost Adj Workpapers/"/>
    </mc:Choice>
  </mc:AlternateContent>
  <xr:revisionPtr revIDLastSave="463" documentId="14_{0F347438-2039-4D2D-BF4D-FBDC34A59972}" xr6:coauthVersionLast="47" xr6:coauthVersionMax="47" xr10:uidLastSave="{CD4F7059-0C76-40FD-8BE5-B2A1C0D28DF0}"/>
  <bookViews>
    <workbookView xWindow="-120" yWindow="-120" windowWidth="29040" windowHeight="15840" tabRatio="773" firstSheet="13" activeTab="15" xr2:uid="{A1AA674E-836A-4CFE-B14F-C8BAAC5651C2}"/>
  </bookViews>
  <sheets>
    <sheet name="Pg1 Appendix X C9 Cost Adj" sheetId="1" r:id="rId1"/>
    <sheet name="Pg2 Appendix X C9 Comparison" sheetId="16" r:id="rId2"/>
    <sheet name="Pg3 Rev App. X C9" sheetId="15" r:id="rId3"/>
    <sheet name="Pg4 App.X C9 Adj-Cost Adj" sheetId="27" r:id="rId4"/>
    <sheet name="Pg4.1 As Filed-Orig. App X C9" sheetId="14" r:id="rId5"/>
    <sheet name="Pg5 Rev Sec.2-Non-Direct Exp" sheetId="13" r:id="rId6"/>
    <sheet name="Pg6 As Filed Sec.2-Cost Adj " sheetId="28" r:id="rId7"/>
    <sheet name="Pg7 Rev Sec.4-TU" sheetId="29" r:id="rId8"/>
    <sheet name="Pg7.1 As Filed Sec.4-Cost Adj" sheetId="12" r:id="rId9"/>
    <sheet name="Pg8 Rev Stmt AH" sheetId="19" r:id="rId10"/>
    <sheet name="Pg8.1 As Filed Stmt AH-Cost Adj" sheetId="31" r:id="rId11"/>
    <sheet name="Pg8.2 Rev AH-3" sheetId="30" r:id="rId12"/>
    <sheet name="Pg8.3 Rev AH-3-Cost Adj" sheetId="18" r:id="rId13"/>
    <sheet name="Pg9 Rev Stmt AL" sheetId="32" r:id="rId14"/>
    <sheet name="Pg9.1 Rev Stmt AL-Cost Adj" sheetId="17" r:id="rId15"/>
    <sheet name="Pg10 Rev Stmt AV" sheetId="33" r:id="rId16"/>
    <sheet name="Pg11 As Filed Stmt AV-Cost Adj" sheetId="11" r:id="rId17"/>
    <sheet name="Pg12 Rev AV-4 " sheetId="34" r:id="rId18"/>
    <sheet name="Pg13 As Filed AV-4-Cost Adj" sheetId="21" r:id="rId19"/>
    <sheet name="Pg14 Appendix X C9 Int Calc" sheetId="26" r:id="rId20"/>
  </sheets>
  <definedNames>
    <definedName name="_xlnm.Print_Area" localSheetId="16">'Pg11 As Filed Stmt AV-Cost Adj'!$A$2:$J$156</definedName>
    <definedName name="_xlnm.Print_Area" localSheetId="18">'Pg13 As Filed AV-4-Cost Adj'!$A$2:$F$89</definedName>
    <definedName name="_xlnm.Print_Area" localSheetId="3">'Pg4 App.X C9 Adj-Cost Adj'!$A$2:$F$56</definedName>
    <definedName name="_xlnm.Print_Area" localSheetId="4">'Pg4.1 As Filed-Orig. App X C9'!$A$2:$E$54</definedName>
    <definedName name="_xlnm.Print_Area" localSheetId="6">'Pg6 As Filed Sec.2-Cost Adj '!$A$2:$H$102</definedName>
    <definedName name="_xlnm.Print_Area" localSheetId="8">'Pg7.1 As Filed Sec.4-Cost Adj'!$A$2:$N$42</definedName>
    <definedName name="_xlnm.Print_Area" localSheetId="10">'Pg8.1 As Filed Stmt AH-Cost Adj'!$A$2:$H$74</definedName>
    <definedName name="_xlnm.Print_Area" localSheetId="12">'Pg8.3 Rev AH-3-Cost Adj'!$A$2:$L$67</definedName>
    <definedName name="_xlnm.Print_Area" localSheetId="14">'Pg9.1 Rev Stmt AL-Cost Adj'!$A$2:$J$33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13" l="1"/>
  <c r="B101" i="13"/>
  <c r="I54" i="26" l="1"/>
  <c r="I55" i="26" s="1"/>
  <c r="I56" i="26" s="1"/>
  <c r="I57" i="26" s="1"/>
  <c r="I58" i="26" s="1"/>
  <c r="I59" i="26" s="1"/>
  <c r="I60" i="26" s="1"/>
  <c r="I61" i="26" s="1"/>
  <c r="I62" i="26" s="1"/>
  <c r="I63" i="26" s="1"/>
  <c r="I64" i="26" s="1"/>
  <c r="I65" i="26" s="1"/>
  <c r="I66" i="26" s="1"/>
  <c r="I67" i="26" s="1"/>
  <c r="I68" i="26" s="1"/>
  <c r="I69" i="26" s="1"/>
  <c r="I70" i="26" s="1"/>
  <c r="I71" i="26" s="1"/>
  <c r="I72" i="26" s="1"/>
  <c r="I73" i="26" s="1"/>
  <c r="I74" i="26" s="1"/>
  <c r="I75" i="26" s="1"/>
  <c r="I76" i="26" s="1"/>
  <c r="I77" i="26" s="1"/>
  <c r="I78" i="26" s="1"/>
  <c r="A54" i="26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E51" i="16"/>
  <c r="E47" i="16"/>
  <c r="E45" i="16"/>
  <c r="E43" i="16"/>
  <c r="E39" i="16"/>
  <c r="E37" i="16"/>
  <c r="E35" i="16"/>
  <c r="E26" i="16"/>
  <c r="E22" i="16"/>
  <c r="E20" i="16"/>
  <c r="E16" i="16"/>
  <c r="E12" i="16"/>
  <c r="E14" i="16"/>
  <c r="D20" i="12"/>
  <c r="E24" i="17"/>
  <c r="E23" i="17"/>
  <c r="F87" i="34"/>
  <c r="C87" i="34"/>
  <c r="F86" i="34"/>
  <c r="F85" i="34"/>
  <c r="F84" i="34"/>
  <c r="F83" i="34"/>
  <c r="F82" i="34"/>
  <c r="F81" i="34"/>
  <c r="C81" i="34"/>
  <c r="F80" i="34"/>
  <c r="F79" i="34"/>
  <c r="F78" i="34"/>
  <c r="F77" i="34"/>
  <c r="F76" i="34"/>
  <c r="F75" i="34"/>
  <c r="F74" i="34"/>
  <c r="F73" i="34"/>
  <c r="C80" i="34"/>
  <c r="C14" i="34" s="1"/>
  <c r="F72" i="34"/>
  <c r="C79" i="34"/>
  <c r="C13" i="34" s="1"/>
  <c r="F71" i="34"/>
  <c r="C75" i="34"/>
  <c r="F70" i="34"/>
  <c r="F69" i="34"/>
  <c r="F68" i="34"/>
  <c r="C68" i="34"/>
  <c r="F67" i="34"/>
  <c r="F66" i="34"/>
  <c r="F65" i="34"/>
  <c r="F64" i="34"/>
  <c r="F63" i="34"/>
  <c r="B56" i="34"/>
  <c r="B55" i="34"/>
  <c r="B54" i="34"/>
  <c r="C46" i="34"/>
  <c r="C41" i="34"/>
  <c r="C30" i="34"/>
  <c r="C29" i="34"/>
  <c r="C26" i="34"/>
  <c r="C21" i="34"/>
  <c r="C15" i="34"/>
  <c r="F12" i="34"/>
  <c r="F13" i="34" s="1"/>
  <c r="F14" i="34" s="1"/>
  <c r="F15" i="34" s="1"/>
  <c r="F16" i="34" s="1"/>
  <c r="F17" i="34" s="1"/>
  <c r="F18" i="34" s="1"/>
  <c r="F19" i="34" s="1"/>
  <c r="F20" i="34" s="1"/>
  <c r="F21" i="34" s="1"/>
  <c r="F22" i="34" s="1"/>
  <c r="F23" i="34" s="1"/>
  <c r="F24" i="34" s="1"/>
  <c r="F25" i="34" s="1"/>
  <c r="F26" i="34" s="1"/>
  <c r="F27" i="34" s="1"/>
  <c r="F28" i="34" s="1"/>
  <c r="F29" i="34" s="1"/>
  <c r="F30" i="34" s="1"/>
  <c r="F31" i="34" s="1"/>
  <c r="F32" i="34" s="1"/>
  <c r="F33" i="34" s="1"/>
  <c r="F34" i="34" s="1"/>
  <c r="F35" i="34" s="1"/>
  <c r="F36" i="34" s="1"/>
  <c r="F37" i="34" s="1"/>
  <c r="F38" i="34" s="1"/>
  <c r="F39" i="34" s="1"/>
  <c r="F40" i="34" s="1"/>
  <c r="F41" i="34" s="1"/>
  <c r="F42" i="34" s="1"/>
  <c r="F43" i="34" s="1"/>
  <c r="F44" i="34" s="1"/>
  <c r="F45" i="34" s="1"/>
  <c r="F46" i="34" s="1"/>
  <c r="F47" i="34" s="1"/>
  <c r="F48" i="34" s="1"/>
  <c r="A12" i="34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F11" i="34"/>
  <c r="G147" i="33"/>
  <c r="B147" i="33"/>
  <c r="B146" i="33"/>
  <c r="G145" i="33"/>
  <c r="G144" i="33"/>
  <c r="B144" i="33"/>
  <c r="B143" i="33"/>
  <c r="G135" i="33"/>
  <c r="B135" i="33"/>
  <c r="B132" i="33"/>
  <c r="B131" i="33"/>
  <c r="J127" i="33"/>
  <c r="J128" i="33" s="1"/>
  <c r="J129" i="33" s="1"/>
  <c r="J130" i="33" s="1"/>
  <c r="J131" i="33" s="1"/>
  <c r="J132" i="33" s="1"/>
  <c r="J133" i="33" s="1"/>
  <c r="J134" i="33" s="1"/>
  <c r="J135" i="33" s="1"/>
  <c r="J136" i="33" s="1"/>
  <c r="J137" i="33" s="1"/>
  <c r="J138" i="33" s="1"/>
  <c r="J139" i="33" s="1"/>
  <c r="J140" i="33" s="1"/>
  <c r="J141" i="33" s="1"/>
  <c r="J142" i="33" s="1"/>
  <c r="J143" i="33" s="1"/>
  <c r="J144" i="33" s="1"/>
  <c r="J145" i="33" s="1"/>
  <c r="J146" i="33" s="1"/>
  <c r="J147" i="33" s="1"/>
  <c r="J148" i="33" s="1"/>
  <c r="J149" i="33" s="1"/>
  <c r="J150" i="33" s="1"/>
  <c r="J151" i="33" s="1"/>
  <c r="J152" i="33" s="1"/>
  <c r="J153" i="33" s="1"/>
  <c r="J154" i="33" s="1"/>
  <c r="J155" i="33" s="1"/>
  <c r="J156" i="33" s="1"/>
  <c r="A127" i="33"/>
  <c r="A128" i="33" s="1"/>
  <c r="A129" i="33" s="1"/>
  <c r="A130" i="33" s="1"/>
  <c r="A131" i="33" s="1"/>
  <c r="B120" i="33"/>
  <c r="G98" i="33"/>
  <c r="J81" i="33"/>
  <c r="J82" i="33" s="1"/>
  <c r="J83" i="33" s="1"/>
  <c r="J84" i="33" s="1"/>
  <c r="J85" i="33" s="1"/>
  <c r="J86" i="33" s="1"/>
  <c r="J87" i="33" s="1"/>
  <c r="J88" i="33" s="1"/>
  <c r="J89" i="33" s="1"/>
  <c r="J90" i="33" s="1"/>
  <c r="J91" i="33" s="1"/>
  <c r="J92" i="33" s="1"/>
  <c r="J93" i="33" s="1"/>
  <c r="J94" i="33" s="1"/>
  <c r="J95" i="33" s="1"/>
  <c r="J96" i="33" s="1"/>
  <c r="J97" i="33" s="1"/>
  <c r="J98" i="33" s="1"/>
  <c r="J99" i="33" s="1"/>
  <c r="J100" i="33" s="1"/>
  <c r="J101" i="33" s="1"/>
  <c r="J102" i="33" s="1"/>
  <c r="J103" i="33" s="1"/>
  <c r="J104" i="33" s="1"/>
  <c r="J105" i="33" s="1"/>
  <c r="J106" i="33" s="1"/>
  <c r="J107" i="33" s="1"/>
  <c r="J108" i="33" s="1"/>
  <c r="J109" i="33" s="1"/>
  <c r="J110" i="33" s="1"/>
  <c r="A81" i="33"/>
  <c r="A82" i="33" s="1"/>
  <c r="A83" i="33" s="1"/>
  <c r="A84" i="33" s="1"/>
  <c r="A85" i="33" s="1"/>
  <c r="B74" i="33"/>
  <c r="D63" i="33"/>
  <c r="C63" i="33"/>
  <c r="G62" i="33"/>
  <c r="G61" i="33"/>
  <c r="G63" i="33" s="1"/>
  <c r="G154" i="33" s="1"/>
  <c r="G60" i="33"/>
  <c r="E49" i="33"/>
  <c r="C48" i="33"/>
  <c r="G39" i="33"/>
  <c r="C49" i="33" s="1"/>
  <c r="G32" i="33"/>
  <c r="E48" i="33" s="1"/>
  <c r="G25" i="33"/>
  <c r="G17" i="33"/>
  <c r="C47" i="33" s="1"/>
  <c r="A12" i="33"/>
  <c r="A13" i="33" s="1"/>
  <c r="A14" i="33" s="1"/>
  <c r="A15" i="33" s="1"/>
  <c r="A16" i="33" s="1"/>
  <c r="J11" i="33"/>
  <c r="J12" i="33" s="1"/>
  <c r="J13" i="33" s="1"/>
  <c r="J14" i="33" s="1"/>
  <c r="J15" i="33" s="1"/>
  <c r="J16" i="33" s="1"/>
  <c r="J17" i="33" s="1"/>
  <c r="J18" i="33" s="1"/>
  <c r="J19" i="33" s="1"/>
  <c r="J20" i="33" s="1"/>
  <c r="J21" i="33" s="1"/>
  <c r="J22" i="33" s="1"/>
  <c r="J23" i="33" s="1"/>
  <c r="J24" i="33" s="1"/>
  <c r="J25" i="33" s="1"/>
  <c r="J26" i="33" s="1"/>
  <c r="J27" i="33" s="1"/>
  <c r="J28" i="33" s="1"/>
  <c r="J29" i="33" s="1"/>
  <c r="J30" i="33" s="1"/>
  <c r="J31" i="33" s="1"/>
  <c r="J32" i="33" s="1"/>
  <c r="J33" i="33" s="1"/>
  <c r="J34" i="33" s="1"/>
  <c r="J35" i="33" s="1"/>
  <c r="J36" i="33" s="1"/>
  <c r="J37" i="33" s="1"/>
  <c r="J38" i="33" s="1"/>
  <c r="J39" i="33" s="1"/>
  <c r="J40" i="33" s="1"/>
  <c r="J41" i="33" s="1"/>
  <c r="J42" i="33" s="1"/>
  <c r="J43" i="33" s="1"/>
  <c r="J44" i="33" s="1"/>
  <c r="J45" i="33" s="1"/>
  <c r="J46" i="33" s="1"/>
  <c r="J47" i="33" s="1"/>
  <c r="J48" i="33" s="1"/>
  <c r="J49" i="33" s="1"/>
  <c r="J50" i="33" s="1"/>
  <c r="J51" i="33" s="1"/>
  <c r="J52" i="33" s="1"/>
  <c r="J53" i="33" s="1"/>
  <c r="J54" i="33" s="1"/>
  <c r="J55" i="33" s="1"/>
  <c r="J56" i="33" s="1"/>
  <c r="J57" i="33" s="1"/>
  <c r="J58" i="33" s="1"/>
  <c r="J59" i="33" s="1"/>
  <c r="J60" i="33" s="1"/>
  <c r="J61" i="33" s="1"/>
  <c r="J62" i="33" s="1"/>
  <c r="J63" i="33" s="1"/>
  <c r="J64" i="33" s="1"/>
  <c r="J65" i="33" s="1"/>
  <c r="E27" i="32"/>
  <c r="G19" i="32"/>
  <c r="G15" i="32"/>
  <c r="A12" i="32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J11" i="32"/>
  <c r="J12" i="32" s="1"/>
  <c r="J13" i="32" s="1"/>
  <c r="J14" i="32" s="1"/>
  <c r="J15" i="32" s="1"/>
  <c r="J16" i="32" s="1"/>
  <c r="J17" i="32" s="1"/>
  <c r="J18" i="32" s="1"/>
  <c r="J19" i="32" s="1"/>
  <c r="J20" i="32" s="1"/>
  <c r="J21" i="32" s="1"/>
  <c r="J22" i="32" s="1"/>
  <c r="J23" i="32" s="1"/>
  <c r="J24" i="32" s="1"/>
  <c r="J25" i="32" s="1"/>
  <c r="J26" i="32" s="1"/>
  <c r="J27" i="32" s="1"/>
  <c r="J28" i="32" s="1"/>
  <c r="J29" i="32" s="1"/>
  <c r="E45" i="19"/>
  <c r="E61" i="31"/>
  <c r="E69" i="31" s="1"/>
  <c r="E71" i="31" s="1"/>
  <c r="E51" i="31" s="1"/>
  <c r="E59" i="31"/>
  <c r="A13" i="3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H12" i="3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H38" i="31" s="1"/>
  <c r="H39" i="31" s="1"/>
  <c r="H40" i="31" s="1"/>
  <c r="H41" i="31" s="1"/>
  <c r="H42" i="31" s="1"/>
  <c r="H43" i="31" s="1"/>
  <c r="H44" i="31" s="1"/>
  <c r="H45" i="31" s="1"/>
  <c r="H46" i="31" s="1"/>
  <c r="H47" i="31" s="1"/>
  <c r="H48" i="31" s="1"/>
  <c r="H49" i="31" s="1"/>
  <c r="H50" i="31" s="1"/>
  <c r="H51" i="31" s="1"/>
  <c r="H52" i="31" s="1"/>
  <c r="H53" i="31" s="1"/>
  <c r="H54" i="31" s="1"/>
  <c r="H55" i="31" s="1"/>
  <c r="H56" i="31" s="1"/>
  <c r="H57" i="31" s="1"/>
  <c r="H58" i="31" s="1"/>
  <c r="H59" i="31" s="1"/>
  <c r="H60" i="31" s="1"/>
  <c r="H61" i="31" s="1"/>
  <c r="H62" i="31" s="1"/>
  <c r="H63" i="31" s="1"/>
  <c r="H64" i="31" s="1"/>
  <c r="H65" i="31" s="1"/>
  <c r="H66" i="31" s="1"/>
  <c r="H67" i="31" s="1"/>
  <c r="H68" i="31" s="1"/>
  <c r="H69" i="31" s="1"/>
  <c r="H70" i="31" s="1"/>
  <c r="H71" i="31" s="1"/>
  <c r="O28" i="30"/>
  <c r="O29" i="30"/>
  <c r="O30" i="30"/>
  <c r="O31" i="30"/>
  <c r="O32" i="30"/>
  <c r="O33" i="30"/>
  <c r="M31" i="30"/>
  <c r="M29" i="30"/>
  <c r="L31" i="30"/>
  <c r="J31" i="30"/>
  <c r="H31" i="30"/>
  <c r="F31" i="30"/>
  <c r="E31" i="30"/>
  <c r="D31" i="30"/>
  <c r="A28" i="30"/>
  <c r="A29" i="30" s="1"/>
  <c r="A30" i="30" s="1"/>
  <c r="A31" i="30" s="1"/>
  <c r="A32" i="30" s="1"/>
  <c r="J29" i="30"/>
  <c r="F29" i="30"/>
  <c r="E54" i="30"/>
  <c r="E25" i="30" s="1"/>
  <c r="F25" i="30" s="1"/>
  <c r="J25" i="30" s="1"/>
  <c r="M25" i="30" s="1"/>
  <c r="E52" i="30"/>
  <c r="E23" i="30" s="1"/>
  <c r="F23" i="30" s="1"/>
  <c r="J23" i="30" s="1"/>
  <c r="M23" i="30" s="1"/>
  <c r="E49" i="30"/>
  <c r="E43" i="30"/>
  <c r="E18" i="30" s="1"/>
  <c r="F18" i="30" s="1"/>
  <c r="J18" i="30" s="1"/>
  <c r="E41" i="30"/>
  <c r="E17" i="30" s="1"/>
  <c r="F17" i="30" s="1"/>
  <c r="J17" i="30" s="1"/>
  <c r="M17" i="30" s="1"/>
  <c r="E38" i="30"/>
  <c r="D27" i="30"/>
  <c r="F24" i="30"/>
  <c r="J24" i="30" s="1"/>
  <c r="M24" i="30" s="1"/>
  <c r="E22" i="30"/>
  <c r="F22" i="30" s="1"/>
  <c r="J22" i="30" s="1"/>
  <c r="M22" i="30" s="1"/>
  <c r="F21" i="30"/>
  <c r="J21" i="30" s="1"/>
  <c r="M21" i="30" s="1"/>
  <c r="E20" i="30"/>
  <c r="F20" i="30" s="1"/>
  <c r="J20" i="30" s="1"/>
  <c r="M20" i="30" s="1"/>
  <c r="E19" i="30"/>
  <c r="F19" i="30" s="1"/>
  <c r="J19" i="30" s="1"/>
  <c r="M19" i="30" s="1"/>
  <c r="L18" i="30"/>
  <c r="L17" i="30"/>
  <c r="F16" i="30"/>
  <c r="J16" i="30" s="1"/>
  <c r="M16" i="30" s="1"/>
  <c r="L15" i="30"/>
  <c r="H14" i="30"/>
  <c r="H27" i="30" s="1"/>
  <c r="F13" i="30"/>
  <c r="J13" i="30" s="1"/>
  <c r="M13" i="30" s="1"/>
  <c r="O12" i="30"/>
  <c r="L12" i="30"/>
  <c r="E12" i="30"/>
  <c r="F12" i="30" s="1"/>
  <c r="J12" i="30" s="1"/>
  <c r="A12" i="30"/>
  <c r="A13" i="30" s="1"/>
  <c r="A14" i="30" s="1"/>
  <c r="O11" i="30"/>
  <c r="L11" i="30"/>
  <c r="E11" i="30"/>
  <c r="F11" i="30" s="1"/>
  <c r="G27" i="33" l="1"/>
  <c r="E47" i="33" s="1"/>
  <c r="G65" i="33"/>
  <c r="G131" i="33" s="1"/>
  <c r="C78" i="34"/>
  <c r="I17" i="33"/>
  <c r="A17" i="33"/>
  <c r="A18" i="33" s="1"/>
  <c r="A19" i="33" s="1"/>
  <c r="A20" i="33" s="1"/>
  <c r="G143" i="33"/>
  <c r="G137" i="33"/>
  <c r="G146" i="33" s="1"/>
  <c r="C50" i="33"/>
  <c r="D48" i="33" s="1"/>
  <c r="G48" i="33" s="1"/>
  <c r="A132" i="33"/>
  <c r="A133" i="33" s="1"/>
  <c r="I143" i="33"/>
  <c r="I97" i="33"/>
  <c r="A86" i="33"/>
  <c r="A87" i="33" s="1"/>
  <c r="E29" i="31"/>
  <c r="E46" i="31"/>
  <c r="E48" i="31" s="1"/>
  <c r="E50" i="31" s="1"/>
  <c r="E52" i="31" s="1"/>
  <c r="M12" i="30"/>
  <c r="L27" i="30"/>
  <c r="E56" i="30"/>
  <c r="M18" i="30"/>
  <c r="A15" i="30"/>
  <c r="O14" i="30"/>
  <c r="J11" i="30"/>
  <c r="O13" i="30"/>
  <c r="E14" i="30"/>
  <c r="D47" i="33" l="1"/>
  <c r="C12" i="34"/>
  <c r="C16" i="34" s="1"/>
  <c r="E49" i="13" s="1"/>
  <c r="C82" i="34"/>
  <c r="I144" i="33"/>
  <c r="A134" i="33"/>
  <c r="D49" i="33"/>
  <c r="G49" i="33" s="1"/>
  <c r="G52" i="33" s="1"/>
  <c r="G85" i="33" s="1"/>
  <c r="G47" i="33"/>
  <c r="G50" i="33" s="1"/>
  <c r="G108" i="33" s="1"/>
  <c r="D50" i="33"/>
  <c r="A88" i="33"/>
  <c r="I98" i="33"/>
  <c r="G149" i="33"/>
  <c r="G152" i="33" s="1"/>
  <c r="G156" i="33" s="1"/>
  <c r="A21" i="33"/>
  <c r="A22" i="33" s="1"/>
  <c r="A23" i="33" s="1"/>
  <c r="A24" i="33" s="1"/>
  <c r="A25" i="33" s="1"/>
  <c r="I25" i="33"/>
  <c r="E27" i="30"/>
  <c r="F14" i="30"/>
  <c r="M11" i="30"/>
  <c r="O15" i="30"/>
  <c r="A16" i="30"/>
  <c r="I99" i="33" l="1"/>
  <c r="A89" i="33"/>
  <c r="G97" i="33"/>
  <c r="I27" i="33"/>
  <c r="A26" i="33"/>
  <c r="A27" i="33" s="1"/>
  <c r="I145" i="33"/>
  <c r="A135" i="33"/>
  <c r="A136" i="33" s="1"/>
  <c r="A137" i="33" s="1"/>
  <c r="A17" i="30"/>
  <c r="O16" i="30"/>
  <c r="J14" i="30"/>
  <c r="F27" i="30"/>
  <c r="A138" i="33" l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I146" i="33"/>
  <c r="I47" i="33"/>
  <c r="A28" i="33"/>
  <c r="A29" i="33" s="1"/>
  <c r="A30" i="33" s="1"/>
  <c r="I135" i="33"/>
  <c r="A90" i="33"/>
  <c r="A91" i="33" s="1"/>
  <c r="M14" i="30"/>
  <c r="M27" i="30" s="1"/>
  <c r="J27" i="30"/>
  <c r="A18" i="30"/>
  <c r="O17" i="30"/>
  <c r="A31" i="33" l="1"/>
  <c r="I36" i="33"/>
  <c r="A92" i="33"/>
  <c r="A93" i="33" s="1"/>
  <c r="A94" i="33" s="1"/>
  <c r="A95" i="33" s="1"/>
  <c r="A96" i="33" s="1"/>
  <c r="A97" i="33" s="1"/>
  <c r="A98" i="33" s="1"/>
  <c r="A99" i="33" s="1"/>
  <c r="A100" i="33" s="1"/>
  <c r="A101" i="33" s="1"/>
  <c r="I100" i="33"/>
  <c r="I152" i="33"/>
  <c r="A153" i="33"/>
  <c r="A154" i="33" s="1"/>
  <c r="A155" i="33" s="1"/>
  <c r="A156" i="33" s="1"/>
  <c r="O18" i="30"/>
  <c r="A19" i="30"/>
  <c r="I156" i="33" l="1"/>
  <c r="I147" i="33"/>
  <c r="A102" i="33"/>
  <c r="A103" i="33" s="1"/>
  <c r="A32" i="33"/>
  <c r="I32" i="33"/>
  <c r="A20" i="30"/>
  <c r="O19" i="30"/>
  <c r="A104" i="33" l="1"/>
  <c r="A105" i="33" s="1"/>
  <c r="A106" i="33" s="1"/>
  <c r="I106" i="33"/>
  <c r="I48" i="33"/>
  <c r="A33" i="33"/>
  <c r="A34" i="33" s="1"/>
  <c r="A35" i="33" s="1"/>
  <c r="O20" i="30"/>
  <c r="A21" i="30"/>
  <c r="A36" i="33" l="1"/>
  <c r="A37" i="33" s="1"/>
  <c r="A38" i="33" s="1"/>
  <c r="A39" i="33" s="1"/>
  <c r="A40" i="33" s="1"/>
  <c r="A41" i="33" s="1"/>
  <c r="A42" i="33" s="1"/>
  <c r="A107" i="33"/>
  <c r="A108" i="33" s="1"/>
  <c r="A109" i="33" s="1"/>
  <c r="A110" i="33" s="1"/>
  <c r="A22" i="30"/>
  <c r="O21" i="30"/>
  <c r="I49" i="33" l="1"/>
  <c r="A43" i="33"/>
  <c r="A44" i="33" s="1"/>
  <c r="A45" i="33" s="1"/>
  <c r="A46" i="33" s="1"/>
  <c r="A47" i="33" s="1"/>
  <c r="I110" i="33"/>
  <c r="I39" i="33"/>
  <c r="A23" i="30"/>
  <c r="O22" i="30"/>
  <c r="A48" i="33" l="1"/>
  <c r="A24" i="30"/>
  <c r="O23" i="30"/>
  <c r="A49" i="33" l="1"/>
  <c r="O24" i="30"/>
  <c r="A25" i="30"/>
  <c r="A50" i="33" l="1"/>
  <c r="I50" i="33"/>
  <c r="I52" i="33"/>
  <c r="N27" i="30"/>
  <c r="A26" i="30"/>
  <c r="O25" i="30"/>
  <c r="I108" i="33" l="1"/>
  <c r="A51" i="33"/>
  <c r="A52" i="33" s="1"/>
  <c r="A53" i="33" s="1"/>
  <c r="A54" i="33" s="1"/>
  <c r="A55" i="33" s="1"/>
  <c r="A56" i="33" s="1"/>
  <c r="A57" i="33" s="1"/>
  <c r="A58" i="33" s="1"/>
  <c r="A59" i="33" s="1"/>
  <c r="A60" i="33" s="1"/>
  <c r="A27" i="30"/>
  <c r="O26" i="30"/>
  <c r="A61" i="33" l="1"/>
  <c r="O27" i="30"/>
  <c r="A62" i="33" l="1"/>
  <c r="A33" i="30"/>
  <c r="A63" i="33" l="1"/>
  <c r="I63" i="33"/>
  <c r="I65" i="33"/>
  <c r="A34" i="30"/>
  <c r="A64" i="33" l="1"/>
  <c r="A65" i="33" s="1"/>
  <c r="I131" i="33" s="1"/>
  <c r="I154" i="33"/>
  <c r="O34" i="30"/>
  <c r="A35" i="30"/>
  <c r="O35" i="30" l="1"/>
  <c r="A36" i="30"/>
  <c r="A37" i="30" l="1"/>
  <c r="O36" i="30"/>
  <c r="A38" i="30" l="1"/>
  <c r="O37" i="30"/>
  <c r="A39" i="30" l="1"/>
  <c r="O38" i="30"/>
  <c r="A40" i="30" l="1"/>
  <c r="O39" i="30"/>
  <c r="A41" i="30" l="1"/>
  <c r="O40" i="30"/>
  <c r="O41" i="30" l="1"/>
  <c r="A42" i="30"/>
  <c r="O42" i="30" l="1"/>
  <c r="A43" i="30"/>
  <c r="A44" i="30" l="1"/>
  <c r="O43" i="30"/>
  <c r="O44" i="30" l="1"/>
  <c r="A45" i="30"/>
  <c r="A46" i="30" l="1"/>
  <c r="O45" i="30"/>
  <c r="A47" i="30" l="1"/>
  <c r="O46" i="30"/>
  <c r="A48" i="30" l="1"/>
  <c r="O47" i="30"/>
  <c r="A49" i="30" l="1"/>
  <c r="O48" i="30"/>
  <c r="O49" i="30" l="1"/>
  <c r="A50" i="30"/>
  <c r="A51" i="30" l="1"/>
  <c r="O50" i="30"/>
  <c r="A52" i="30" l="1"/>
  <c r="O51" i="30"/>
  <c r="A53" i="30" l="1"/>
  <c r="O52" i="30"/>
  <c r="A54" i="30" l="1"/>
  <c r="O53" i="30"/>
  <c r="A55" i="30" l="1"/>
  <c r="O54" i="30"/>
  <c r="A56" i="30" l="1"/>
  <c r="O55" i="30"/>
  <c r="A57" i="30" l="1"/>
  <c r="O56" i="30"/>
  <c r="A58" i="30" l="1"/>
  <c r="O57" i="30"/>
  <c r="A59" i="30" l="1"/>
  <c r="O58" i="30"/>
  <c r="A60" i="30" l="1"/>
  <c r="O59" i="30"/>
  <c r="A61" i="30" l="1"/>
  <c r="O60" i="30"/>
  <c r="A62" i="30" l="1"/>
  <c r="O61" i="30"/>
  <c r="O62" i="30" l="1"/>
  <c r="A63" i="30"/>
  <c r="A64" i="30" l="1"/>
  <c r="O63" i="30"/>
  <c r="A65" i="30" l="1"/>
  <c r="O64" i="30"/>
  <c r="A66" i="30" l="1"/>
  <c r="O66" i="30" s="1"/>
  <c r="O65" i="30"/>
  <c r="G31" i="29" l="1"/>
  <c r="F31" i="29"/>
  <c r="E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C19" i="29"/>
  <c r="C28" i="29" s="1"/>
  <c r="N12" i="29"/>
  <c r="M12" i="29"/>
  <c r="K12" i="29"/>
  <c r="I12" i="29"/>
  <c r="H12" i="29"/>
  <c r="P11" i="29"/>
  <c r="P12" i="29" s="1"/>
  <c r="P13" i="29" s="1"/>
  <c r="P14" i="29" s="1"/>
  <c r="P15" i="29" s="1"/>
  <c r="P16" i="29" s="1"/>
  <c r="P17" i="29" s="1"/>
  <c r="P18" i="29" s="1"/>
  <c r="P19" i="29" s="1"/>
  <c r="P20" i="29" s="1"/>
  <c r="P21" i="29" s="1"/>
  <c r="P22" i="29" s="1"/>
  <c r="P23" i="29" s="1"/>
  <c r="P24" i="29" s="1"/>
  <c r="P25" i="29" s="1"/>
  <c r="P26" i="29" s="1"/>
  <c r="P27" i="29" s="1"/>
  <c r="P28" i="29" s="1"/>
  <c r="P29" i="29" s="1"/>
  <c r="P30" i="29" s="1"/>
  <c r="P31" i="29" s="1"/>
  <c r="A11" i="29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F12" i="29" s="1"/>
  <c r="E90" i="28"/>
  <c r="E92" i="28"/>
  <c r="E77" i="28"/>
  <c r="E81" i="28" s="1"/>
  <c r="E83" i="28" s="1"/>
  <c r="E21" i="28" s="1"/>
  <c r="E55" i="28"/>
  <c r="E13" i="28" s="1"/>
  <c r="A51" i="28"/>
  <c r="A52" i="28" s="1"/>
  <c r="A53" i="28" s="1"/>
  <c r="A54" i="28" s="1"/>
  <c r="A55" i="28" s="1"/>
  <c r="H50" i="28"/>
  <c r="H51" i="28" s="1"/>
  <c r="H52" i="28" s="1"/>
  <c r="H53" i="28" s="1"/>
  <c r="H54" i="28" s="1"/>
  <c r="H55" i="28" s="1"/>
  <c r="H56" i="28" s="1"/>
  <c r="H57" i="28" s="1"/>
  <c r="H58" i="28" s="1"/>
  <c r="H59" i="28" s="1"/>
  <c r="H60" i="28" s="1"/>
  <c r="H61" i="28" s="1"/>
  <c r="H62" i="28" s="1"/>
  <c r="H63" i="28" s="1"/>
  <c r="H64" i="28" s="1"/>
  <c r="H65" i="28" s="1"/>
  <c r="H66" i="28" s="1"/>
  <c r="H67" i="28" s="1"/>
  <c r="H68" i="28" s="1"/>
  <c r="H69" i="28" s="1"/>
  <c r="H70" i="28" s="1"/>
  <c r="H71" i="28" s="1"/>
  <c r="H72" i="28" s="1"/>
  <c r="H73" i="28" s="1"/>
  <c r="H74" i="28" s="1"/>
  <c r="H75" i="28" s="1"/>
  <c r="H76" i="28" s="1"/>
  <c r="H77" i="28" s="1"/>
  <c r="H78" i="28" s="1"/>
  <c r="H79" i="28" s="1"/>
  <c r="H80" i="28" s="1"/>
  <c r="H81" i="28" s="1"/>
  <c r="H82" i="28" s="1"/>
  <c r="H83" i="28" s="1"/>
  <c r="H84" i="28" s="1"/>
  <c r="H85" i="28" s="1"/>
  <c r="H86" i="28" s="1"/>
  <c r="H87" i="28" s="1"/>
  <c r="H88" i="28" s="1"/>
  <c r="H89" i="28" s="1"/>
  <c r="H90" i="28" s="1"/>
  <c r="H91" i="28" s="1"/>
  <c r="H92" i="28" s="1"/>
  <c r="H93" i="28" s="1"/>
  <c r="H94" i="28" s="1"/>
  <c r="H95" i="28" s="1"/>
  <c r="H96" i="28" s="1"/>
  <c r="H97" i="28" s="1"/>
  <c r="H98" i="28" s="1"/>
  <c r="H99" i="28" s="1"/>
  <c r="H100" i="28" s="1"/>
  <c r="B45" i="28"/>
  <c r="B44" i="28"/>
  <c r="B43" i="28"/>
  <c r="B42" i="28"/>
  <c r="B41" i="28"/>
  <c r="H13" i="28"/>
  <c r="H14" i="28" s="1"/>
  <c r="H15" i="28" s="1"/>
  <c r="H16" i="28" s="1"/>
  <c r="H17" i="28" s="1"/>
  <c r="H18" i="28" s="1"/>
  <c r="H19" i="28" s="1"/>
  <c r="H20" i="28" s="1"/>
  <c r="H21" i="28" s="1"/>
  <c r="H22" i="28" s="1"/>
  <c r="H23" i="28" s="1"/>
  <c r="H24" i="28" s="1"/>
  <c r="H25" i="28" s="1"/>
  <c r="H26" i="28" s="1"/>
  <c r="H27" i="28" s="1"/>
  <c r="H28" i="28" s="1"/>
  <c r="H29" i="28" s="1"/>
  <c r="H30" i="28" s="1"/>
  <c r="H31" i="28" s="1"/>
  <c r="H32" i="28" s="1"/>
  <c r="H33" i="28" s="1"/>
  <c r="H34" i="28" s="1"/>
  <c r="H35" i="28" s="1"/>
  <c r="H36" i="28" s="1"/>
  <c r="A13" i="28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H12" i="28"/>
  <c r="B53" i="27"/>
  <c r="C47" i="27"/>
  <c r="B47" i="27"/>
  <c r="C45" i="27"/>
  <c r="B45" i="27"/>
  <c r="B43" i="27"/>
  <c r="C39" i="27"/>
  <c r="B39" i="27"/>
  <c r="E37" i="27"/>
  <c r="B37" i="27"/>
  <c r="E35" i="27"/>
  <c r="C35" i="27"/>
  <c r="B35" i="27"/>
  <c r="E33" i="27"/>
  <c r="C33" i="27"/>
  <c r="C43" i="27"/>
  <c r="A15" i="27"/>
  <c r="A16" i="27" s="1"/>
  <c r="C37" i="27"/>
  <c r="A14" i="27"/>
  <c r="A13" i="27"/>
  <c r="F12" i="27"/>
  <c r="F13" i="27" s="1"/>
  <c r="F14" i="27" s="1"/>
  <c r="F15" i="27" s="1"/>
  <c r="F16" i="27" s="1"/>
  <c r="F17" i="27" s="1"/>
  <c r="F18" i="27" s="1"/>
  <c r="F19" i="27" s="1"/>
  <c r="F20" i="27" s="1"/>
  <c r="F21" i="27" s="1"/>
  <c r="F22" i="27" s="1"/>
  <c r="F23" i="27" s="1"/>
  <c r="F24" i="27" s="1"/>
  <c r="F25" i="27" s="1"/>
  <c r="F26" i="27" s="1"/>
  <c r="F27" i="27" s="1"/>
  <c r="F28" i="27" s="1"/>
  <c r="F29" i="27" s="1"/>
  <c r="F34" i="27" s="1"/>
  <c r="F35" i="27" s="1"/>
  <c r="F36" i="27" s="1"/>
  <c r="F37" i="27" s="1"/>
  <c r="F38" i="27" s="1"/>
  <c r="F39" i="27" s="1"/>
  <c r="F40" i="27" s="1"/>
  <c r="F41" i="27" s="1"/>
  <c r="F42" i="27" s="1"/>
  <c r="F43" i="27" s="1"/>
  <c r="F44" i="27" s="1"/>
  <c r="F45" i="27" s="1"/>
  <c r="F46" i="27" s="1"/>
  <c r="F47" i="27" s="1"/>
  <c r="F48" i="27" s="1"/>
  <c r="F49" i="27" s="1"/>
  <c r="F50" i="27" s="1"/>
  <c r="F51" i="27" s="1"/>
  <c r="F52" i="27" s="1"/>
  <c r="F53" i="27" s="1"/>
  <c r="F54" i="27" s="1"/>
  <c r="C25" i="29" l="1"/>
  <c r="C26" i="29"/>
  <c r="C22" i="29"/>
  <c r="C21" i="29"/>
  <c r="C24" i="29"/>
  <c r="C29" i="29"/>
  <c r="H31" i="29"/>
  <c r="E94" i="28"/>
  <c r="E98" i="28" s="1"/>
  <c r="E100" i="28" s="1"/>
  <c r="E23" i="28" s="1"/>
  <c r="C30" i="29"/>
  <c r="C23" i="29"/>
  <c r="C27" i="29"/>
  <c r="C20" i="29"/>
  <c r="E60" i="28"/>
  <c r="E15" i="28" s="1"/>
  <c r="A24" i="28"/>
  <c r="A25" i="28" s="1"/>
  <c r="G25" i="28"/>
  <c r="G13" i="28"/>
  <c r="A56" i="28"/>
  <c r="A57" i="28" s="1"/>
  <c r="A58" i="28" s="1"/>
  <c r="A59" i="28" s="1"/>
  <c r="A60" i="28" s="1"/>
  <c r="E65" i="28"/>
  <c r="E17" i="28" s="1"/>
  <c r="E70" i="28"/>
  <c r="E19" i="28" s="1"/>
  <c r="C41" i="27"/>
  <c r="C49" i="27" s="1"/>
  <c r="C53" i="27" s="1"/>
  <c r="A17" i="27"/>
  <c r="A18" i="27" s="1"/>
  <c r="A19" i="27" s="1"/>
  <c r="A20" i="27" s="1"/>
  <c r="E39" i="27"/>
  <c r="C18" i="27"/>
  <c r="C24" i="27" s="1"/>
  <c r="C28" i="27" s="1"/>
  <c r="E25" i="28" l="1"/>
  <c r="E27" i="28" s="1"/>
  <c r="A26" i="28"/>
  <c r="A27" i="28" s="1"/>
  <c r="A28" i="28" s="1"/>
  <c r="A29" i="28" s="1"/>
  <c r="G27" i="28"/>
  <c r="G15" i="28"/>
  <c r="A61" i="28"/>
  <c r="A62" i="28" s="1"/>
  <c r="A63" i="28" s="1"/>
  <c r="A64" i="28" s="1"/>
  <c r="A65" i="28" s="1"/>
  <c r="E43" i="27"/>
  <c r="A21" i="27"/>
  <c r="A22" i="27" s="1"/>
  <c r="E29" i="28" l="1"/>
  <c r="E34" i="28" s="1"/>
  <c r="E36" i="28" s="1"/>
  <c r="A30" i="28"/>
  <c r="A31" i="28" s="1"/>
  <c r="A32" i="28" s="1"/>
  <c r="G34" i="28"/>
  <c r="G29" i="28"/>
  <c r="A66" i="28"/>
  <c r="A67" i="28" s="1"/>
  <c r="A68" i="28" s="1"/>
  <c r="A69" i="28" s="1"/>
  <c r="A70" i="28" s="1"/>
  <c r="G17" i="28"/>
  <c r="E45" i="27"/>
  <c r="A23" i="27"/>
  <c r="A24" i="27" s="1"/>
  <c r="A25" i="27" s="1"/>
  <c r="A26" i="27" s="1"/>
  <c r="A71" i="28" l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G19" i="28"/>
  <c r="A33" i="28"/>
  <c r="A34" i="28" s="1"/>
  <c r="A35" i="28" s="1"/>
  <c r="A36" i="28" s="1"/>
  <c r="G36" i="28"/>
  <c r="E47" i="27"/>
  <c r="A27" i="27"/>
  <c r="A28" i="27" s="1"/>
  <c r="A29" i="27" s="1"/>
  <c r="A34" i="27" s="1"/>
  <c r="A35" i="27" s="1"/>
  <c r="G21" i="28" l="1"/>
  <c r="A84" i="28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G23" i="28" s="1"/>
  <c r="A36" i="27"/>
  <c r="A37" i="27" s="1"/>
  <c r="A38" i="27" s="1"/>
  <c r="A39" i="27" s="1"/>
  <c r="A40" i="27" s="1"/>
  <c r="A41" i="27" s="1"/>
  <c r="E41" i="27"/>
  <c r="A42" i="27" l="1"/>
  <c r="A43" i="27" s="1"/>
  <c r="A44" i="27" s="1"/>
  <c r="A45" i="27" s="1"/>
  <c r="A46" i="27" s="1"/>
  <c r="A47" i="27" s="1"/>
  <c r="A48" i="27" s="1"/>
  <c r="A49" i="27" s="1"/>
  <c r="E49" i="27" l="1"/>
  <c r="A50" i="27"/>
  <c r="A51" i="27" s="1"/>
  <c r="A52" i="27" s="1"/>
  <c r="A53" i="27" s="1"/>
  <c r="A54" i="27" s="1"/>
  <c r="E53" i="27" l="1"/>
  <c r="H15" i="18" l="1"/>
  <c r="E43" i="19"/>
  <c r="E42" i="19"/>
  <c r="E41" i="19"/>
  <c r="E40" i="19"/>
  <c r="E39" i="19"/>
  <c r="E38" i="19"/>
  <c r="E37" i="19"/>
  <c r="E36" i="19"/>
  <c r="E35" i="19"/>
  <c r="E34" i="19"/>
  <c r="E33" i="19"/>
  <c r="E25" i="17" l="1"/>
  <c r="E24" i="32"/>
  <c r="C51" i="16"/>
  <c r="C47" i="16"/>
  <c r="C26" i="16"/>
  <c r="C19" i="26" l="1"/>
  <c r="C20" i="26" s="1"/>
  <c r="C21" i="26" s="1"/>
  <c r="C22" i="26" s="1"/>
  <c r="C23" i="26" s="1"/>
  <c r="C24" i="26" s="1"/>
  <c r="C25" i="26" s="1"/>
  <c r="C26" i="26" s="1"/>
  <c r="C27" i="26" s="1"/>
  <c r="C28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I11" i="26"/>
  <c r="I12" i="26" s="1"/>
  <c r="I13" i="26" s="1"/>
  <c r="I14" i="26" s="1"/>
  <c r="I15" i="26" s="1"/>
  <c r="I16" i="26" s="1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I52" i="26" s="1"/>
  <c r="I53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E32" i="16" l="1"/>
  <c r="C32" i="16"/>
  <c r="F87" i="21" l="1"/>
  <c r="C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C81" i="21"/>
  <c r="C16" i="21" s="1"/>
  <c r="E87" i="13" s="1"/>
  <c r="F66" i="21"/>
  <c r="C80" i="21"/>
  <c r="C15" i="21" s="1"/>
  <c r="E85" i="13" s="1"/>
  <c r="F65" i="21"/>
  <c r="F64" i="21"/>
  <c r="C78" i="21"/>
  <c r="F63" i="21"/>
  <c r="B55" i="21"/>
  <c r="B54" i="21"/>
  <c r="C47" i="21"/>
  <c r="C42" i="21"/>
  <c r="C27" i="21"/>
  <c r="C22" i="21"/>
  <c r="A13" i="21"/>
  <c r="F12" i="2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F49" i="21" s="1"/>
  <c r="B56" i="21"/>
  <c r="G147" i="11"/>
  <c r="B147" i="11"/>
  <c r="B146" i="11"/>
  <c r="G145" i="11"/>
  <c r="G144" i="11"/>
  <c r="B144" i="11"/>
  <c r="B143" i="11"/>
  <c r="G135" i="11"/>
  <c r="B135" i="11"/>
  <c r="B132" i="11"/>
  <c r="B131" i="11"/>
  <c r="J127" i="11"/>
  <c r="J128" i="11" s="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A127" i="11"/>
  <c r="A128" i="11" s="1"/>
  <c r="A129" i="11" s="1"/>
  <c r="A130" i="11" s="1"/>
  <c r="A131" i="11" s="1"/>
  <c r="G99" i="11"/>
  <c r="J82" i="1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J111" i="11" s="1"/>
  <c r="A82" i="11"/>
  <c r="A83" i="11" s="1"/>
  <c r="A84" i="11" s="1"/>
  <c r="A85" i="11" s="1"/>
  <c r="A86" i="11" s="1"/>
  <c r="D64" i="11"/>
  <c r="C64" i="11"/>
  <c r="G63" i="11"/>
  <c r="G62" i="11"/>
  <c r="G61" i="11"/>
  <c r="E50" i="11"/>
  <c r="C49" i="11"/>
  <c r="G40" i="11"/>
  <c r="C50" i="11" s="1"/>
  <c r="G33" i="11"/>
  <c r="E49" i="11" s="1"/>
  <c r="G26" i="11"/>
  <c r="G18" i="11"/>
  <c r="C48" i="11" s="1"/>
  <c r="J13" i="1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A13" i="11"/>
  <c r="A14" i="11" s="1"/>
  <c r="A15" i="11" s="1"/>
  <c r="A16" i="11" s="1"/>
  <c r="A17" i="11" s="1"/>
  <c r="A18" i="11" s="1"/>
  <c r="A19" i="11" s="1"/>
  <c r="A20" i="11" s="1"/>
  <c r="A21" i="11" s="1"/>
  <c r="J12" i="11"/>
  <c r="B120" i="11"/>
  <c r="M13" i="12"/>
  <c r="L13" i="12"/>
  <c r="K13" i="12"/>
  <c r="I13" i="12"/>
  <c r="H13" i="12"/>
  <c r="N12" i="12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F13" i="12" s="1"/>
  <c r="C20" i="12"/>
  <c r="A51" i="13"/>
  <c r="A52" i="13" s="1"/>
  <c r="A50" i="13"/>
  <c r="H49" i="13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B44" i="13"/>
  <c r="B42" i="13"/>
  <c r="A12" i="13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3" i="13"/>
  <c r="B41" i="13"/>
  <c r="B40" i="13"/>
  <c r="B52" i="15"/>
  <c r="C46" i="15"/>
  <c r="B46" i="15"/>
  <c r="C44" i="15"/>
  <c r="C45" i="16" s="1"/>
  <c r="B44" i="15"/>
  <c r="B42" i="15"/>
  <c r="B38" i="15"/>
  <c r="B36" i="15"/>
  <c r="E34" i="15"/>
  <c r="B34" i="15"/>
  <c r="E32" i="15"/>
  <c r="C32" i="15"/>
  <c r="C38" i="15"/>
  <c r="C39" i="16" s="1"/>
  <c r="A12" i="15"/>
  <c r="A13" i="15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I143" i="11" l="1"/>
  <c r="A132" i="11"/>
  <c r="A133" i="11" s="1"/>
  <c r="I144" i="11" s="1"/>
  <c r="G66" i="11"/>
  <c r="G131" i="11" s="1"/>
  <c r="G28" i="11"/>
  <c r="E48" i="11" s="1"/>
  <c r="G64" i="11"/>
  <c r="G154" i="11" s="1"/>
  <c r="B75" i="11"/>
  <c r="C79" i="21"/>
  <c r="C14" i="21" s="1"/>
  <c r="C75" i="21"/>
  <c r="E89" i="13"/>
  <c r="H31" i="12"/>
  <c r="C13" i="21"/>
  <c r="A14" i="21"/>
  <c r="A15" i="21" s="1"/>
  <c r="A16" i="21" s="1"/>
  <c r="A17" i="21" s="1"/>
  <c r="C68" i="21"/>
  <c r="A22" i="11"/>
  <c r="A23" i="11" s="1"/>
  <c r="A24" i="11" s="1"/>
  <c r="A25" i="11" s="1"/>
  <c r="A26" i="11" s="1"/>
  <c r="A87" i="11"/>
  <c r="A88" i="11" s="1"/>
  <c r="I98" i="11"/>
  <c r="G137" i="11"/>
  <c r="G146" i="11" s="1"/>
  <c r="G143" i="11"/>
  <c r="C51" i="11"/>
  <c r="D50" i="11" s="1"/>
  <c r="G50" i="11" s="1"/>
  <c r="I18" i="11"/>
  <c r="A134" i="11"/>
  <c r="C31" i="12"/>
  <c r="C30" i="12"/>
  <c r="C29" i="12"/>
  <c r="C28" i="12"/>
  <c r="C27" i="12"/>
  <c r="C26" i="12"/>
  <c r="C25" i="12"/>
  <c r="C24" i="12"/>
  <c r="C23" i="12"/>
  <c r="C22" i="12"/>
  <c r="C21" i="12"/>
  <c r="G32" i="12"/>
  <c r="H24" i="12"/>
  <c r="H20" i="12"/>
  <c r="H25" i="12"/>
  <c r="E32" i="12"/>
  <c r="A53" i="13"/>
  <c r="A54" i="13" s="1"/>
  <c r="G24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14" i="15"/>
  <c r="A15" i="15" s="1"/>
  <c r="C34" i="15"/>
  <c r="C35" i="16" s="1"/>
  <c r="E36" i="15"/>
  <c r="C17" i="21" l="1"/>
  <c r="G149" i="11"/>
  <c r="G152" i="11" s="1"/>
  <c r="G156" i="11" s="1"/>
  <c r="C82" i="21"/>
  <c r="F32" i="12"/>
  <c r="A18" i="21"/>
  <c r="A19" i="21" s="1"/>
  <c r="A20" i="21" s="1"/>
  <c r="A89" i="11"/>
  <c r="I99" i="11"/>
  <c r="I28" i="11"/>
  <c r="A27" i="11"/>
  <c r="A28" i="11" s="1"/>
  <c r="I145" i="11"/>
  <c r="A135" i="11"/>
  <c r="A136" i="11" s="1"/>
  <c r="A137" i="11" s="1"/>
  <c r="D49" i="11"/>
  <c r="G49" i="11" s="1"/>
  <c r="G53" i="11" s="1"/>
  <c r="G86" i="11" s="1"/>
  <c r="D48" i="11"/>
  <c r="I26" i="11"/>
  <c r="H27" i="12"/>
  <c r="H26" i="12"/>
  <c r="H29" i="12"/>
  <c r="H23" i="12"/>
  <c r="H21" i="12"/>
  <c r="H30" i="12"/>
  <c r="H28" i="12"/>
  <c r="H22" i="12"/>
  <c r="G28" i="13"/>
  <c r="G26" i="13"/>
  <c r="A25" i="13"/>
  <c r="A26" i="13" s="1"/>
  <c r="A27" i="13" s="1"/>
  <c r="A28" i="13" s="1"/>
  <c r="G12" i="13"/>
  <c r="A55" i="13"/>
  <c r="A56" i="13" s="1"/>
  <c r="A57" i="13" s="1"/>
  <c r="A16" i="15"/>
  <c r="A17" i="15" s="1"/>
  <c r="E38" i="15"/>
  <c r="E64" i="13" l="1"/>
  <c r="E16" i="13" s="1"/>
  <c r="E69" i="13"/>
  <c r="E18" i="13" s="1"/>
  <c r="H32" i="12"/>
  <c r="A21" i="21"/>
  <c r="A22" i="21" s="1"/>
  <c r="I48" i="11"/>
  <c r="A29" i="11"/>
  <c r="A30" i="11" s="1"/>
  <c r="A31" i="11" s="1"/>
  <c r="D51" i="11"/>
  <c r="G48" i="11"/>
  <c r="G51" i="11" s="1"/>
  <c r="G109" i="11" s="1"/>
  <c r="G98" i="11"/>
  <c r="I146" i="11"/>
  <c r="A138" i="1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90" i="11"/>
  <c r="I100" i="11"/>
  <c r="A58" i="13"/>
  <c r="A59" i="13" s="1"/>
  <c r="G33" i="13"/>
  <c r="A29" i="13"/>
  <c r="A30" i="13" s="1"/>
  <c r="A31" i="13" s="1"/>
  <c r="A18" i="15"/>
  <c r="A19" i="15" s="1"/>
  <c r="A23" i="21" l="1"/>
  <c r="A24" i="21" s="1"/>
  <c r="A25" i="21" s="1"/>
  <c r="I152" i="11"/>
  <c r="I135" i="11"/>
  <c r="A91" i="11"/>
  <c r="A92" i="11" s="1"/>
  <c r="I37" i="11"/>
  <c r="A32" i="11"/>
  <c r="A153" i="11"/>
  <c r="A154" i="11" s="1"/>
  <c r="A155" i="11" s="1"/>
  <c r="A156" i="11" s="1"/>
  <c r="A32" i="13"/>
  <c r="A33" i="13" s="1"/>
  <c r="A34" i="13" s="1"/>
  <c r="A35" i="13" s="1"/>
  <c r="G35" i="13"/>
  <c r="G14" i="13"/>
  <c r="A60" i="13"/>
  <c r="A61" i="13" s="1"/>
  <c r="A62" i="13" s="1"/>
  <c r="A20" i="15"/>
  <c r="A21" i="15" s="1"/>
  <c r="E42" i="15"/>
  <c r="A26" i="21" l="1"/>
  <c r="A27" i="21" s="1"/>
  <c r="I156" i="11"/>
  <c r="I101" i="11"/>
  <c r="A93" i="11"/>
  <c r="A94" i="11" s="1"/>
  <c r="A95" i="11" s="1"/>
  <c r="A96" i="11" s="1"/>
  <c r="A97" i="11" s="1"/>
  <c r="A98" i="11" s="1"/>
  <c r="A99" i="11" s="1"/>
  <c r="A100" i="11" s="1"/>
  <c r="A101" i="11" s="1"/>
  <c r="A102" i="11" s="1"/>
  <c r="A33" i="11"/>
  <c r="I33" i="11"/>
  <c r="A63" i="13"/>
  <c r="A64" i="13" s="1"/>
  <c r="E44" i="15"/>
  <c r="A22" i="15"/>
  <c r="A23" i="15" s="1"/>
  <c r="A28" i="21" l="1"/>
  <c r="A29" i="21" s="1"/>
  <c r="A30" i="21" s="1"/>
  <c r="I147" i="11"/>
  <c r="A103" i="11"/>
  <c r="A104" i="11" s="1"/>
  <c r="A34" i="11"/>
  <c r="A35" i="11" s="1"/>
  <c r="A36" i="11" s="1"/>
  <c r="I49" i="11"/>
  <c r="G16" i="13"/>
  <c r="A65" i="13"/>
  <c r="A66" i="13" s="1"/>
  <c r="A67" i="13" s="1"/>
  <c r="A24" i="15"/>
  <c r="A25" i="15" s="1"/>
  <c r="A31" i="21" l="1"/>
  <c r="A32" i="21" s="1"/>
  <c r="A33" i="21" s="1"/>
  <c r="A37" i="11"/>
  <c r="A38" i="11" s="1"/>
  <c r="A39" i="11" s="1"/>
  <c r="A40" i="11" s="1"/>
  <c r="A41" i="11" s="1"/>
  <c r="A42" i="11" s="1"/>
  <c r="A43" i="11" s="1"/>
  <c r="A105" i="11"/>
  <c r="A106" i="11" s="1"/>
  <c r="A107" i="11" s="1"/>
  <c r="I107" i="11"/>
  <c r="A68" i="13"/>
  <c r="A69" i="13" s="1"/>
  <c r="A26" i="15"/>
  <c r="A27" i="15" s="1"/>
  <c r="A28" i="15" s="1"/>
  <c r="A33" i="15" s="1"/>
  <c r="A34" i="15" s="1"/>
  <c r="E46" i="15"/>
  <c r="A34" i="21" l="1"/>
  <c r="A35" i="21" s="1"/>
  <c r="A36" i="21" s="1"/>
  <c r="A37" i="21" s="1"/>
  <c r="A38" i="21" s="1"/>
  <c r="A39" i="21" s="1"/>
  <c r="A40" i="21" s="1"/>
  <c r="A44" i="11"/>
  <c r="A45" i="11" s="1"/>
  <c r="A46" i="11" s="1"/>
  <c r="A47" i="11" s="1"/>
  <c r="A48" i="11" s="1"/>
  <c r="I50" i="11"/>
  <c r="A108" i="11"/>
  <c r="A109" i="11" s="1"/>
  <c r="A110" i="11" s="1"/>
  <c r="A111" i="11" s="1"/>
  <c r="I111" i="11"/>
  <c r="I40" i="11"/>
  <c r="G18" i="13"/>
  <c r="A70" i="13"/>
  <c r="A71" i="13" s="1"/>
  <c r="A72" i="13" s="1"/>
  <c r="A73" i="13" s="1"/>
  <c r="A35" i="15"/>
  <c r="A36" i="15" s="1"/>
  <c r="A37" i="15" s="1"/>
  <c r="A38" i="15" s="1"/>
  <c r="A39" i="15" s="1"/>
  <c r="A40" i="15" s="1"/>
  <c r="A41" i="21" l="1"/>
  <c r="A42" i="21" s="1"/>
  <c r="A43" i="21" s="1"/>
  <c r="A44" i="21" s="1"/>
  <c r="A45" i="21" s="1"/>
  <c r="A49" i="11"/>
  <c r="A74" i="13"/>
  <c r="A75" i="13" s="1"/>
  <c r="A76" i="13" s="1"/>
  <c r="A41" i="15"/>
  <c r="A42" i="15" s="1"/>
  <c r="A43" i="15" s="1"/>
  <c r="A44" i="15" s="1"/>
  <c r="A45" i="15" s="1"/>
  <c r="A46" i="15" s="1"/>
  <c r="A47" i="15" s="1"/>
  <c r="A48" i="15" s="1"/>
  <c r="E40" i="15"/>
  <c r="A46" i="21" l="1"/>
  <c r="A47" i="21" s="1"/>
  <c r="A48" i="21" s="1"/>
  <c r="A49" i="21" s="1"/>
  <c r="A50" i="11"/>
  <c r="I53" i="11"/>
  <c r="A77" i="13"/>
  <c r="A78" i="13" s="1"/>
  <c r="A49" i="15"/>
  <c r="A50" i="15" s="1"/>
  <c r="A51" i="15" s="1"/>
  <c r="A52" i="15" s="1"/>
  <c r="A53" i="15" s="1"/>
  <c r="E48" i="15"/>
  <c r="A51" i="11" l="1"/>
  <c r="I51" i="11"/>
  <c r="A79" i="13"/>
  <c r="A80" i="13" s="1"/>
  <c r="E52" i="15"/>
  <c r="I109" i="11" l="1"/>
  <c r="A52" i="11"/>
  <c r="A53" i="11" s="1"/>
  <c r="A81" i="13"/>
  <c r="A82" i="13" s="1"/>
  <c r="A54" i="11" l="1"/>
  <c r="A55" i="11" s="1"/>
  <c r="A56" i="11" s="1"/>
  <c r="A57" i="11" s="1"/>
  <c r="A58" i="11" s="1"/>
  <c r="A59" i="11" s="1"/>
  <c r="A60" i="11" s="1"/>
  <c r="A61" i="11" s="1"/>
  <c r="G20" i="13"/>
  <c r="A83" i="13"/>
  <c r="A84" i="13" s="1"/>
  <c r="A85" i="13" s="1"/>
  <c r="A62" i="11" l="1"/>
  <c r="A86" i="13"/>
  <c r="A87" i="13" s="1"/>
  <c r="A88" i="13" s="1"/>
  <c r="A89" i="13" s="1"/>
  <c r="A63" i="11" l="1"/>
  <c r="A90" i="13"/>
  <c r="A91" i="13" s="1"/>
  <c r="A92" i="13" s="1"/>
  <c r="A93" i="13" s="1"/>
  <c r="A64" i="11" l="1"/>
  <c r="I64" i="11"/>
  <c r="I66" i="11"/>
  <c r="A94" i="13"/>
  <c r="A95" i="13" s="1"/>
  <c r="A96" i="13" s="1"/>
  <c r="A97" i="13" s="1"/>
  <c r="A65" i="11" l="1"/>
  <c r="A66" i="11" s="1"/>
  <c r="I131" i="11" s="1"/>
  <c r="I154" i="11"/>
  <c r="A98" i="13"/>
  <c r="A99" i="13" s="1"/>
  <c r="G22" i="13" s="1"/>
  <c r="E55" i="18" l="1"/>
  <c r="E53" i="18"/>
  <c r="E50" i="18"/>
  <c r="E21" i="18" s="1"/>
  <c r="F21" i="18" s="1"/>
  <c r="J21" i="18" s="1"/>
  <c r="E44" i="18"/>
  <c r="E42" i="18"/>
  <c r="E39" i="18"/>
  <c r="E57" i="18" s="1"/>
  <c r="F30" i="18"/>
  <c r="J30" i="18" s="1"/>
  <c r="D28" i="18"/>
  <c r="D32" i="18" s="1"/>
  <c r="E31" i="19" s="1"/>
  <c r="E26" i="18"/>
  <c r="F26" i="18" s="1"/>
  <c r="J26" i="18" s="1"/>
  <c r="F25" i="18"/>
  <c r="J25" i="18" s="1"/>
  <c r="F24" i="18"/>
  <c r="J24" i="18" s="1"/>
  <c r="E24" i="18"/>
  <c r="E23" i="18"/>
  <c r="F23" i="18" s="1"/>
  <c r="J23" i="18" s="1"/>
  <c r="F22" i="18"/>
  <c r="J22" i="18" s="1"/>
  <c r="E20" i="18"/>
  <c r="F20" i="18" s="1"/>
  <c r="J20" i="18" s="1"/>
  <c r="E19" i="18"/>
  <c r="F19" i="18" s="1"/>
  <c r="J19" i="18" s="1"/>
  <c r="E18" i="18"/>
  <c r="F18" i="18" s="1"/>
  <c r="J18" i="18" s="1"/>
  <c r="F17" i="18"/>
  <c r="H28" i="18"/>
  <c r="H32" i="18" s="1"/>
  <c r="E44" i="19" s="1"/>
  <c r="E15" i="18"/>
  <c r="F15" i="18" s="1"/>
  <c r="J15" i="18" s="1"/>
  <c r="F14" i="18"/>
  <c r="J14" i="18" s="1"/>
  <c r="L13" i="18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L67" i="18" s="1"/>
  <c r="E13" i="18"/>
  <c r="F13" i="18" s="1"/>
  <c r="J13" i="18" s="1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L12" i="18"/>
  <c r="E12" i="18"/>
  <c r="B53" i="14"/>
  <c r="C47" i="14"/>
  <c r="B47" i="14"/>
  <c r="B45" i="14"/>
  <c r="B43" i="14"/>
  <c r="B39" i="14"/>
  <c r="B37" i="14"/>
  <c r="D35" i="14"/>
  <c r="B35" i="14"/>
  <c r="D33" i="14"/>
  <c r="C33" i="14"/>
  <c r="C45" i="14"/>
  <c r="C43" i="14"/>
  <c r="C39" i="14"/>
  <c r="A13" i="14"/>
  <c r="A14" i="14" s="1"/>
  <c r="E12" i="14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E54" i="14" s="1"/>
  <c r="C35" i="14"/>
  <c r="E46" i="19" l="1"/>
  <c r="J17" i="18"/>
  <c r="E47" i="19"/>
  <c r="E28" i="18"/>
  <c r="E32" i="18" s="1"/>
  <c r="K28" i="18"/>
  <c r="A27" i="18"/>
  <c r="A28" i="18" s="1"/>
  <c r="F12" i="18"/>
  <c r="C18" i="14"/>
  <c r="C24" i="14" s="1"/>
  <c r="C28" i="14" s="1"/>
  <c r="D37" i="14"/>
  <c r="A15" i="14"/>
  <c r="A16" i="14" s="1"/>
  <c r="C37" i="14"/>
  <c r="C41" i="14" s="1"/>
  <c r="C49" i="14" s="1"/>
  <c r="C53" i="14" s="1"/>
  <c r="J12" i="18" l="1"/>
  <c r="J28" i="18" s="1"/>
  <c r="J32" i="18" s="1"/>
  <c r="F28" i="18"/>
  <c r="F32" i="18" s="1"/>
  <c r="A29" i="18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K32" i="18"/>
  <c r="D39" i="14"/>
  <c r="A17" i="14"/>
  <c r="A18" i="14" s="1"/>
  <c r="A19" i="14" l="1"/>
  <c r="A20" i="14" s="1"/>
  <c r="D43" i="14" l="1"/>
  <c r="A21" i="14"/>
  <c r="A22" i="14" s="1"/>
  <c r="A23" i="14" l="1"/>
  <c r="A24" i="14" s="1"/>
  <c r="D45" i="14"/>
  <c r="A25" i="14" l="1"/>
  <c r="A26" i="14" s="1"/>
  <c r="D47" i="14" l="1"/>
  <c r="A27" i="14"/>
  <c r="A28" i="14" s="1"/>
  <c r="A29" i="14" s="1"/>
  <c r="A34" i="14" s="1"/>
  <c r="A35" i="14" s="1"/>
  <c r="A36" i="14" l="1"/>
  <c r="A37" i="14" s="1"/>
  <c r="A38" i="14" s="1"/>
  <c r="A39" i="14" s="1"/>
  <c r="A40" i="14" s="1"/>
  <c r="A41" i="14" s="1"/>
  <c r="D41" i="14" l="1"/>
  <c r="A42" i="14"/>
  <c r="A43" i="14" s="1"/>
  <c r="A44" i="14" s="1"/>
  <c r="A45" i="14" s="1"/>
  <c r="A46" i="14" s="1"/>
  <c r="A47" i="14" s="1"/>
  <c r="A48" i="14" s="1"/>
  <c r="A49" i="14" s="1"/>
  <c r="D49" i="14" l="1"/>
  <c r="A50" i="14"/>
  <c r="A51" i="14" s="1"/>
  <c r="A52" i="14" s="1"/>
  <c r="A53" i="14" s="1"/>
  <c r="A54" i="14" s="1"/>
  <c r="D53" i="14" l="1"/>
  <c r="G12" i="1"/>
  <c r="G13" i="1" s="1"/>
  <c r="G14" i="1" s="1"/>
  <c r="A12" i="1"/>
  <c r="A13" i="1" s="1"/>
  <c r="A14" i="1" s="1"/>
  <c r="E59" i="19" l="1"/>
  <c r="E61" i="19"/>
  <c r="E69" i="19" s="1"/>
  <c r="E48" i="19"/>
  <c r="E50" i="19" s="1"/>
  <c r="E28" i="19"/>
  <c r="A12" i="19"/>
  <c r="A13" i="19" s="1"/>
  <c r="A14" i="19" s="1"/>
  <c r="A15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l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H71" i="19" s="1"/>
  <c r="E22" i="32"/>
  <c r="E25" i="32" s="1"/>
  <c r="E29" i="32" s="1"/>
  <c r="E52" i="13"/>
  <c r="E54" i="13" s="1"/>
  <c r="E12" i="13" s="1"/>
  <c r="E71" i="19"/>
  <c r="E51" i="19" s="1"/>
  <c r="E52" i="19" s="1"/>
  <c r="E23" i="32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E75" i="13" l="1"/>
  <c r="C31" i="34"/>
  <c r="E57" i="13"/>
  <c r="E59" i="13" s="1"/>
  <c r="E14" i="13" s="1"/>
  <c r="A32" i="19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l="1"/>
  <c r="A49" i="19" l="1"/>
  <c r="A50" i="19" s="1"/>
  <c r="A51" i="19" l="1"/>
  <c r="A52" i="19" s="1"/>
  <c r="A53" i="19" s="1"/>
  <c r="A54" i="19" s="1"/>
  <c r="A55" i="19" s="1"/>
  <c r="A56" i="19" l="1"/>
  <c r="A57" i="19" s="1"/>
  <c r="A58" i="19" s="1"/>
  <c r="A59" i="19" s="1"/>
  <c r="A60" i="19" l="1"/>
  <c r="A61" i="19" s="1"/>
  <c r="A62" i="19" l="1"/>
  <c r="A63" i="19" s="1"/>
  <c r="A64" i="19" s="1"/>
  <c r="A65" i="19" s="1"/>
  <c r="A66" i="19" s="1"/>
  <c r="A67" i="19" s="1"/>
  <c r="A68" i="19" s="1"/>
  <c r="A69" i="19" s="1"/>
  <c r="A70" i="19" l="1"/>
  <c r="A71" i="19" s="1"/>
  <c r="E28" i="17" l="1"/>
  <c r="G20" i="17"/>
  <c r="A13" i="17"/>
  <c r="A14" i="17" s="1"/>
  <c r="J12" i="17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G16" i="17"/>
  <c r="C16" i="16"/>
  <c r="E74" i="13" l="1"/>
  <c r="C31" i="21"/>
  <c r="E73" i="13"/>
  <c r="C30" i="21"/>
  <c r="E26" i="17"/>
  <c r="E30" i="17" s="1"/>
  <c r="C32" i="34" s="1"/>
  <c r="C36" i="34" s="1"/>
  <c r="G88" i="33" s="1"/>
  <c r="C12" i="16"/>
  <c r="C22" i="16"/>
  <c r="A15" i="17"/>
  <c r="A16" i="17" s="1"/>
  <c r="A17" i="17" s="1"/>
  <c r="A18" i="17" s="1"/>
  <c r="A19" i="17" s="1"/>
  <c r="A20" i="17" s="1"/>
  <c r="A21" i="17" s="1"/>
  <c r="A22" i="17" s="1"/>
  <c r="A23" i="17" s="1"/>
  <c r="E76" i="13" l="1"/>
  <c r="C32" i="21"/>
  <c r="C33" i="21" s="1"/>
  <c r="C37" i="21" s="1"/>
  <c r="A24" i="17"/>
  <c r="A25" i="17" s="1"/>
  <c r="A26" i="17" s="1"/>
  <c r="G89" i="11" l="1"/>
  <c r="G100" i="11" s="1"/>
  <c r="A27" i="17"/>
  <c r="A28" i="17" s="1"/>
  <c r="A29" i="17" s="1"/>
  <c r="A30" i="17" s="1"/>
  <c r="G92" i="11" l="1"/>
  <c r="G101" i="11" s="1"/>
  <c r="G99" i="33"/>
  <c r="G91" i="33"/>
  <c r="G100" i="33" s="1"/>
  <c r="G104" i="11" l="1"/>
  <c r="G107" i="11" s="1"/>
  <c r="G111" i="11" s="1"/>
  <c r="G103" i="33"/>
  <c r="G106" i="33" s="1"/>
  <c r="G110" i="33" s="1"/>
  <c r="E78" i="13" s="1"/>
  <c r="G51" i="16"/>
  <c r="G33" i="16"/>
  <c r="G32" i="16"/>
  <c r="E33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E91" i="13" l="1"/>
  <c r="E93" i="13" s="1"/>
  <c r="E97" i="13" s="1"/>
  <c r="E99" i="13" s="1"/>
  <c r="E22" i="13" s="1"/>
  <c r="E80" i="13"/>
  <c r="E82" i="13" s="1"/>
  <c r="E20" i="13" s="1"/>
  <c r="E24" i="13" s="1"/>
  <c r="E26" i="13" s="1"/>
  <c r="E28" i="13" s="1"/>
  <c r="E33" i="13" s="1"/>
  <c r="E35" i="13" s="1"/>
  <c r="C13" i="15" s="1"/>
  <c r="C14" i="16" s="1"/>
  <c r="G14" i="16" s="1"/>
  <c r="G47" i="16"/>
  <c r="G45" i="16"/>
  <c r="E41" i="16"/>
  <c r="E49" i="16" s="1"/>
  <c r="E53" i="16" s="1"/>
  <c r="G39" i="16"/>
  <c r="E18" i="16"/>
  <c r="E24" i="16" s="1"/>
  <c r="E28" i="16" s="1"/>
  <c r="G12" i="16"/>
  <c r="G22" i="16"/>
  <c r="G16" i="16"/>
  <c r="A15" i="16"/>
  <c r="A16" i="16" s="1"/>
  <c r="C36" i="15" l="1"/>
  <c r="C17" i="15"/>
  <c r="C18" i="16"/>
  <c r="C40" i="15"/>
  <c r="C37" i="16"/>
  <c r="G37" i="16" s="1"/>
  <c r="G35" i="16"/>
  <c r="G18" i="16"/>
  <c r="A17" i="16"/>
  <c r="A18" i="16" s="1"/>
  <c r="H18" i="16"/>
  <c r="C41" i="16" l="1"/>
  <c r="D28" i="12"/>
  <c r="I28" i="12" s="1"/>
  <c r="D19" i="29"/>
  <c r="D23" i="12"/>
  <c r="I23" i="12" s="1"/>
  <c r="D29" i="12"/>
  <c r="I29" i="12" s="1"/>
  <c r="D22" i="12"/>
  <c r="I22" i="12" s="1"/>
  <c r="D27" i="12"/>
  <c r="I27" i="12" s="1"/>
  <c r="D24" i="12"/>
  <c r="I24" i="12" s="1"/>
  <c r="D21" i="12"/>
  <c r="I21" i="12" s="1"/>
  <c r="D30" i="12"/>
  <c r="I30" i="12" s="1"/>
  <c r="G41" i="16"/>
  <c r="A19" i="16"/>
  <c r="A20" i="16" s="1"/>
  <c r="D31" i="12" l="1"/>
  <c r="I31" i="12" s="1"/>
  <c r="I20" i="12"/>
  <c r="D25" i="12"/>
  <c r="I25" i="12" s="1"/>
  <c r="D26" i="12"/>
  <c r="I26" i="12" s="1"/>
  <c r="D27" i="29"/>
  <c r="I27" i="29" s="1"/>
  <c r="D28" i="29"/>
  <c r="I28" i="29" s="1"/>
  <c r="D24" i="29"/>
  <c r="I24" i="29" s="1"/>
  <c r="D21" i="29"/>
  <c r="I21" i="29" s="1"/>
  <c r="D25" i="29"/>
  <c r="I25" i="29" s="1"/>
  <c r="D23" i="29"/>
  <c r="I23" i="29" s="1"/>
  <c r="D20" i="29"/>
  <c r="I20" i="29" s="1"/>
  <c r="D29" i="29"/>
  <c r="I29" i="29" s="1"/>
  <c r="I19" i="29"/>
  <c r="D22" i="29"/>
  <c r="I22" i="29" s="1"/>
  <c r="D30" i="29"/>
  <c r="I30" i="29" s="1"/>
  <c r="D26" i="29"/>
  <c r="I26" i="29" s="1"/>
  <c r="D32" i="12"/>
  <c r="I32" i="12"/>
  <c r="L20" i="12"/>
  <c r="K20" i="12"/>
  <c r="A21" i="16"/>
  <c r="A22" i="16" s="1"/>
  <c r="H24" i="16" s="1"/>
  <c r="D31" i="29" l="1"/>
  <c r="I31" i="29"/>
  <c r="M19" i="29"/>
  <c r="K19" i="29"/>
  <c r="M20" i="12"/>
  <c r="K21" i="12" s="1"/>
  <c r="L21" i="12" s="1"/>
  <c r="M21" i="12" s="1"/>
  <c r="K22" i="12" s="1"/>
  <c r="L22" i="12" s="1"/>
  <c r="M22" i="12" s="1"/>
  <c r="K23" i="12" s="1"/>
  <c r="L23" i="12" s="1"/>
  <c r="M23" i="12" s="1"/>
  <c r="A23" i="16"/>
  <c r="A24" i="16" s="1"/>
  <c r="N19" i="29" l="1"/>
  <c r="K20" i="29" s="1"/>
  <c r="M20" i="29" s="1"/>
  <c r="K24" i="12"/>
  <c r="L24" i="12" s="1"/>
  <c r="M24" i="12" s="1"/>
  <c r="A25" i="16"/>
  <c r="A26" i="16" s="1"/>
  <c r="N20" i="29" l="1"/>
  <c r="K25" i="12"/>
  <c r="L25" i="12" s="1"/>
  <c r="M25" i="12" s="1"/>
  <c r="A27" i="16"/>
  <c r="A28" i="16" s="1"/>
  <c r="A29" i="16" s="1"/>
  <c r="A34" i="16" s="1"/>
  <c r="A35" i="16" s="1"/>
  <c r="H28" i="16"/>
  <c r="K21" i="29" l="1"/>
  <c r="M21" i="29" s="1"/>
  <c r="K26" i="12"/>
  <c r="L26" i="12" s="1"/>
  <c r="M26" i="12" s="1"/>
  <c r="A36" i="16"/>
  <c r="A37" i="16" s="1"/>
  <c r="A38" i="16" s="1"/>
  <c r="A39" i="16" s="1"/>
  <c r="A40" i="16" s="1"/>
  <c r="A41" i="16" s="1"/>
  <c r="N21" i="29" l="1"/>
  <c r="K27" i="12"/>
  <c r="L27" i="12" s="1"/>
  <c r="M27" i="12" s="1"/>
  <c r="A42" i="16"/>
  <c r="A43" i="16" s="1"/>
  <c r="A44" i="16" s="1"/>
  <c r="A45" i="16" s="1"/>
  <c r="A46" i="16" s="1"/>
  <c r="A47" i="16" s="1"/>
  <c r="A48" i="16" s="1"/>
  <c r="A49" i="16" s="1"/>
  <c r="H41" i="16"/>
  <c r="K22" i="29" l="1"/>
  <c r="M22" i="29" s="1"/>
  <c r="N22" i="29" s="1"/>
  <c r="K28" i="12"/>
  <c r="L28" i="12" s="1"/>
  <c r="A50" i="16"/>
  <c r="A51" i="16" s="1"/>
  <c r="A52" i="16" s="1"/>
  <c r="A53" i="16" s="1"/>
  <c r="A54" i="16" s="1"/>
  <c r="H49" i="16"/>
  <c r="K23" i="29" l="1"/>
  <c r="M23" i="29" s="1"/>
  <c r="N23" i="29" s="1"/>
  <c r="M28" i="12"/>
  <c r="K29" i="12" s="1"/>
  <c r="L29" i="12" s="1"/>
  <c r="M29" i="12" s="1"/>
  <c r="K30" i="12" s="1"/>
  <c r="L30" i="12" s="1"/>
  <c r="M30" i="12" s="1"/>
  <c r="K31" i="12" s="1"/>
  <c r="G15" i="1"/>
  <c r="G16" i="1" s="1"/>
  <c r="G17" i="1" s="1"/>
  <c r="G18" i="1" s="1"/>
  <c r="G19" i="1" s="1"/>
  <c r="G20" i="1" s="1"/>
  <c r="G21" i="1" s="1"/>
  <c r="A15" i="1"/>
  <c r="A16" i="1" s="1"/>
  <c r="A17" i="1" s="1"/>
  <c r="A18" i="1" s="1"/>
  <c r="A19" i="1" s="1"/>
  <c r="A20" i="1" s="1"/>
  <c r="A21" i="1" s="1"/>
  <c r="K24" i="29" l="1"/>
  <c r="M24" i="29" s="1"/>
  <c r="N24" i="29" s="1"/>
  <c r="L31" i="12"/>
  <c r="L32" i="12" s="1"/>
  <c r="K25" i="29" l="1"/>
  <c r="M31" i="12"/>
  <c r="M25" i="29" l="1"/>
  <c r="N25" i="29" s="1"/>
  <c r="K26" i="29" l="1"/>
  <c r="M26" i="29"/>
  <c r="N26" i="29" s="1"/>
  <c r="K27" i="29" l="1"/>
  <c r="M27" i="29" s="1"/>
  <c r="N27" i="29" s="1"/>
  <c r="K28" i="29" s="1"/>
  <c r="M28" i="29" l="1"/>
  <c r="N28" i="29" s="1"/>
  <c r="K29" i="29" l="1"/>
  <c r="M29" i="29" s="1"/>
  <c r="N29" i="29" l="1"/>
  <c r="K30" i="29" s="1"/>
  <c r="M30" i="29" l="1"/>
  <c r="M31" i="29" s="1"/>
  <c r="N30" i="29" l="1"/>
  <c r="C19" i="15" s="1"/>
  <c r="C23" i="15" l="1"/>
  <c r="C27" i="15" s="1"/>
  <c r="C20" i="16"/>
  <c r="C42" i="15"/>
  <c r="G20" i="16" l="1"/>
  <c r="G24" i="16" s="1"/>
  <c r="C24" i="16"/>
  <c r="C28" i="16" s="1"/>
  <c r="G28" i="16" s="1"/>
  <c r="C48" i="15"/>
  <c r="C52" i="15" s="1"/>
  <c r="C43" i="16"/>
  <c r="C49" i="16" l="1"/>
  <c r="C53" i="16" s="1"/>
  <c r="G53" i="16" s="1"/>
  <c r="G43" i="16"/>
  <c r="G49" i="16" s="1"/>
  <c r="D13" i="1"/>
  <c r="D18" i="26"/>
  <c r="F18" i="26" l="1"/>
  <c r="G18" i="26"/>
  <c r="D19" i="26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H18" i="26" l="1"/>
  <c r="F19" i="26" s="1"/>
  <c r="G19" i="26" s="1"/>
  <c r="H19" i="26" s="1"/>
  <c r="F20" i="26" s="1"/>
  <c r="G20" i="26" s="1"/>
  <c r="H20" i="26" s="1"/>
  <c r="F21" i="26" s="1"/>
  <c r="G21" i="26" s="1"/>
  <c r="H21" i="26" s="1"/>
  <c r="F22" i="26" s="1"/>
  <c r="D78" i="26"/>
  <c r="G22" i="26" l="1"/>
  <c r="H22" i="26"/>
  <c r="F23" i="26" s="1"/>
  <c r="G23" i="26" s="1"/>
  <c r="H23" i="26" s="1"/>
  <c r="F24" i="26" s="1"/>
  <c r="G24" i="26" s="1"/>
  <c r="H24" i="26" s="1"/>
  <c r="F25" i="26" s="1"/>
  <c r="G25" i="26" s="1"/>
  <c r="H25" i="26" s="1"/>
  <c r="F26" i="26" s="1"/>
  <c r="G26" i="26" s="1"/>
  <c r="H26" i="26" s="1"/>
  <c r="F27" i="26" s="1"/>
  <c r="G27" i="26" s="1"/>
  <c r="H27" i="26" s="1"/>
  <c r="F28" i="26" s="1"/>
  <c r="G28" i="26" s="1"/>
  <c r="H28" i="26" s="1"/>
  <c r="F29" i="26" s="1"/>
  <c r="G29" i="26" s="1"/>
  <c r="H29" i="26" s="1"/>
  <c r="F30" i="26" s="1"/>
  <c r="G30" i="26" s="1"/>
  <c r="H30" i="26" s="1"/>
  <c r="F31" i="26" s="1"/>
  <c r="G31" i="26" s="1"/>
  <c r="H31" i="26" s="1"/>
  <c r="F32" i="26" s="1"/>
  <c r="G32" i="26" s="1"/>
  <c r="H32" i="26" s="1"/>
  <c r="F33" i="26" s="1"/>
  <c r="G33" i="26" s="1"/>
  <c r="H33" i="26" s="1"/>
  <c r="F34" i="26" s="1"/>
  <c r="G34" i="26" s="1"/>
  <c r="H34" i="26" s="1"/>
  <c r="F35" i="26" s="1"/>
  <c r="G35" i="26" s="1"/>
  <c r="H35" i="26" s="1"/>
  <c r="F36" i="26" s="1"/>
  <c r="G36" i="26" s="1"/>
  <c r="H36" i="26" s="1"/>
  <c r="F37" i="26" s="1"/>
  <c r="G37" i="26" s="1"/>
  <c r="H37" i="26" s="1"/>
  <c r="F38" i="26" l="1"/>
  <c r="G38" i="26" s="1"/>
  <c r="H38" i="26" s="1"/>
  <c r="F39" i="26" l="1"/>
  <c r="G39" i="26" s="1"/>
  <c r="H39" i="26" s="1"/>
  <c r="F40" i="26" l="1"/>
  <c r="G40" i="26" s="1"/>
  <c r="H40" i="26" s="1"/>
  <c r="F41" i="26" l="1"/>
  <c r="G41" i="26" s="1"/>
  <c r="H41" i="26" s="1"/>
  <c r="F42" i="26" l="1"/>
  <c r="G42" i="26" s="1"/>
  <c r="H42" i="26" s="1"/>
  <c r="F43" i="26" l="1"/>
  <c r="G43" i="26" s="1"/>
  <c r="H43" i="26" s="1"/>
  <c r="F44" i="26" l="1"/>
  <c r="G44" i="26" s="1"/>
  <c r="H44" i="26" s="1"/>
  <c r="F45" i="26" l="1"/>
  <c r="G45" i="26" s="1"/>
  <c r="H45" i="26" s="1"/>
  <c r="F46" i="26" l="1"/>
  <c r="G46" i="26" s="1"/>
  <c r="H46" i="26" s="1"/>
  <c r="F47" i="26" l="1"/>
  <c r="G47" i="26" s="1"/>
  <c r="H47" i="26" s="1"/>
  <c r="F48" i="26" l="1"/>
  <c r="G48" i="26" s="1"/>
  <c r="H48" i="26" s="1"/>
  <c r="F49" i="26" l="1"/>
  <c r="G49" i="26" s="1"/>
  <c r="H49" i="26" s="1"/>
  <c r="F50" i="26" l="1"/>
  <c r="G50" i="26" s="1"/>
  <c r="H50" i="26" s="1"/>
  <c r="F51" i="26" l="1"/>
  <c r="G51" i="26" s="1"/>
  <c r="H51" i="26" s="1"/>
  <c r="F52" i="26" l="1"/>
  <c r="G52" i="26" s="1"/>
  <c r="H52" i="26" s="1"/>
  <c r="F53" i="26" l="1"/>
  <c r="G53" i="26" s="1"/>
  <c r="H53" i="26" l="1"/>
  <c r="F54" i="26" s="1"/>
  <c r="G54" i="26" s="1"/>
  <c r="H54" i="26" s="1"/>
  <c r="F55" i="26" l="1"/>
  <c r="G55" i="26"/>
  <c r="H55" i="26" l="1"/>
  <c r="F56" i="26" l="1"/>
  <c r="G56" i="26"/>
  <c r="H56" i="26" l="1"/>
  <c r="F57" i="26" l="1"/>
  <c r="G57" i="26" l="1"/>
  <c r="H57" i="26" s="1"/>
  <c r="F58" i="26" l="1"/>
  <c r="G58" i="26"/>
  <c r="H58" i="26" l="1"/>
  <c r="F59" i="26" s="1"/>
  <c r="G59" i="26" l="1"/>
  <c r="H59" i="26"/>
  <c r="F60" i="26" l="1"/>
  <c r="G60" i="26"/>
  <c r="H60" i="26" s="1"/>
  <c r="F61" i="26" l="1"/>
  <c r="G61" i="26"/>
  <c r="H61" i="26" l="1"/>
  <c r="F62" i="26" l="1"/>
  <c r="G62" i="26" l="1"/>
  <c r="H62" i="26" s="1"/>
  <c r="F63" i="26" l="1"/>
  <c r="G63" i="26"/>
  <c r="H63" i="26" l="1"/>
  <c r="F64" i="26" l="1"/>
  <c r="G64" i="26"/>
  <c r="H64" i="26" l="1"/>
  <c r="F65" i="26" l="1"/>
  <c r="G65" i="26"/>
  <c r="H65" i="26" s="1"/>
  <c r="F66" i="26" l="1"/>
  <c r="G66" i="26"/>
  <c r="H66" i="26" s="1"/>
  <c r="F67" i="26" l="1"/>
  <c r="G67" i="26" s="1"/>
  <c r="H67" i="26" l="1"/>
  <c r="F68" i="26" l="1"/>
  <c r="G68" i="26"/>
  <c r="H68" i="26" l="1"/>
  <c r="F69" i="26" s="1"/>
  <c r="G69" i="26" l="1"/>
  <c r="H69" i="26"/>
  <c r="F70" i="26" l="1"/>
  <c r="G70" i="26"/>
  <c r="H70" i="26" s="1"/>
  <c r="F71" i="26" l="1"/>
  <c r="G71" i="26"/>
  <c r="H71" i="26" s="1"/>
  <c r="F72" i="26" s="1"/>
  <c r="G72" i="26" l="1"/>
  <c r="H72" i="26"/>
  <c r="F73" i="26" l="1"/>
  <c r="G73" i="26"/>
  <c r="H73" i="26" s="1"/>
  <c r="F74" i="26" l="1"/>
  <c r="G74" i="26"/>
  <c r="H74" i="26" l="1"/>
  <c r="F75" i="26" l="1"/>
  <c r="G75" i="26"/>
  <c r="H75" i="26" l="1"/>
  <c r="F76" i="26" l="1"/>
  <c r="G76" i="26"/>
  <c r="H76" i="26" s="1"/>
  <c r="F77" i="26" l="1"/>
  <c r="G77" i="26"/>
  <c r="G78" i="26" s="1"/>
  <c r="D15" i="1" s="1"/>
  <c r="D17" i="1" s="1"/>
  <c r="D21" i="1" s="1"/>
  <c r="H77" i="26" l="1"/>
</calcChain>
</file>

<file path=xl/sharedStrings.xml><?xml version="1.0" encoding="utf-8"?>
<sst xmlns="http://schemas.openxmlformats.org/spreadsheetml/2006/main" count="1876" uniqueCount="637">
  <si>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</si>
  <si>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</si>
  <si>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</si>
  <si>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</si>
  <si>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</si>
  <si>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</si>
  <si>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</si>
  <si>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B</t>
  </si>
  <si>
    <t>Interest Expense</t>
  </si>
  <si>
    <t>Total</t>
  </si>
  <si>
    <t>(a)</t>
  </si>
  <si>
    <t xml:space="preserve"> </t>
  </si>
  <si>
    <t>A</t>
  </si>
  <si>
    <t>C = A - B</t>
  </si>
  <si>
    <t>Difference</t>
  </si>
  <si>
    <t>Incr (Decr)</t>
  </si>
  <si>
    <t>√</t>
  </si>
  <si>
    <t>Shall be Zero</t>
  </si>
  <si>
    <t>Transmission Related Electric Miscellaneous Intangible Plant</t>
  </si>
  <si>
    <t>Transmission Related General Plant</t>
  </si>
  <si>
    <t>Cost Adjustment Workpapers</t>
  </si>
  <si>
    <t>SAN DIEGO GAS &amp; ELECTRIC COMPANY</t>
  </si>
  <si>
    <t>Statement AH</t>
  </si>
  <si>
    <t>Operation and Maintenance Expenses</t>
  </si>
  <si>
    <t>FERC Form 1</t>
  </si>
  <si>
    <t>Page; Line; Col.</t>
  </si>
  <si>
    <t>Adjustments to Per Book Transmission O&amp;M Expense:</t>
  </si>
  <si>
    <t>Adjustments to Per Book A&amp;G Expense:</t>
  </si>
  <si>
    <t xml:space="preserve">   Abandoned Projects</t>
  </si>
  <si>
    <t xml:space="preserve">   CPUC energy efficiency programs</t>
  </si>
  <si>
    <t xml:space="preserve">   CPUC Intervenor Funding Expense - Distribution</t>
  </si>
  <si>
    <t xml:space="preserve">   CPUC reimbursement fees</t>
  </si>
  <si>
    <t xml:space="preserve">   Injuries &amp; Damages</t>
  </si>
  <si>
    <t xml:space="preserve">   General Advertising Expenses </t>
  </si>
  <si>
    <t xml:space="preserve">   Franchise Requirements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</si>
  <si>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</si>
  <si>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</si>
  <si>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</si>
  <si>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>Less: Property Insurance (Due to different allocation factor)</t>
  </si>
  <si>
    <t>Transmission Wages and Salaries Allocation Factor</t>
  </si>
  <si>
    <t>Property Insurance Allocated to Transmission, General, and Common Plant</t>
  </si>
  <si>
    <t>Derivation of Transmission Plant Property Insurance Allocation Factor:</t>
  </si>
  <si>
    <t>Transmission Plant &amp; Incentive Transmission Plant</t>
  </si>
  <si>
    <t xml:space="preserve">Transmission Related Common Plant </t>
  </si>
  <si>
    <t xml:space="preserve">     Total Transmission Related Investment in Plant</t>
  </si>
  <si>
    <t>Total Transmission Plant &amp; Incentive Transmission Plant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</si>
  <si>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</si>
  <si>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</si>
  <si>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</si>
  <si>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</si>
  <si>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</si>
  <si>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</si>
  <si>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</si>
  <si>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(b)</t>
  </si>
  <si>
    <t>(c) = (a) - (b)</t>
  </si>
  <si>
    <t>(e) = (c) + (d)</t>
  </si>
  <si>
    <t>FERC</t>
  </si>
  <si>
    <t>Excluded</t>
  </si>
  <si>
    <t>Revised</t>
  </si>
  <si>
    <t>Acct</t>
  </si>
  <si>
    <t>Per Books</t>
  </si>
  <si>
    <t>Expenses</t>
  </si>
  <si>
    <t>Adjusted</t>
  </si>
  <si>
    <t>Rents</t>
  </si>
  <si>
    <t>Total Excluded Expenses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</si>
  <si>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</si>
  <si>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</si>
  <si>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</si>
  <si>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</si>
  <si>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</si>
  <si>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</si>
  <si>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</si>
  <si>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450.1; Sch. Pg. 227; 12; c</t>
  </si>
  <si>
    <t>Transmission Plant Allocation Factor</t>
  </si>
  <si>
    <t xml:space="preserve">     Transmission Related Materials and Supplies 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</si>
  <si>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</si>
  <si>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</si>
  <si>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 xml:space="preserve">     Transmission Related Prepayments 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</si>
  <si>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</si>
  <si>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</si>
  <si>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</si>
  <si>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</si>
  <si>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</si>
  <si>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 xml:space="preserve">   One Eighth O&amp;M Rule</t>
  </si>
  <si>
    <t>FERC Method = 1/8 of O&amp;M Expense</t>
  </si>
  <si>
    <t xml:space="preserve">     Transmission Related Cash Working Capital - Retail Customers</t>
  </si>
  <si>
    <t>The balances for Materials &amp; Supplies and Prepayments are derived based on a 13-month average balance.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</si>
  <si>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</si>
  <si>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</si>
  <si>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</si>
  <si>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</si>
  <si>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</si>
  <si>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</si>
  <si>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</si>
  <si>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</si>
  <si>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</si>
  <si>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</si>
  <si>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</si>
  <si>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</si>
  <si>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</si>
  <si>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</si>
  <si>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</si>
  <si>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</si>
  <si>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</si>
  <si>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</si>
  <si>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</si>
  <si>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</si>
  <si>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</si>
  <si>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</si>
  <si>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</si>
  <si>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</si>
  <si>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</si>
  <si>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</si>
  <si>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Cost of Long-Term Debt: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</si>
  <si>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</si>
  <si>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</si>
  <si>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</si>
  <si>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</si>
  <si>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</si>
  <si>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</si>
  <si>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Common Equity Component:</t>
  </si>
  <si>
    <t>Proprietary Capital</t>
  </si>
  <si>
    <t>112; 16; c</t>
  </si>
  <si>
    <t>Less: Preferred Stock (Acct 204)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</si>
  <si>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</si>
  <si>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</si>
  <si>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</si>
  <si>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</si>
  <si>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</si>
  <si>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</si>
  <si>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</si>
  <si>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</si>
  <si>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</si>
  <si>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</si>
  <si>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</si>
  <si>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</si>
  <si>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</si>
  <si>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</si>
  <si>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</si>
  <si>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</si>
  <si>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</si>
  <si>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</si>
  <si>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</si>
  <si>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</si>
  <si>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</si>
  <si>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Amount is based upon December 31 balances.</t>
  </si>
  <si>
    <t>Incentive Weighted Cost of Capital:</t>
  </si>
  <si>
    <t>Incentive Cost of Equity Component (Preferred &amp; Common):</t>
  </si>
  <si>
    <t>Where:</t>
  </si>
  <si>
    <t xml:space="preserve">     A = Sum of Preferred Stock and Return on Equity Component</t>
  </si>
  <si>
    <t xml:space="preserve">     B = Transmission Total Federal Tax Adjustments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</si>
  <si>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</si>
  <si>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</si>
  <si>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</si>
  <si>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</si>
  <si>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</si>
  <si>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</si>
  <si>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</si>
  <si>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</si>
  <si>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</si>
  <si>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</si>
  <si>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</si>
  <si>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</si>
  <si>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</si>
  <si>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</si>
  <si>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</si>
  <si>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</si>
  <si>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</si>
  <si>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</si>
  <si>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</si>
  <si>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</si>
  <si>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</si>
  <si>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</si>
  <si>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</si>
  <si>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t>Summary of Cost Components</t>
  </si>
  <si>
    <t>Description of Annual Costs</t>
  </si>
  <si>
    <t>Section 1 - Direct Maintenance Expense Cost Component</t>
  </si>
  <si>
    <t>Section 2 - Non-Direct Expense Cost Component</t>
  </si>
  <si>
    <t>Section 3 - Cost Component Containing Other Specific Expenses</t>
  </si>
  <si>
    <t>Section 4 - True-Up Adjustment Cost Component (Over)/Undercollection</t>
  </si>
  <si>
    <t>Section 5 - Interest True-Up Adjustment Cost Component</t>
  </si>
  <si>
    <t>Subtotal Annual Costs</t>
  </si>
  <si>
    <t>Other Adjustments</t>
  </si>
  <si>
    <t>Total Annual Costs</t>
  </si>
  <si>
    <t>Description of Monthly Costs</t>
  </si>
  <si>
    <t>Total Monthly Costs</t>
  </si>
  <si>
    <t>Number of Months in Base Period</t>
  </si>
  <si>
    <t xml:space="preserve">Total Annual Costs Adjustment </t>
  </si>
  <si>
    <t>DERIVATION OF CITIZENS' TRUE-UP ADJUSTMENT -  (OVER) / UNDERCOLLECTION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</si>
  <si>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</si>
  <si>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</si>
  <si>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</si>
  <si>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</si>
  <si>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</si>
  <si>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</si>
  <si>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</si>
  <si>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</si>
  <si>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</si>
  <si>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</si>
  <si>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</si>
  <si>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Calculations: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</si>
  <si>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</si>
  <si>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</si>
  <si>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</si>
  <si>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</si>
  <si>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</si>
  <si>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</si>
  <si>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</si>
  <si>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</si>
  <si>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</si>
  <si>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</si>
  <si>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Month</t>
  </si>
  <si>
    <t>Year</t>
  </si>
  <si>
    <r>
      <t>Cost of Service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</si>
  <si>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</si>
  <si>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</si>
  <si>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</si>
  <si>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</si>
  <si>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</si>
  <si>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</si>
  <si>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</si>
  <si>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</si>
  <si>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</si>
  <si>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</si>
  <si>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</si>
  <si>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</si>
  <si>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</si>
  <si>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</si>
  <si>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</si>
  <si>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</si>
  <si>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</si>
  <si>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</si>
  <si>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</si>
  <si>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Monthly True-Up Revenues comprises the prior cycle costs applicable to the true-up period.</t>
  </si>
  <si>
    <t>Adjustment to back-out the applicable prior year true-up and interest true-up adjustments that are included in the recorded monthly true-up revenues in Column 3.</t>
  </si>
  <si>
    <t>Adjustment to back-out Other Adjustments from a prior year which would be included in the recorded monthly true-up revenues in Column 3. Such adjustments include, but are not limited to, error adjustments and out-of-cycle recovery or refunds ordered by the</t>
  </si>
  <si>
    <t>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</si>
  <si>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</si>
  <si>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</si>
  <si>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</si>
  <si>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</si>
  <si>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</si>
  <si>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</si>
  <si>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</si>
  <si>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 xml:space="preserve">   Scheduling, System Control &amp; Dispatch Services</t>
  </si>
  <si>
    <t xml:space="preserve">   Reliability, Planning &amp; Standards Development</t>
  </si>
  <si>
    <t xml:space="preserve">   Station Expenses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</si>
  <si>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</si>
  <si>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</si>
  <si>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</si>
  <si>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</si>
  <si>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</si>
  <si>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</si>
  <si>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 xml:space="preserve">   Other Cost Adjustments</t>
  </si>
  <si>
    <t>AH-2; Line 37; Col. d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</si>
  <si>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</si>
  <si>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</si>
  <si>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</si>
  <si>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>Negative of AH-3; Line 36; Col. a</t>
  </si>
  <si>
    <t>Negative of AH-3; Line 37; Col. a</t>
  </si>
  <si>
    <t>Negative of AH-3; Line 42; Col. a</t>
  </si>
  <si>
    <t xml:space="preserve">     Total Adjusted Non-Direct A&amp;G Expenses Including Property Insurance</t>
  </si>
  <si>
    <t>Total Adjusted Non-Direct A&amp;G Expenses Excluding Property Insurance</t>
  </si>
  <si>
    <t>Transmission Related Non-Direct Administrative &amp; General Expenses</t>
  </si>
  <si>
    <t xml:space="preserve">     Transmission Related Non-Direct A&amp;G Expense Including Property Insurance Expense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</si>
  <si>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</si>
  <si>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t xml:space="preserve">Add / (Deduct) </t>
  </si>
  <si>
    <t>SAN DIEGO GAS AND ELECTRIC COMPANY</t>
  </si>
  <si>
    <t>Incentive Return on Common Equity: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</si>
  <si>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</si>
  <si>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</si>
  <si>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</si>
  <si>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</si>
  <si>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</si>
  <si>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</si>
  <si>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Total Monthly Costs Adjustment </t>
  </si>
  <si>
    <t>Total Annual Costs Citizens' Share of the Border East Line - Before Interest</t>
  </si>
  <si>
    <t>CITIZENS' SHARE OF THE BORDER EAST LINE</t>
  </si>
  <si>
    <t>Items in bold have changed compared to the original Sunrise Appendix X Cycle 9 filing per ER21-243.</t>
  </si>
  <si>
    <t xml:space="preserve">   Underground Line Expense</t>
  </si>
  <si>
    <t>Return on Common Equity:</t>
  </si>
  <si>
    <t>Citizens portion of Equity AFUDC totaling $197K is embedded in the Equity AFUDC component of Transmission Depreciation expense.</t>
  </si>
  <si>
    <t xml:space="preserve">Section C.6a of the Citizens Sunrise Protocols provides a mechanism for SDG&amp;E to correct errors that affected the Appendix X costs in a previous Informational 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</si>
  <si>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</si>
  <si>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</si>
  <si>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</si>
  <si>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</si>
  <si>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</si>
  <si>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</si>
  <si>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</si>
  <si>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</si>
  <si>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</si>
  <si>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</si>
  <si>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</si>
  <si>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</si>
  <si>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Lease Agreement</t>
  </si>
  <si>
    <t>Total Annual Carrying Charge Rate</t>
  </si>
  <si>
    <t xml:space="preserve">     Total Non-Direct Expense</t>
  </si>
  <si>
    <t>Net Transmission Plant</t>
  </si>
  <si>
    <t>A. Transmission Related O&amp;M Expense</t>
  </si>
  <si>
    <t>Transmission O&amp;M Expense</t>
  </si>
  <si>
    <t xml:space="preserve">     Transmission O&amp;M Expense Carrying Charge Percentage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</si>
  <si>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</si>
  <si>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</si>
  <si>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</si>
  <si>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C. Transmission Related Property Tax Expense</t>
  </si>
  <si>
    <t xml:space="preserve">     Transmission Related Property Tax Carrying Charge Percentage</t>
  </si>
  <si>
    <t>D. Transmission Related Payroll Tax Expense</t>
  </si>
  <si>
    <t xml:space="preserve">     Transmission Related Payroll Tax Carrying Charge Percentage</t>
  </si>
  <si>
    <t>E. Transmission Related Working Capital Revenue</t>
  </si>
  <si>
    <t>Citizens Financed Transmission Projects:</t>
  </si>
  <si>
    <t>Transmission Related M&amp;S Allocated to Transmission</t>
  </si>
  <si>
    <t>Transmission Related Prepayments Allocated to Transmission</t>
  </si>
  <si>
    <t>Transmission Related Working Cash</t>
  </si>
  <si>
    <t xml:space="preserve">     Total Transmission Related Working Capital</t>
  </si>
  <si>
    <t>Cost of Capital Rate</t>
  </si>
  <si>
    <t>Transmission Working Capital Revenue</t>
  </si>
  <si>
    <t xml:space="preserve">     Transmission Related Working Capital Revenue Carrying Charge Percentage</t>
  </si>
  <si>
    <t>F. Transmission Related General &amp; Common Plant Revenue</t>
  </si>
  <si>
    <t>Net Transmission Related General Plant</t>
  </si>
  <si>
    <t>Net Transmission Related Common Plant</t>
  </si>
  <si>
    <t>Total Net Transmission Related General and Common Plant</t>
  </si>
  <si>
    <t>Transmission Related General and Common Return and Associated Income Taxes</t>
  </si>
  <si>
    <t>Transmission Related General and Common Depreciation Expense</t>
  </si>
  <si>
    <t>Total Transmission Related General and Common Plant Revenues</t>
  </si>
  <si>
    <t xml:space="preserve">     Total Transmission Related General and Common Plant Carrying Charge Percentage</t>
  </si>
  <si>
    <t xml:space="preserve">Derivation of End Use Transmission Rate Base </t>
  </si>
  <si>
    <t>A. Derivation of Transmission Rate Base:</t>
  </si>
  <si>
    <t>Net Transmission Plant:</t>
  </si>
  <si>
    <t>Transmission Plant</t>
  </si>
  <si>
    <t>Transmission Related Common Plant</t>
  </si>
  <si>
    <t xml:space="preserve">     Total Net Transmission Plant</t>
  </si>
  <si>
    <t>Rate Base Additions:</t>
  </si>
  <si>
    <t>Transmission Plant Held for Future Use</t>
  </si>
  <si>
    <t>Transmission Plant Abandoned Project Cost</t>
  </si>
  <si>
    <t xml:space="preserve">     Total Rate Base Additions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</si>
  <si>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</si>
  <si>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</si>
  <si>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</si>
  <si>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</si>
  <si>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</si>
  <si>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</si>
  <si>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</si>
  <si>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</si>
  <si>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</si>
  <si>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Other Regulatory Assets/Liabilities</t>
  </si>
  <si>
    <t xml:space="preserve">     Total Transmission Rate Base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</si>
  <si>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</si>
  <si>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</si>
  <si>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</si>
  <si>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</si>
  <si>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</si>
  <si>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</si>
  <si>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</si>
  <si>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</si>
  <si>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D. Incentive Transmission Construction Work In Progress</t>
  </si>
  <si>
    <t>A. Derivation of Net Transmission Plant:</t>
  </si>
  <si>
    <t>Gross Transmission Plant: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</si>
  <si>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</si>
  <si>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</si>
  <si>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</si>
  <si>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</si>
  <si>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</si>
  <si>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</si>
  <si>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</si>
  <si>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</si>
  <si>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</si>
  <si>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</si>
  <si>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</si>
  <si>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</si>
  <si>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Sum Lines 3 and 5</t>
  </si>
  <si>
    <t>Line 7 / Line 9</t>
  </si>
  <si>
    <t>Negative of AH-3; Sum Lines 25, 26, 28, 29, 32, 35, 41, 44; Col. a or b</t>
  </si>
  <si>
    <t>Negative of AH-3; Line 30; Col. a</t>
  </si>
  <si>
    <t>Negative of AH-3; Line 40; Col. b</t>
  </si>
  <si>
    <t>Negative of AH-3; Line 34; Col. b</t>
  </si>
  <si>
    <t>Negative of AH-3; Line 43; Col. a</t>
  </si>
  <si>
    <t xml:space="preserve">Negative of AH-3; Sum Lines 27, 39; Col. a   </t>
  </si>
  <si>
    <t xml:space="preserve">Negative of AH-3; Sum Lines 31, 33; Col. a </t>
  </si>
  <si>
    <t>AH-3; Line 21; Col. d</t>
  </si>
  <si>
    <t>Administrative &amp; General Expenses</t>
  </si>
  <si>
    <r>
      <t>(d)</t>
    </r>
    <r>
      <rPr>
        <b/>
        <vertAlign val="superscript"/>
        <sz val="12"/>
        <rFont val="Times New Roman"/>
        <family val="1"/>
      </rPr>
      <t xml:space="preserve"> 2</t>
    </r>
  </si>
  <si>
    <t>A&amp;G Cost Adj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</si>
  <si>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</si>
  <si>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</si>
  <si>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</si>
  <si>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</si>
  <si>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</si>
  <si>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</si>
  <si>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</si>
  <si>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</si>
  <si>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</si>
  <si>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</si>
  <si>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</si>
  <si>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</si>
  <si>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</si>
  <si>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</si>
  <si>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t>Employee Pensions &amp; Benefits</t>
  </si>
  <si>
    <t>Form 1; Page 323; Line 187</t>
  </si>
  <si>
    <t xml:space="preserve">Franchise Requirements </t>
  </si>
  <si>
    <t>Form 1; Page 323; Line 188</t>
  </si>
  <si>
    <t xml:space="preserve">Regulatory Commission Expenses  </t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</si>
  <si>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</si>
  <si>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</si>
  <si>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</si>
  <si>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</si>
  <si>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</si>
  <si>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</si>
  <si>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</si>
  <si>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</si>
  <si>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</si>
  <si>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</si>
  <si>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</si>
  <si>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</si>
  <si>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</si>
  <si>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Excluded Expenses:</t>
  </si>
  <si>
    <t>CPUC energy efficiency programs</t>
  </si>
  <si>
    <t>Litigation expenses (ERRA)</t>
  </si>
  <si>
    <t>Other A&amp;G Exclusion Adjustments</t>
  </si>
  <si>
    <t>CPUC Intervenor Funding Expense - Transmission</t>
  </si>
  <si>
    <t>CPUC Intervenor Funding Expense - Distribution</t>
  </si>
  <si>
    <t xml:space="preserve">CPUC reimbursement fees  </t>
  </si>
  <si>
    <t>Litigation expenses - Litigation Cost Memorandum Account (LCMA)</t>
  </si>
  <si>
    <t xml:space="preserve">CPUC energy efficiency programs  </t>
  </si>
  <si>
    <t>Abandoned Projects</t>
  </si>
  <si>
    <t xml:space="preserve">Hazardous Substances-Hazardous Substance Cleanup Cost Account </t>
  </si>
  <si>
    <t>Account 7000717, which was created to track Citizens Border East Line A&amp;G Expense.</t>
  </si>
  <si>
    <t>Total Citizens' Annual Prior Year Cost of Service</t>
  </si>
  <si>
    <t>Total Citizens' Monthly Prior Year Cost of Service</t>
  </si>
  <si>
    <t>Total Citizens Annual Prior Year Cost of Service</t>
  </si>
  <si>
    <t>Total Citizens Monthly Prior Year Cost of Service</t>
  </si>
  <si>
    <t>Citizens Lease Payment</t>
  </si>
  <si>
    <t xml:space="preserve">Citizen's Share of the Sunrise - Border East-Line </t>
  </si>
  <si>
    <t>Derivation of Other Adjustments Applicable to Appendix X Cycle 9</t>
  </si>
  <si>
    <t>Page 2; Line 17; Col. C</t>
  </si>
  <si>
    <t>CITIZENS' SHARE OF THE SUNRISE - BORDER-EAST LINE</t>
  </si>
  <si>
    <t xml:space="preserve">Appendix X Cycle 10 Annual Informational Filing </t>
  </si>
  <si>
    <t>Revised - Appendix X Cycle 9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</si>
  <si>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</si>
  <si>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</si>
  <si>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</si>
  <si>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</si>
  <si>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</si>
  <si>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</si>
  <si>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</si>
  <si>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</si>
  <si>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Derivation of Interest Expense on Other Adjustments Applicable to Appendix X Cycle 9</t>
  </si>
  <si>
    <t>Other Cost Adjustments due to Appendix X Cycle 9 Cost Adjustments Calculation:</t>
  </si>
  <si>
    <t>Rate Effective Period January 1, 2021 to December 31, 2021</t>
  </si>
  <si>
    <t>Section 1; Page 1; Line 17</t>
  </si>
  <si>
    <t>Section 2; Page 1; Line 25</t>
  </si>
  <si>
    <t>Section 3; Page 1; Line 31</t>
  </si>
  <si>
    <t>Sum Lines 1, 3, 5</t>
  </si>
  <si>
    <t>Section 4; Page TU; Col. 11; Line 21</t>
  </si>
  <si>
    <t>Section 5; Page Interest TU (CY); Col. 6; Line 20</t>
  </si>
  <si>
    <t>Sum Lines 7, 9, 11</t>
  </si>
  <si>
    <t>Line 13 + Line 15</t>
  </si>
  <si>
    <t>Base Period &amp; True-Up Period 12 - Months Ending December 31, 2019</t>
  </si>
  <si>
    <t>AV-4; Line 6</t>
  </si>
  <si>
    <t>Statement AH; Line 18</t>
  </si>
  <si>
    <t>Line 4 / Line 1</t>
  </si>
  <si>
    <t>Statement AH; Line 41</t>
  </si>
  <si>
    <t>Line 9 / Line 1</t>
  </si>
  <si>
    <t>Statement AK; Line 17</t>
  </si>
  <si>
    <t>Line 14 / Line 1</t>
  </si>
  <si>
    <t>Statement AK; Line 28</t>
  </si>
  <si>
    <t>Line 19 / Line 1</t>
  </si>
  <si>
    <t>Statement AL; Line 5</t>
  </si>
  <si>
    <t>Statement AL; Line 9</t>
  </si>
  <si>
    <t>Statement AL; Line 19</t>
  </si>
  <si>
    <t>Sum Lines 25 thru 27</t>
  </si>
  <si>
    <t>Statement AV2; Line 31</t>
  </si>
  <si>
    <t>Line 28 x Line 30</t>
  </si>
  <si>
    <t>Line 32 / Line 1</t>
  </si>
  <si>
    <t>AV-4; Line 4</t>
  </si>
  <si>
    <t>AV-4; Line 5</t>
  </si>
  <si>
    <t>Line 37 + Line 39</t>
  </si>
  <si>
    <t>Line 30</t>
  </si>
  <si>
    <t>Line 41 * Line 43</t>
  </si>
  <si>
    <t>Statement AJ; Line 17</t>
  </si>
  <si>
    <t>Line 45 + Line 47</t>
  </si>
  <si>
    <t>Line 49 / Line 1</t>
  </si>
  <si>
    <t>True-Up Period - January 1, 2019 to December 31, 2019</t>
  </si>
  <si>
    <t>Statement AI; Line 17</t>
  </si>
  <si>
    <t>AH-1; Line 50</t>
  </si>
  <si>
    <t>AH-2; Line 37; Col. a</t>
  </si>
  <si>
    <t>Negative of AH-2; Line 42; Col. b</t>
  </si>
  <si>
    <t>Negative of AH-2; Line 43; Col. b</t>
  </si>
  <si>
    <t>Negative of AH-2; Line 44; Col. b</t>
  </si>
  <si>
    <t>Negative of AH-2; Line 45; Col. b</t>
  </si>
  <si>
    <t>Negative of AH-2; Line 46; Col. b</t>
  </si>
  <si>
    <t>Negative of AH-2; Line 52; Col. b</t>
  </si>
  <si>
    <t>Negative of AH-2; Line 53; Col. b</t>
  </si>
  <si>
    <t>Negative of AH-2; Line 54; Col. b</t>
  </si>
  <si>
    <t>Negative of AH-2; Line 55; Col. b</t>
  </si>
  <si>
    <t>Negative of AH-2; Line 41; Col. b</t>
  </si>
  <si>
    <t>Sum Lines 5 thru 17</t>
  </si>
  <si>
    <t>AH-3; Line 21; Col. a</t>
  </si>
  <si>
    <t>Sum Lines 21 thru 34</t>
  </si>
  <si>
    <t>Negative of AH-3; Line 6; Col. c</t>
  </si>
  <si>
    <t>Line 35 + Line 36</t>
  </si>
  <si>
    <t>Line 37 x Line 38</t>
  </si>
  <si>
    <t>Negative of Line 36 x Line 60</t>
  </si>
  <si>
    <t>Line 39 + Line 40</t>
  </si>
  <si>
    <t>Statement AD; Line 25</t>
  </si>
  <si>
    <t>Statement AD; Line 29</t>
  </si>
  <si>
    <t>Statement AD; Line 31</t>
  </si>
  <si>
    <t>Sum Lines 44 thru 47</t>
  </si>
  <si>
    <t>Line 44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</si>
  <si>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</si>
  <si>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</si>
  <si>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</si>
  <si>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</si>
  <si>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</si>
  <si>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50 thru 57</t>
  </si>
  <si>
    <t>Line 48 / Line 58</t>
  </si>
  <si>
    <t>AL-1; Line 18</t>
  </si>
  <si>
    <t>Statement AD; Line 35</t>
  </si>
  <si>
    <t>Line 1 x Line 3</t>
  </si>
  <si>
    <t>AL-2; Line 18</t>
  </si>
  <si>
    <t>Line 3 x Line 7</t>
  </si>
  <si>
    <t>Negative of Statement AH; Line 25</t>
  </si>
  <si>
    <t>Sum Lines 12 thru 14</t>
  </si>
  <si>
    <t>Line 15 x Line 17</t>
  </si>
  <si>
    <t>AV1; Line 42</t>
  </si>
  <si>
    <t>Negative of Statement AR; Line 11</t>
  </si>
  <si>
    <t>AV-2A; Line 40</t>
  </si>
  <si>
    <t>AV-4; Page 1; Line 26</t>
  </si>
  <si>
    <t>Page 2; Line 16</t>
  </si>
  <si>
    <t>Page 2; Line 17</t>
  </si>
  <si>
    <t>Page 2; Line 18</t>
  </si>
  <si>
    <t>Page 2; Line 19</t>
  </si>
  <si>
    <t>Sum Lines 2 thru 5</t>
  </si>
  <si>
    <t>Statement AG; Line 1</t>
  </si>
  <si>
    <t>Statement Misc.; Line 3</t>
  </si>
  <si>
    <t>Line 9 + Line 10</t>
  </si>
  <si>
    <t>Statement AF; Line 7</t>
  </si>
  <si>
    <t>Statement AF; Line 11</t>
  </si>
  <si>
    <t>Line 14 + Line 15</t>
  </si>
  <si>
    <t>Sum Lines 19 thru 21</t>
  </si>
  <si>
    <t>Statement Misc.; Line 5</t>
  </si>
  <si>
    <t>Sum Lines 6, 11, 16, 22, 24</t>
  </si>
  <si>
    <t>Line 29 + Line 30</t>
  </si>
  <si>
    <t>Line 34 + Line 35</t>
  </si>
  <si>
    <t>Statement AD; Line 11</t>
  </si>
  <si>
    <t>Statement AD; Line 27</t>
  </si>
  <si>
    <t>Statement AE; Line 1</t>
  </si>
  <si>
    <t>Statement AE; Line 11</t>
  </si>
  <si>
    <t>Statement AE; Line 13</t>
  </si>
  <si>
    <t>Statement AE; Line 15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</si>
  <si>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</si>
  <si>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</si>
  <si>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</si>
  <si>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</si>
  <si>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</si>
  <si>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</si>
  <si>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Line 23 Minus Line 24</t>
  </si>
  <si>
    <t>Monthly True-Up Cost of Service comprises Sections 1 thru 3 Direct Maintenance, Non-Direct Expense, and Other Specific Expenses Cost Components.</t>
  </si>
  <si>
    <t>Used to allocate property insurance in conformance with the TO5 Formula Rate Mechanism.</t>
  </si>
  <si>
    <t xml:space="preserve"> 12 Months Ending December 31, 2019</t>
  </si>
  <si>
    <t>This amount represents the Non-Direct A&amp;G expenses billed to Citizens in 2019, which is added back to derive Total Adjusted A&amp;G Expenses in SAP</t>
  </si>
  <si>
    <t>Page 3 and Page 4, Line 1</t>
  </si>
  <si>
    <t>Page 3 and Page 4, Line 3</t>
  </si>
  <si>
    <t>Page 3 and Page 4, Line 5</t>
  </si>
  <si>
    <t>Page 3 and Page 4, Line 9</t>
  </si>
  <si>
    <t>Page 3 and Page 4, Line 11</t>
  </si>
  <si>
    <t>Page 3 and Page 4, Line 15</t>
  </si>
  <si>
    <t>Page 3 and Page 4, Line 20</t>
  </si>
  <si>
    <t>Page 3 and Page 4, Line 22</t>
  </si>
  <si>
    <t>Page 3 and Page 4, Line 24</t>
  </si>
  <si>
    <t>Page 3 and Page 4, Line 28</t>
  </si>
  <si>
    <t>Page 3 and Page 4, Line 30</t>
  </si>
  <si>
    <t>Page 3 and Page 4, Line 32</t>
  </si>
  <si>
    <t>Page 3 and Page 4, Line 36</t>
  </si>
  <si>
    <t>Page 3 and Page 4, Line 38</t>
  </si>
  <si>
    <t xml:space="preserve">Represents reclassification of 2019 3P (People, Process, Priorities) project costs from O&amp;M FERC accounts 566 and 588 to A&amp;G FERC account 923, in 2020. </t>
  </si>
  <si>
    <t xml:space="preserve">Represents reclassification of 2019 abandoned project costs from A&amp;G FERC account 930.2 to FERC account 426.5 in 2020. Entry is corrected here and reflected </t>
  </si>
  <si>
    <t>Represents 2019 Wildfire Mitigation Plan expenses that were not excluded in the 2019 A&amp;G exclusions. These are being corrected here and reflected as an "Other Adjustments" in Cycle 10.</t>
  </si>
  <si>
    <t>This adjustment is being corrected here and reflected as an "Other Adjustments" in Cycle 10.</t>
  </si>
  <si>
    <t>as an "Other Adjustments" in Cycle 10.</t>
  </si>
  <si>
    <t>As Filed - Appendix X Cycle 9 ER21-243 and ER22-139</t>
  </si>
  <si>
    <t>Source: Orig. Filing; Appendix X Cycle 9; Summary of Cost Components; ER21-243</t>
  </si>
  <si>
    <t>Source: As Filed; Appendix X Cycle 9; Cost Adj; Sec. 4-TU incl. in App. X C10 (ER22-139)</t>
  </si>
  <si>
    <t>Source: As Filed; Appendix X Cycle 9; Cost Adj; Sec. 2-Non Direct Exp incl. in App. X C10 (ER22-139)</t>
  </si>
  <si>
    <t xml:space="preserve">   Other Cost Adjustments (incl. in ER22-139)</t>
  </si>
  <si>
    <r>
      <t xml:space="preserve">(f) </t>
    </r>
    <r>
      <rPr>
        <b/>
        <vertAlign val="superscript"/>
        <sz val="12"/>
        <rFont val="Times New Roman"/>
        <family val="1"/>
      </rPr>
      <t>5</t>
    </r>
  </si>
  <si>
    <t>(g) = (e) + (f)</t>
  </si>
  <si>
    <t>Addtl</t>
  </si>
  <si>
    <t>A&amp;G</t>
  </si>
  <si>
    <r>
      <t>Employee Pensions &amp; Benefits</t>
    </r>
    <r>
      <rPr>
        <b/>
        <vertAlign val="superscript"/>
        <sz val="12"/>
        <rFont val="Times New Roman"/>
        <family val="1"/>
      </rPr>
      <t xml:space="preserve"> 1</t>
    </r>
  </si>
  <si>
    <r>
      <t xml:space="preserve">Regulatory Commission Expenses </t>
    </r>
    <r>
      <rPr>
        <vertAlign val="superscript"/>
        <sz val="12"/>
        <rFont val="Times New Roman"/>
        <family val="1"/>
      </rPr>
      <t xml:space="preserve"> </t>
    </r>
  </si>
  <si>
    <t>FERC Acct 926, Employee Pensions &amp; Benefits, does not include any PBOP costs for base period 2019.</t>
  </si>
  <si>
    <t>Represents 2019 Wildfire Mitigation Plan expenses that were not included as excluded expenses in 2019. This correction is reflected as an "Other BTRR Adjustment" in TO5 Cycle 4.</t>
  </si>
  <si>
    <t xml:space="preserve">Represents reclassification of 2019 3P (People, Process, Priorities) project costs from O&amp;M FERC accounts 566 and 588 to A&amp;G FERC account 923, in 2020. This correction is </t>
  </si>
  <si>
    <t>reflected as an "Other BTRR Adjustment" in TO5 Cycle 4.</t>
  </si>
  <si>
    <t>Represents 2019 abandoned project costs that were not included as excluded expenses in 2019. A portion was reclassified from A&amp;G FERC Account 930.2 to FERC Account 426.5, in</t>
  </si>
  <si>
    <t>2020. This correction is reflected as an "Other BTRR Adjustment" in TO5 Cycle 4.</t>
  </si>
  <si>
    <t>Reversal of footnote 2 on the 2019 Wildfire Mitigation Plan expenses above.</t>
  </si>
  <si>
    <t>Source: As Filed; Appendix X Cycle 9; Rev Stmt AH incl. in App. X C10 (ER22-139)</t>
  </si>
  <si>
    <t>Sum Lines 21 thru 35</t>
  </si>
  <si>
    <t>Line 36 + Line 37</t>
  </si>
  <si>
    <t>Line 38 x Line 39</t>
  </si>
  <si>
    <t>Negative of Line 37 x Line 61</t>
  </si>
  <si>
    <t>Line 40 + Line 41</t>
  </si>
  <si>
    <t>Sum Lines 45 thru 48</t>
  </si>
  <si>
    <t>Line 45 Above</t>
  </si>
  <si>
    <t>Sum Lines 51 thru 58</t>
  </si>
  <si>
    <t>Line 49 / Line 59</t>
  </si>
  <si>
    <t>Source: As Filed; Appendix X Cycle 9; Rev AH-3 incl. in App. X C10 (ER22-139)</t>
  </si>
  <si>
    <t>Source: As Filed; Appendix X Cycle 9; Rev AL incl. in App. X C10 (ER22-139)</t>
  </si>
  <si>
    <t>Source: As Filed; Appendix X Cycle 9; Rev Stmt AV incl. in App. X C10 (ER22-139)</t>
  </si>
  <si>
    <t>Source: As Filed; Appendix X Cycle 9; Rev AV-4 incl. in App. X C10 (ER22-139)</t>
  </si>
  <si>
    <t>Posted FERC Interest rates</t>
  </si>
  <si>
    <r>
      <t xml:space="preserve">Appendix X Cycle 12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</si>
  <si>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Items in bold have changed due to A&amp;G adj. on WMPMA exclusion reversal compared to the original Sunrise Appendix X Cycle 9 filing per ER21-243 and cost adjustments</t>
  </si>
  <si>
    <t xml:space="preserve">Items in bold have changed due to A&amp;G adj. on WMPMA exclusion reversal compared to the original Sunrise Appendix X Cycle 9 filing per ER21-243 </t>
  </si>
  <si>
    <t>Source: As Filed Appendix X Cycle 9; Cost Adj. incl. in App. X C10 (ER22-139)</t>
  </si>
  <si>
    <t>Page 14; Line 69; Col. 5</t>
  </si>
  <si>
    <t>Pg5 Rev Section 2; Page 1; Line 25</t>
  </si>
  <si>
    <t>Pg7 Rev Section 4; Page TU; Col. 11; Line 21</t>
  </si>
  <si>
    <t>Pg12 Rev AV-4; Line 6</t>
  </si>
  <si>
    <t>Pg8 Rev Statement AH; Line 18</t>
  </si>
  <si>
    <t>Pg8 Rev Statement AH; Line 42</t>
  </si>
  <si>
    <t>Pg9 Rev Statement AL; Line 19</t>
  </si>
  <si>
    <t>Pg10 Rev Statement AV2; Line 31</t>
  </si>
  <si>
    <t>Pg8.2 Rev AH-3; Line 21; Col. f</t>
  </si>
  <si>
    <t>Pg12 Rev AV-4; Page 1; Line 26</t>
  </si>
  <si>
    <t xml:space="preserve">Items in bold have changed due to A&amp;G adj. on WMPMA exclusion reversal compared to the original Sunrise Appendix X Cycle 9 filing per ER21-243 and </t>
  </si>
  <si>
    <t xml:space="preserve">Appendix X Cycle 12 Annual Informational Filing </t>
  </si>
  <si>
    <t>included in Appendix X Cycle 10 per ER22-139.</t>
  </si>
  <si>
    <t>and cost adjustments included in Appendix X Cycle 10 per ER22-139.</t>
  </si>
  <si>
    <t>Items in bold have changed due to A&amp;G adj. on WMPMA exclusion reversal compared to the original Sunrise Appendix X Cycle 9 filing per ER21-243 and cost adjustments included in Appendix X Cycle 10 per ER22-139.</t>
  </si>
  <si>
    <t xml:space="preserve">Items in bold have changed due to A&amp;G adj. on WMPMA exclusion reversal compared to the original Sunrise Appendix X Cycle 9 filing per ER21-243 and cost adjustments included in </t>
  </si>
  <si>
    <t>Appendix X Cycle 10 per ER22-139.</t>
  </si>
  <si>
    <t>cost adj. incl. in Appendix X Cycle 10 per ER22-139.</t>
  </si>
  <si>
    <t>Filing. In this Appendix X Cycle 10 Informational Filing, SDG&amp;E is correcting the Appendix X Cycle 9 for approximately $9K for 2019 adjustments to A&amp;G.</t>
  </si>
  <si>
    <t xml:space="preserve">Items in bold have changed due to A&amp;G adj. on WMPMA exclusion reversal compared to the original Sunrise Appendix X Cycle 9 filing per ER21-243 and cost adjustments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</si>
</sst>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&quot;$&quot;#,##0"/>
    <numFmt numFmtId="173" formatCode="0.0%"/>
    <numFmt numFmtId="174" formatCode="_(&quot;$&quot;* #,##0,_);_(&quot;$&quot;* \(#,##0,\);_(&quot;$&quot;* &quot;-&quot;??_);_(@_)"/>
    <numFmt numFmtId="175" formatCode="&quot;$&quot;#,##0,_);[Red]\(&quot;$&quot;#,##0,\)"/>
    <numFmt numFmtId="176" formatCode="00000"/>
    <numFmt numFmtId="177" formatCode="0.000"/>
    <numFmt numFmtId="178" formatCode="0_);\(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3"/>
      <name val="Times New Roman"/>
      <family val="1"/>
    </font>
    <font>
      <sz val="12"/>
      <color rgb="FF0000FF"/>
      <name val="Times New Roman"/>
      <family val="1"/>
    </font>
    <font>
      <b/>
      <vertAlign val="superscript"/>
      <sz val="12"/>
      <color rgb="FFFF0000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double">
        <color auto="1"/>
      </top>
      <bottom/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  <xf numFmtId="0" fontId="30" fillId="5" borderId="0"/>
  </cellStyleXfs>
  <cellXfs count="790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1" xfId="6" applyNumberFormat="1" applyFont="1" applyBorder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37" fontId="9" fillId="0" borderId="0" xfId="0" applyNumberFormat="1" applyFont="1"/>
    <xf numFmtId="164" fontId="5" fillId="0" borderId="2" xfId="2" applyNumberFormat="1" applyFont="1" applyBorder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9" fillId="0" borderId="0" xfId="2" applyNumberFormat="1" applyFont="1" applyFill="1" applyBorder="1"/>
    <xf numFmtId="165" fontId="9" fillId="2" borderId="1" xfId="1" applyNumberFormat="1" applyFont="1" applyFill="1" applyBorder="1" applyAlignment="1">
      <alignment horizontal="right" vertical="center"/>
    </xf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4" fontId="5" fillId="0" borderId="19" xfId="2" applyNumberFormat="1" applyFont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19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7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7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2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8" fillId="0" borderId="1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21" xfId="0" quotePrefix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164" fontId="9" fillId="0" borderId="14" xfId="2" applyNumberFormat="1" applyFont="1" applyFill="1" applyBorder="1" applyAlignment="1">
      <alignment vertical="center"/>
    </xf>
    <xf numFmtId="164" fontId="9" fillId="0" borderId="23" xfId="2" applyNumberFormat="1" applyFont="1" applyFill="1" applyBorder="1" applyAlignment="1">
      <alignment vertical="center"/>
    </xf>
    <xf numFmtId="165" fontId="9" fillId="0" borderId="14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9" fillId="0" borderId="23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4" xfId="2" applyNumberFormat="1" applyFont="1" applyFill="1" applyBorder="1" applyAlignment="1">
      <alignment vertical="center"/>
    </xf>
    <xf numFmtId="164" fontId="5" fillId="0" borderId="16" xfId="2" applyNumberFormat="1" applyFont="1" applyFill="1" applyBorder="1" applyAlignment="1">
      <alignment vertical="center"/>
    </xf>
    <xf numFmtId="0" fontId="18" fillId="0" borderId="28" xfId="0" applyFont="1" applyBorder="1" applyAlignment="1">
      <alignment horizontal="center"/>
    </xf>
    <xf numFmtId="164" fontId="5" fillId="0" borderId="29" xfId="2" applyNumberFormat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9" fillId="0" borderId="14" xfId="1" applyNumberFormat="1" applyFont="1" applyFill="1" applyBorder="1" applyAlignment="1">
      <alignment horizontal="right" vertical="center"/>
    </xf>
    <xf numFmtId="165" fontId="5" fillId="0" borderId="23" xfId="1" applyNumberFormat="1" applyFont="1" applyFill="1" applyBorder="1"/>
    <xf numFmtId="37" fontId="9" fillId="0" borderId="11" xfId="0" applyNumberFormat="1" applyFont="1" applyBorder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19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9" xfId="2" applyNumberFormat="1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164" fontId="9" fillId="0" borderId="18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2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7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7" xfId="0" applyNumberFormat="1" applyFont="1" applyBorder="1" applyAlignment="1">
      <alignment vertical="center"/>
    </xf>
    <xf numFmtId="10" fontId="9" fillId="0" borderId="2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2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2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3" xfId="11" applyFont="1" applyBorder="1"/>
    <xf numFmtId="0" fontId="9" fillId="0" borderId="11" xfId="11" applyFont="1" applyBorder="1" applyAlignment="1">
      <alignment horizontal="center" vertical="center"/>
    </xf>
    <xf numFmtId="0" fontId="5" fillId="0" borderId="20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0" fontId="5" fillId="0" borderId="5" xfId="11" applyFont="1" applyBorder="1" applyAlignment="1">
      <alignment horizontal="center"/>
    </xf>
    <xf numFmtId="0" fontId="9" fillId="0" borderId="10" xfId="11" applyFont="1" applyBorder="1" applyAlignment="1">
      <alignment horizontal="center" vertical="center"/>
    </xf>
    <xf numFmtId="0" fontId="5" fillId="0" borderId="1" xfId="11" applyFont="1" applyBorder="1" applyAlignment="1">
      <alignment horizontal="center"/>
    </xf>
    <xf numFmtId="0" fontId="5" fillId="0" borderId="24" xfId="11" applyFont="1" applyBorder="1"/>
    <xf numFmtId="10" fontId="5" fillId="0" borderId="14" xfId="19" applyNumberFormat="1" applyFont="1" applyBorder="1" applyAlignment="1">
      <alignment horizontal="center"/>
    </xf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3" xfId="11" applyFont="1" applyBorder="1" applyAlignment="1">
      <alignment horizontal="left"/>
    </xf>
    <xf numFmtId="164" fontId="9" fillId="2" borderId="14" xfId="20" applyNumberFormat="1" applyFont="1" applyFill="1" applyBorder="1" applyAlignment="1">
      <alignment horizontal="right" vertical="center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3" xfId="11" applyFont="1" applyBorder="1"/>
    <xf numFmtId="164" fontId="9" fillId="0" borderId="14" xfId="11" applyNumberFormat="1" applyFont="1" applyBorder="1" applyAlignment="1">
      <alignment horizontal="right" vertical="center"/>
    </xf>
    <xf numFmtId="164" fontId="9" fillId="0" borderId="0" xfId="11" applyNumberFormat="1" applyFont="1" applyAlignment="1">
      <alignment horizontal="right" vertical="center"/>
    </xf>
    <xf numFmtId="165" fontId="5" fillId="2" borderId="14" xfId="1" applyNumberFormat="1" applyFont="1" applyFill="1" applyBorder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3" xfId="11" applyFont="1" applyBorder="1" applyAlignment="1">
      <alignment horizontal="left" indent="2"/>
    </xf>
    <xf numFmtId="164" fontId="5" fillId="0" borderId="14" xfId="2" applyNumberFormat="1" applyFont="1" applyFill="1" applyBorder="1" applyAlignment="1">
      <alignment horizontal="right" vertical="center"/>
    </xf>
    <xf numFmtId="41" fontId="9" fillId="0" borderId="0" xfId="13" applyNumberFormat="1" applyFont="1" applyFill="1" applyBorder="1" applyAlignment="1">
      <alignment horizontal="center"/>
    </xf>
    <xf numFmtId="0" fontId="5" fillId="0" borderId="23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4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14" xfId="11" applyNumberFormat="1" applyFont="1" applyBorder="1" applyAlignment="1">
      <alignment vertical="center"/>
    </xf>
    <xf numFmtId="170" fontId="5" fillId="0" borderId="0" xfId="11" applyNumberFormat="1" applyFont="1" applyAlignment="1">
      <alignment vertical="center"/>
    </xf>
    <xf numFmtId="164" fontId="5" fillId="0" borderId="16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7" xfId="11" applyFont="1" applyBorder="1"/>
    <xf numFmtId="0" fontId="5" fillId="0" borderId="9" xfId="11" applyFont="1" applyBorder="1"/>
    <xf numFmtId="0" fontId="9" fillId="0" borderId="3" xfId="18" applyFont="1" applyBorder="1"/>
    <xf numFmtId="44" fontId="5" fillId="0" borderId="3" xfId="11" applyNumberFormat="1" applyFont="1" applyBorder="1"/>
    <xf numFmtId="0" fontId="5" fillId="0" borderId="23" xfId="11" applyFont="1" applyBorder="1" applyAlignment="1">
      <alignment horizontal="center"/>
    </xf>
    <xf numFmtId="0" fontId="5" fillId="0" borderId="23" xfId="11" applyFont="1" applyBorder="1"/>
    <xf numFmtId="170" fontId="9" fillId="0" borderId="14" xfId="20" applyNumberFormat="1" applyFont="1" applyFill="1" applyBorder="1" applyAlignment="1">
      <alignment horizontal="right"/>
    </xf>
    <xf numFmtId="170" fontId="9" fillId="0" borderId="0" xfId="20" applyNumberFormat="1" applyFont="1" applyFill="1" applyBorder="1" applyAlignment="1">
      <alignment horizontal="right"/>
    </xf>
    <xf numFmtId="170" fontId="9" fillId="0" borderId="14" xfId="11" applyNumberFormat="1" applyFont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71" fontId="5" fillId="0" borderId="14" xfId="1" applyNumberFormat="1" applyFont="1" applyFill="1" applyBorder="1" applyAlignment="1">
      <alignment horizontal="right"/>
    </xf>
    <xf numFmtId="165" fontId="9" fillId="0" borderId="14" xfId="1" applyNumberFormat="1" applyFont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165" fontId="9" fillId="0" borderId="14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4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4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9" xfId="14" applyNumberFormat="1" applyFont="1" applyBorder="1"/>
    <xf numFmtId="165" fontId="5" fillId="0" borderId="3" xfId="14" applyNumberFormat="1" applyFont="1" applyFill="1" applyBorder="1"/>
    <xf numFmtId="0" fontId="5" fillId="0" borderId="3" xfId="11" applyFont="1" applyBorder="1" applyAlignment="1">
      <alignment horizontal="center"/>
    </xf>
    <xf numFmtId="0" fontId="5" fillId="0" borderId="21" xfId="11" applyFont="1" applyBorder="1" applyAlignment="1">
      <alignment horizontal="center"/>
    </xf>
    <xf numFmtId="0" fontId="5" fillId="0" borderId="13" xfId="11" applyFont="1" applyBorder="1" applyAlignment="1">
      <alignment horizontal="center"/>
    </xf>
    <xf numFmtId="10" fontId="5" fillId="0" borderId="23" xfId="19" applyNumberFormat="1" applyFont="1" applyBorder="1" applyAlignment="1">
      <alignment horizontal="center"/>
    </xf>
    <xf numFmtId="10" fontId="5" fillId="0" borderId="15" xfId="19" applyNumberFormat="1" applyFont="1" applyBorder="1" applyAlignment="1">
      <alignment horizontal="center"/>
    </xf>
    <xf numFmtId="164" fontId="9" fillId="2" borderId="23" xfId="20" applyNumberFormat="1" applyFont="1" applyFill="1" applyBorder="1" applyAlignment="1">
      <alignment horizontal="right" vertical="center"/>
    </xf>
    <xf numFmtId="41" fontId="9" fillId="0" borderId="15" xfId="13" applyNumberFormat="1" applyFont="1" applyBorder="1" applyAlignment="1">
      <alignment horizontal="center"/>
    </xf>
    <xf numFmtId="164" fontId="9" fillId="0" borderId="23" xfId="11" applyNumberFormat="1" applyFont="1" applyBorder="1" applyAlignment="1">
      <alignment horizontal="right" vertical="center"/>
    </xf>
    <xf numFmtId="0" fontId="5" fillId="0" borderId="15" xfId="11" applyFont="1" applyBorder="1" applyAlignment="1">
      <alignment horizontal="center"/>
    </xf>
    <xf numFmtId="165" fontId="9" fillId="2" borderId="23" xfId="1" applyNumberFormat="1" applyFont="1" applyFill="1" applyBorder="1" applyAlignment="1">
      <alignment horizontal="right" vertical="center"/>
    </xf>
    <xf numFmtId="43" fontId="5" fillId="0" borderId="15" xfId="11" applyNumberFormat="1" applyFont="1" applyBorder="1" applyAlignment="1">
      <alignment horizontal="center"/>
    </xf>
    <xf numFmtId="164" fontId="9" fillId="0" borderId="14" xfId="2" applyNumberFormat="1" applyFont="1" applyFill="1" applyBorder="1" applyAlignment="1">
      <alignment horizontal="right" vertical="center"/>
    </xf>
    <xf numFmtId="41" fontId="5" fillId="0" borderId="15" xfId="13" applyNumberFormat="1" applyFont="1" applyBorder="1" applyAlignment="1">
      <alignment horizontal="left"/>
    </xf>
    <xf numFmtId="165" fontId="9" fillId="2" borderId="14" xfId="1" applyNumberFormat="1" applyFont="1" applyFill="1" applyBorder="1" applyAlignment="1">
      <alignment horizontal="right" vertical="center"/>
    </xf>
    <xf numFmtId="41" fontId="5" fillId="0" borderId="15" xfId="13" applyNumberFormat="1" applyFont="1" applyFill="1" applyBorder="1" applyAlignment="1">
      <alignment horizontal="left"/>
    </xf>
    <xf numFmtId="41" fontId="9" fillId="0" borderId="15" xfId="13" applyNumberFormat="1" applyFont="1" applyFill="1" applyBorder="1" applyAlignment="1">
      <alignment horizontal="center"/>
    </xf>
    <xf numFmtId="0" fontId="5" fillId="0" borderId="26" xfId="11" applyFont="1" applyBorder="1"/>
    <xf numFmtId="170" fontId="9" fillId="0" borderId="23" xfId="20" applyNumberFormat="1" applyFont="1" applyFill="1" applyBorder="1" applyAlignment="1">
      <alignment horizontal="right"/>
    </xf>
    <xf numFmtId="170" fontId="9" fillId="0" borderId="23" xfId="11" applyNumberFormat="1" applyFont="1" applyBorder="1" applyAlignment="1">
      <alignment horizontal="right"/>
    </xf>
    <xf numFmtId="0" fontId="9" fillId="0" borderId="15" xfId="11" applyFont="1" applyBorder="1" applyAlignment="1">
      <alignment horizontal="center"/>
    </xf>
    <xf numFmtId="171" fontId="9" fillId="0" borderId="23" xfId="1" applyNumberFormat="1" applyFont="1" applyFill="1" applyBorder="1" applyAlignment="1">
      <alignment horizontal="right"/>
    </xf>
    <xf numFmtId="165" fontId="9" fillId="0" borderId="23" xfId="1" applyNumberFormat="1" applyFont="1" applyBorder="1" applyAlignment="1">
      <alignment horizontal="right"/>
    </xf>
    <xf numFmtId="43" fontId="9" fillId="0" borderId="15" xfId="11" applyNumberFormat="1" applyFont="1" applyBorder="1" applyAlignment="1">
      <alignment horizontal="center"/>
    </xf>
    <xf numFmtId="165" fontId="9" fillId="0" borderId="23" xfId="1" applyNumberFormat="1" applyFont="1" applyFill="1" applyBorder="1" applyAlignment="1">
      <alignment horizontal="right"/>
    </xf>
    <xf numFmtId="41" fontId="5" fillId="0" borderId="15" xfId="13" applyNumberFormat="1" applyFont="1" applyBorder="1" applyAlignment="1">
      <alignment horizontal="center"/>
    </xf>
    <xf numFmtId="41" fontId="5" fillId="0" borderId="15" xfId="13" applyNumberFormat="1" applyFont="1" applyFill="1" applyBorder="1" applyAlignment="1">
      <alignment horizontal="center"/>
    </xf>
    <xf numFmtId="41" fontId="5" fillId="0" borderId="15" xfId="13" applyNumberFormat="1" applyFont="1" applyFill="1" applyBorder="1"/>
    <xf numFmtId="165" fontId="5" fillId="0" borderId="15" xfId="14" applyNumberFormat="1" applyFont="1" applyFill="1" applyBorder="1"/>
    <xf numFmtId="0" fontId="5" fillId="0" borderId="26" xfId="11" applyFont="1" applyBorder="1" applyAlignment="1">
      <alignment horizontal="center"/>
    </xf>
    <xf numFmtId="167" fontId="5" fillId="0" borderId="0" xfId="0" applyNumberFormat="1" applyFont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5" fontId="9" fillId="3" borderId="1" xfId="1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center"/>
    </xf>
    <xf numFmtId="164" fontId="9" fillId="0" borderId="2" xfId="2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/>
    </xf>
    <xf numFmtId="0" fontId="0" fillId="0" borderId="3" xfId="0" applyBorder="1"/>
    <xf numFmtId="0" fontId="16" fillId="0" borderId="3" xfId="0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5" fillId="0" borderId="19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2" xfId="20" applyNumberFormat="1" applyFont="1" applyBorder="1" applyAlignment="1">
      <alignment horizontal="right" vertical="center"/>
    </xf>
    <xf numFmtId="0" fontId="5" fillId="0" borderId="30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1" xfId="1" applyNumberFormat="1" applyFont="1" applyFill="1" applyBorder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3" xfId="14" applyNumberFormat="1" applyFont="1" applyBorder="1"/>
    <xf numFmtId="164" fontId="5" fillId="0" borderId="2" xfId="20" applyNumberFormat="1" applyFont="1" applyBorder="1" applyAlignment="1">
      <alignment horizontal="right"/>
    </xf>
    <xf numFmtId="165" fontId="9" fillId="3" borderId="1" xfId="21" applyNumberFormat="1" applyFont="1" applyFill="1" applyBorder="1"/>
    <xf numFmtId="165" fontId="9" fillId="0" borderId="1" xfId="21" applyNumberFormat="1" applyFont="1" applyFill="1" applyBorder="1"/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172" fontId="9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0" fontId="9" fillId="3" borderId="0" xfId="3" applyNumberFormat="1" applyFont="1" applyFill="1" applyAlignment="1">
      <alignment horizontal="center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173" fontId="9" fillId="0" borderId="0" xfId="3" applyNumberFormat="1" applyFont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0" fontId="9" fillId="0" borderId="31" xfId="11" applyFont="1" applyBorder="1" applyAlignment="1">
      <alignment horizontal="left" vertical="center"/>
    </xf>
    <xf numFmtId="1" fontId="9" fillId="0" borderId="31" xfId="11" applyNumberFormat="1" applyFont="1" applyBorder="1" applyAlignment="1">
      <alignment horizontal="center" vertical="center"/>
    </xf>
    <xf numFmtId="165" fontId="9" fillId="0" borderId="31" xfId="1" applyNumberFormat="1" applyFont="1" applyFill="1" applyBorder="1" applyAlignment="1">
      <alignment vertical="center"/>
    </xf>
    <xf numFmtId="165" fontId="9" fillId="0" borderId="31" xfId="1" applyNumberFormat="1" applyFont="1" applyFill="1" applyBorder="1" applyAlignment="1">
      <alignment horizontal="right" vertical="center"/>
    </xf>
    <xf numFmtId="165" fontId="5" fillId="0" borderId="31" xfId="1" applyNumberFormat="1" applyFont="1" applyFill="1" applyBorder="1" applyAlignment="1">
      <alignment vertical="center"/>
    </xf>
    <xf numFmtId="10" fontId="9" fillId="3" borderId="31" xfId="3" applyNumberFormat="1" applyFont="1" applyFill="1" applyBorder="1" applyAlignment="1">
      <alignment horizontal="center" vertical="center"/>
    </xf>
    <xf numFmtId="165" fontId="5" fillId="0" borderId="31" xfId="1" applyNumberFormat="1" applyFont="1" applyBorder="1" applyAlignment="1">
      <alignment horizontal="center" vertical="center"/>
    </xf>
    <xf numFmtId="165" fontId="9" fillId="0" borderId="31" xfId="1" applyNumberFormat="1" applyFont="1" applyBorder="1" applyAlignment="1">
      <alignment horizontal="right" vertical="center"/>
    </xf>
    <xf numFmtId="165" fontId="5" fillId="0" borderId="31" xfId="1" applyNumberFormat="1" applyFont="1" applyFill="1" applyBorder="1" applyAlignment="1">
      <alignment horizontal="right" vertical="center"/>
    </xf>
    <xf numFmtId="164" fontId="5" fillId="0" borderId="17" xfId="2" applyNumberFormat="1" applyFont="1" applyFill="1" applyBorder="1" applyAlignment="1">
      <alignment vertical="center"/>
    </xf>
    <xf numFmtId="164" fontId="9" fillId="0" borderId="17" xfId="2" applyNumberFormat="1" applyFont="1" applyFill="1" applyBorder="1" applyAlignment="1">
      <alignment vertical="center"/>
    </xf>
    <xf numFmtId="174" fontId="9" fillId="0" borderId="17" xfId="2" applyNumberFormat="1" applyFont="1" applyBorder="1" applyAlignment="1">
      <alignment vertical="center"/>
    </xf>
    <xf numFmtId="174" fontId="9" fillId="0" borderId="0" xfId="2" applyNumberFormat="1" applyFont="1" applyAlignment="1">
      <alignment vertical="center"/>
    </xf>
    <xf numFmtId="175" fontId="9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5" fontId="9" fillId="0" borderId="31" xfId="0" applyNumberFormat="1" applyFont="1" applyBorder="1" applyAlignment="1">
      <alignment horizontal="center" vertical="center"/>
    </xf>
    <xf numFmtId="0" fontId="19" fillId="0" borderId="0" xfId="11" applyFont="1"/>
    <xf numFmtId="0" fontId="19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5" fontId="5" fillId="3" borderId="31" xfId="1" applyNumberFormat="1" applyFont="1" applyFill="1" applyBorder="1" applyAlignment="1" applyProtection="1">
      <alignment vertical="center"/>
      <protection locked="0"/>
    </xf>
    <xf numFmtId="165" fontId="9" fillId="3" borderId="31" xfId="1" applyNumberFormat="1" applyFont="1" applyFill="1" applyBorder="1" applyAlignment="1" applyProtection="1">
      <alignment vertical="center"/>
      <protection locked="0"/>
    </xf>
    <xf numFmtId="10" fontId="9" fillId="2" borderId="31" xfId="0" applyNumberFormat="1" applyFont="1" applyFill="1" applyBorder="1" applyAlignment="1">
      <alignment horizontal="right" vertical="center"/>
    </xf>
    <xf numFmtId="164" fontId="5" fillId="0" borderId="2" xfId="2" applyNumberFormat="1" applyFont="1" applyFill="1" applyBorder="1" applyAlignment="1">
      <alignment horizontal="right" vertical="center"/>
    </xf>
    <xf numFmtId="165" fontId="9" fillId="2" borderId="31" xfId="1" applyNumberFormat="1" applyFont="1" applyFill="1" applyBorder="1" applyAlignment="1" applyProtection="1">
      <alignment horizontal="right" vertical="center"/>
    </xf>
    <xf numFmtId="165" fontId="9" fillId="2" borderId="31" xfId="1" applyNumberFormat="1" applyFont="1" applyFill="1" applyBorder="1" applyAlignment="1">
      <alignment vertical="center"/>
    </xf>
    <xf numFmtId="165" fontId="9" fillId="0" borderId="32" xfId="1" applyNumberFormat="1" applyFont="1" applyFill="1" applyBorder="1" applyAlignment="1">
      <alignment vertical="center"/>
    </xf>
    <xf numFmtId="165" fontId="9" fillId="0" borderId="31" xfId="1" applyNumberFormat="1" applyFont="1" applyFill="1" applyBorder="1"/>
    <xf numFmtId="0" fontId="9" fillId="0" borderId="0" xfId="23" applyFont="1"/>
    <xf numFmtId="0" fontId="14" fillId="0" borderId="10" xfId="23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15" fontId="9" fillId="0" borderId="31" xfId="11" applyNumberFormat="1" applyFont="1" applyBorder="1" applyAlignment="1">
      <alignment horizontal="center" vertical="center"/>
    </xf>
    <xf numFmtId="0" fontId="9" fillId="0" borderId="31" xfId="11" applyFont="1" applyBorder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0" fontId="9" fillId="2" borderId="31" xfId="11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2" xfId="13" applyNumberFormat="1" applyFont="1" applyBorder="1" applyAlignment="1" applyProtection="1">
      <alignment horizontal="right" vertical="center"/>
      <protection locked="0"/>
    </xf>
    <xf numFmtId="165" fontId="9" fillId="0" borderId="0" xfId="27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4" fontId="9" fillId="3" borderId="31" xfId="13" applyNumberFormat="1" applyFont="1" applyFill="1" applyBorder="1" applyAlignment="1" applyProtection="1">
      <alignment horizontal="center" vertical="center"/>
      <protection locked="0"/>
    </xf>
    <xf numFmtId="165" fontId="9" fillId="0" borderId="0" xfId="27" applyNumberFormat="1" applyFont="1" applyBorder="1" applyAlignment="1" applyProtection="1">
      <alignment vertical="center"/>
      <protection locked="0"/>
    </xf>
    <xf numFmtId="165" fontId="9" fillId="0" borderId="0" xfId="27" applyNumberFormat="1" applyFont="1" applyAlignment="1" applyProtection="1">
      <alignment vertical="center"/>
      <protection locked="0"/>
    </xf>
    <xf numFmtId="164" fontId="5" fillId="2" borderId="0" xfId="13" applyNumberFormat="1" applyFont="1" applyFill="1" applyAlignment="1" applyProtection="1">
      <alignment vertical="center"/>
      <protection locked="0"/>
    </xf>
    <xf numFmtId="165" fontId="5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vertical="center"/>
      <protection locked="0"/>
    </xf>
    <xf numFmtId="164" fontId="5" fillId="0" borderId="0" xfId="13" applyNumberFormat="1" applyFont="1" applyAlignment="1">
      <alignment horizontal="right" vertical="center"/>
    </xf>
    <xf numFmtId="10" fontId="9" fillId="3" borderId="31" xfId="28" applyNumberFormat="1" applyFont="1" applyFill="1" applyBorder="1" applyAlignment="1">
      <alignment vertical="center"/>
    </xf>
    <xf numFmtId="10" fontId="9" fillId="0" borderId="0" xfId="28" applyNumberFormat="1" applyFont="1" applyBorder="1" applyAlignment="1">
      <alignment vertical="center"/>
    </xf>
    <xf numFmtId="164" fontId="5" fillId="0" borderId="2" xfId="13" applyNumberFormat="1" applyFont="1" applyBorder="1" applyAlignment="1" applyProtection="1">
      <alignment horizontal="right" vertical="center"/>
      <protection locked="0"/>
    </xf>
    <xf numFmtId="0" fontId="9" fillId="0" borderId="0" xfId="29" applyFont="1" applyAlignment="1">
      <alignment vertical="center"/>
    </xf>
    <xf numFmtId="0" fontId="5" fillId="0" borderId="0" xfId="30" applyFont="1" applyAlignment="1">
      <alignment horizontal="left" vertical="center"/>
    </xf>
    <xf numFmtId="0" fontId="9" fillId="0" borderId="31" xfId="0" applyFont="1" applyBorder="1" applyAlignment="1">
      <alignment horizontal="center" vertical="center" wrapText="1"/>
    </xf>
    <xf numFmtId="164" fontId="9" fillId="3" borderId="31" xfId="2" applyNumberFormat="1" applyFont="1" applyFill="1" applyBorder="1" applyAlignment="1" applyProtection="1">
      <alignment vertical="center"/>
      <protection locked="0"/>
    </xf>
    <xf numFmtId="44" fontId="9" fillId="0" borderId="0" xfId="0" applyNumberFormat="1" applyFont="1" applyAlignment="1">
      <alignment vertical="center"/>
    </xf>
    <xf numFmtId="10" fontId="9" fillId="0" borderId="31" xfId="3" applyNumberFormat="1" applyFont="1" applyFill="1" applyBorder="1" applyAlignment="1">
      <alignment horizontal="right" vertical="center"/>
    </xf>
    <xf numFmtId="10" fontId="9" fillId="0" borderId="31" xfId="3" applyNumberFormat="1" applyFont="1" applyBorder="1" applyAlignment="1">
      <alignment horizontal="right" vertical="center"/>
    </xf>
    <xf numFmtId="176" fontId="9" fillId="0" borderId="3" xfId="3" applyNumberFormat="1" applyFont="1" applyBorder="1" applyAlignment="1">
      <alignment horizontal="right" vertical="center"/>
    </xf>
    <xf numFmtId="10" fontId="9" fillId="4" borderId="2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3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vertical="center"/>
    </xf>
    <xf numFmtId="9" fontId="9" fillId="3" borderId="31" xfId="3" applyFont="1" applyFill="1" applyBorder="1" applyAlignment="1">
      <alignment horizontal="right" vertical="center"/>
    </xf>
    <xf numFmtId="168" fontId="9" fillId="0" borderId="31" xfId="3" applyNumberFormat="1" applyFont="1" applyBorder="1" applyAlignment="1">
      <alignment horizontal="right" vertical="center"/>
    </xf>
    <xf numFmtId="168" fontId="9" fillId="2" borderId="31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9" fontId="9" fillId="2" borderId="31" xfId="3" applyFont="1" applyFill="1" applyBorder="1" applyAlignment="1">
      <alignment horizontal="right" vertical="center"/>
    </xf>
    <xf numFmtId="10" fontId="9" fillId="2" borderId="31" xfId="3" applyNumberFormat="1" applyFont="1" applyFill="1" applyBorder="1" applyAlignment="1">
      <alignment horizontal="right" vertical="center"/>
    </xf>
    <xf numFmtId="168" fontId="9" fillId="2" borderId="31" xfId="0" applyNumberFormat="1" applyFont="1" applyFill="1" applyBorder="1" applyAlignment="1">
      <alignment horizontal="right" vertical="center"/>
    </xf>
    <xf numFmtId="43" fontId="7" fillId="0" borderId="0" xfId="4" applyNumberFormat="1" applyFont="1"/>
    <xf numFmtId="165" fontId="7" fillId="0" borderId="31" xfId="1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1" applyFont="1" applyAlignment="1">
      <alignment horizontal="right"/>
    </xf>
    <xf numFmtId="0" fontId="5" fillId="0" borderId="32" xfId="11" applyFont="1" applyBorder="1" applyAlignment="1">
      <alignment horizontal="center"/>
    </xf>
    <xf numFmtId="0" fontId="5" fillId="0" borderId="31" xfId="11" applyFont="1" applyBorder="1" applyAlignment="1">
      <alignment horizontal="center"/>
    </xf>
    <xf numFmtId="177" fontId="5" fillId="0" borderId="14" xfId="2" applyNumberFormat="1" applyFont="1" applyFill="1" applyBorder="1" applyAlignment="1">
      <alignment horizontal="right"/>
    </xf>
    <xf numFmtId="177" fontId="9" fillId="0" borderId="14" xfId="1" applyNumberFormat="1" applyFont="1" applyFill="1" applyBorder="1" applyAlignment="1">
      <alignment horizontal="right"/>
    </xf>
    <xf numFmtId="177" fontId="9" fillId="0" borderId="0" xfId="1" applyNumberFormat="1" applyFont="1" applyFill="1" applyBorder="1" applyAlignment="1">
      <alignment horizontal="right"/>
    </xf>
    <xf numFmtId="171" fontId="5" fillId="0" borderId="16" xfId="1" applyNumberFormat="1" applyFont="1" applyFill="1" applyBorder="1"/>
    <xf numFmtId="165" fontId="5" fillId="0" borderId="16" xfId="1" applyNumberFormat="1" applyFont="1" applyBorder="1" applyAlignment="1">
      <alignment horizontal="right"/>
    </xf>
    <xf numFmtId="165" fontId="5" fillId="0" borderId="26" xfId="14" applyNumberFormat="1" applyFont="1" applyFill="1" applyBorder="1"/>
    <xf numFmtId="177" fontId="9" fillId="0" borderId="23" xfId="2" applyNumberFormat="1" applyFont="1" applyFill="1" applyBorder="1" applyAlignment="1">
      <alignment horizontal="right"/>
    </xf>
    <xf numFmtId="177" fontId="9" fillId="0" borderId="23" xfId="1" applyNumberFormat="1" applyFont="1" applyFill="1" applyBorder="1" applyAlignment="1">
      <alignment horizontal="right"/>
    </xf>
    <xf numFmtId="165" fontId="9" fillId="0" borderId="16" xfId="1" applyNumberFormat="1" applyFont="1" applyBorder="1" applyAlignment="1">
      <alignment horizontal="right"/>
    </xf>
    <xf numFmtId="165" fontId="5" fillId="3" borderId="0" xfId="1" applyNumberFormat="1" applyFont="1" applyFill="1" applyBorder="1" applyAlignment="1">
      <alignment vertical="center"/>
    </xf>
    <xf numFmtId="165" fontId="9" fillId="0" borderId="31" xfId="1" applyNumberFormat="1" applyFont="1" applyFill="1" applyBorder="1" applyAlignment="1" applyProtection="1">
      <alignment horizontal="right" vertical="center"/>
      <protection locked="0"/>
    </xf>
    <xf numFmtId="165" fontId="5" fillId="2" borderId="31" xfId="1" applyNumberFormat="1" applyFont="1" applyFill="1" applyBorder="1" applyAlignment="1" applyProtection="1">
      <alignment vertical="center"/>
      <protection locked="0"/>
    </xf>
    <xf numFmtId="0" fontId="5" fillId="0" borderId="0" xfId="11" applyFont="1" applyAlignment="1">
      <alignment horizontal="right" vertical="center"/>
    </xf>
    <xf numFmtId="10" fontId="9" fillId="3" borderId="31" xfId="3" applyNumberFormat="1" applyFont="1" applyFill="1" applyBorder="1" applyAlignment="1">
      <alignment horizontal="right" vertical="center"/>
    </xf>
    <xf numFmtId="164" fontId="9" fillId="2" borderId="0" xfId="2" applyNumberFormat="1" applyFont="1" applyFill="1" applyAlignment="1">
      <alignment vertical="center"/>
    </xf>
    <xf numFmtId="164" fontId="5" fillId="0" borderId="0" xfId="2" applyNumberFormat="1" applyFont="1" applyFill="1" applyAlignment="1">
      <alignment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7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10" fontId="5" fillId="2" borderId="0" xfId="31" applyNumberFormat="1" applyFont="1" applyFill="1" applyAlignment="1">
      <alignment horizontal="right"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9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0" fontId="5" fillId="0" borderId="0" xfId="3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31" xfId="3" quotePrefix="1" applyNumberFormat="1" applyFont="1" applyBorder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9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10" fontId="5" fillId="0" borderId="2" xfId="31" quotePrefix="1" applyNumberFormat="1" applyFont="1" applyBorder="1" applyAlignment="1">
      <alignment horizontal="right" vertical="center"/>
    </xf>
    <xf numFmtId="0" fontId="17" fillId="0" borderId="0" xfId="31" applyFont="1" applyAlignment="1">
      <alignment vertical="center"/>
    </xf>
    <xf numFmtId="10" fontId="17" fillId="0" borderId="19" xfId="31" applyNumberFormat="1" applyFont="1" applyBorder="1" applyAlignment="1">
      <alignment horizontal="right" vertical="center"/>
    </xf>
    <xf numFmtId="10" fontId="17" fillId="0" borderId="0" xfId="31" applyNumberFormat="1" applyFont="1" applyAlignment="1">
      <alignment horizontal="right"/>
    </xf>
    <xf numFmtId="164" fontId="5" fillId="0" borderId="2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8" fontId="9" fillId="0" borderId="0" xfId="31" applyNumberFormat="1" applyFont="1" applyAlignment="1">
      <alignment horizontal="left"/>
    </xf>
    <xf numFmtId="0" fontId="17" fillId="0" borderId="0" xfId="31" applyFont="1" applyAlignment="1">
      <alignment horizontal="center" vertical="center"/>
    </xf>
    <xf numFmtId="0" fontId="17" fillId="0" borderId="0" xfId="31" applyFont="1" applyAlignment="1">
      <alignment horizontal="center"/>
    </xf>
    <xf numFmtId="164" fontId="5" fillId="2" borderId="31" xfId="13" applyNumberFormat="1" applyFont="1" applyFill="1" applyBorder="1" applyAlignment="1" applyProtection="1">
      <alignment vertical="center"/>
      <protection locked="0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164" fontId="5" fillId="2" borderId="31" xfId="31" applyNumberFormat="1" applyFont="1" applyFill="1" applyBorder="1" applyAlignment="1" applyProtection="1">
      <alignment horizontal="right" vertical="center"/>
      <protection locked="0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64" fontId="9" fillId="2" borderId="31" xfId="31" applyNumberFormat="1" applyFont="1" applyFill="1" applyBorder="1" applyAlignment="1" applyProtection="1">
      <alignment horizontal="right" vertical="center"/>
      <protection locked="0"/>
    </xf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9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3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64" fontId="5" fillId="0" borderId="34" xfId="31" applyNumberFormat="1" applyFont="1" applyBorder="1" applyAlignment="1" applyProtection="1">
      <alignment horizontal="right" vertical="center"/>
      <protection locked="0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18" applyFont="1" applyAlignment="1">
      <alignment horizontal="right"/>
    </xf>
    <xf numFmtId="165" fontId="9" fillId="2" borderId="34" xfId="1" applyNumberFormat="1" applyFont="1" applyFill="1" applyBorder="1" applyAlignment="1">
      <alignment horizontal="right" vertical="center"/>
    </xf>
    <xf numFmtId="0" fontId="12" fillId="0" borderId="0" xfId="0" applyFont="1"/>
    <xf numFmtId="165" fontId="25" fillId="0" borderId="0" xfId="14" applyNumberFormat="1" applyFont="1" applyBorder="1" applyAlignment="1">
      <alignment horizontal="right" vertical="center"/>
    </xf>
    <xf numFmtId="165" fontId="25" fillId="0" borderId="0" xfId="14" applyNumberFormat="1" applyFont="1" applyBorder="1"/>
    <xf numFmtId="164" fontId="9" fillId="0" borderId="0" xfId="20" applyNumberFormat="1" applyFont="1" applyAlignment="1">
      <alignment horizontal="right" vertical="center"/>
    </xf>
    <xf numFmtId="164" fontId="10" fillId="0" borderId="0" xfId="20" applyNumberFormat="1" applyFont="1"/>
    <xf numFmtId="0" fontId="12" fillId="0" borderId="0" xfId="31" applyFont="1"/>
    <xf numFmtId="164" fontId="12" fillId="0" borderId="0" xfId="20" applyNumberFormat="1" applyFont="1" applyAlignment="1">
      <alignment horizontal="right" vertical="center"/>
    </xf>
    <xf numFmtId="0" fontId="12" fillId="0" borderId="0" xfId="31" applyFont="1" applyAlignment="1">
      <alignment horizontal="center"/>
    </xf>
    <xf numFmtId="168" fontId="9" fillId="0" borderId="31" xfId="3" applyNumberFormat="1" applyFont="1" applyFill="1" applyBorder="1" applyAlignment="1">
      <alignment horizontal="right" vertical="center"/>
    </xf>
    <xf numFmtId="10" fontId="26" fillId="0" borderId="0" xfId="19" applyNumberFormat="1" applyFont="1" applyBorder="1" applyAlignment="1" applyProtection="1">
      <alignment vertical="center"/>
    </xf>
    <xf numFmtId="10" fontId="26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164" fontId="9" fillId="2" borderId="31" xfId="2" applyNumberFormat="1" applyFont="1" applyFill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2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165" fontId="5" fillId="0" borderId="14" xfId="1" applyNumberFormat="1" applyFont="1" applyFill="1" applyBorder="1" applyAlignment="1">
      <alignment vertical="center"/>
    </xf>
    <xf numFmtId="165" fontId="9" fillId="0" borderId="35" xfId="1" applyNumberFormat="1" applyFont="1" applyFill="1" applyBorder="1" applyAlignment="1">
      <alignment vertical="center"/>
    </xf>
    <xf numFmtId="165" fontId="9" fillId="0" borderId="36" xfId="1" applyNumberFormat="1" applyFont="1" applyFill="1" applyBorder="1" applyAlignment="1">
      <alignment vertical="center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167" fontId="5" fillId="0" borderId="0" xfId="11" applyNumberFormat="1" applyFont="1" applyAlignment="1">
      <alignment horizontal="center"/>
    </xf>
    <xf numFmtId="5" fontId="9" fillId="0" borderId="31" xfId="11" applyNumberFormat="1" applyFont="1" applyBorder="1" applyAlignment="1">
      <alignment horizontal="center"/>
    </xf>
    <xf numFmtId="0" fontId="9" fillId="0" borderId="31" xfId="11" applyFont="1" applyBorder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7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5" fontId="9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horizontal="right"/>
      <protection locked="0"/>
    </xf>
    <xf numFmtId="165" fontId="9" fillId="2" borderId="31" xfId="27" applyNumberFormat="1" applyFont="1" applyFill="1" applyBorder="1" applyAlignment="1" applyProtection="1">
      <alignment horizontal="right" vertical="center"/>
      <protection locked="0"/>
    </xf>
    <xf numFmtId="164" fontId="9" fillId="0" borderId="18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7" applyNumberFormat="1" applyFont="1" applyFill="1" applyAlignment="1" applyProtection="1">
      <alignment horizontal="center" vertical="center"/>
    </xf>
    <xf numFmtId="165" fontId="5" fillId="0" borderId="0" xfId="27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7" applyFont="1" applyFill="1" applyBorder="1" applyAlignment="1" applyProtection="1">
      <alignment horizontal="center" vertical="center"/>
    </xf>
    <xf numFmtId="164" fontId="9" fillId="0" borderId="18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7" applyFont="1" applyFill="1" applyBorder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/>
    </xf>
    <xf numFmtId="165" fontId="5" fillId="2" borderId="31" xfId="27" applyNumberFormat="1" applyFont="1" applyFill="1" applyBorder="1" applyAlignment="1" applyProtection="1">
      <alignment horizontal="right" vertical="center"/>
      <protection locked="0"/>
    </xf>
    <xf numFmtId="164" fontId="5" fillId="0" borderId="18" xfId="13" applyNumberFormat="1" applyFont="1" applyFill="1" applyBorder="1" applyAlignment="1" applyProtection="1">
      <alignment horizontal="right" vertical="center"/>
    </xf>
    <xf numFmtId="165" fontId="5" fillId="0" borderId="0" xfId="27" applyNumberFormat="1" applyFont="1" applyFill="1" applyBorder="1" applyAlignment="1" applyProtection="1">
      <alignment horizontal="center" vertical="center"/>
    </xf>
    <xf numFmtId="165" fontId="5" fillId="0" borderId="0" xfId="27" applyNumberFormat="1" applyFont="1" applyFill="1" applyBorder="1" applyAlignment="1" applyProtection="1">
      <alignment horizontal="center"/>
    </xf>
    <xf numFmtId="165" fontId="5" fillId="2" borderId="31" xfId="27" applyNumberFormat="1" applyFont="1" applyFill="1" applyBorder="1" applyAlignment="1" applyProtection="1">
      <alignment horizontal="center" vertical="center"/>
    </xf>
    <xf numFmtId="164" fontId="5" fillId="0" borderId="2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7" applyNumberFormat="1" applyFont="1" applyFill="1" applyBorder="1" applyAlignment="1" applyProtection="1">
      <alignment horizontal="right" vertical="center"/>
    </xf>
    <xf numFmtId="165" fontId="9" fillId="4" borderId="31" xfId="27" applyNumberFormat="1" applyFont="1" applyFill="1" applyBorder="1" applyAlignment="1" applyProtection="1">
      <alignment horizontal="right" vertical="center"/>
    </xf>
    <xf numFmtId="164" fontId="9" fillId="4" borderId="2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2" applyFont="1"/>
    <xf numFmtId="165" fontId="9" fillId="2" borderId="0" xfId="27" applyNumberFormat="1" applyFont="1" applyFill="1" applyAlignment="1" applyProtection="1">
      <alignment horizontal="right" vertical="center"/>
    </xf>
    <xf numFmtId="10" fontId="5" fillId="0" borderId="0" xfId="28" applyNumberFormat="1" applyFont="1"/>
    <xf numFmtId="165" fontId="9" fillId="2" borderId="31" xfId="27" applyNumberFormat="1" applyFont="1" applyFill="1" applyBorder="1" applyAlignment="1" applyProtection="1">
      <alignment horizontal="right" vertical="center"/>
    </xf>
    <xf numFmtId="167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5" fontId="9" fillId="0" borderId="0" xfId="27" applyNumberFormat="1" applyFont="1" applyFill="1" applyAlignment="1" applyProtection="1">
      <alignment horizontal="right" vertical="center"/>
    </xf>
    <xf numFmtId="165" fontId="9" fillId="0" borderId="0" xfId="27" applyNumberFormat="1" applyFont="1" applyFill="1" applyAlignment="1" applyProtection="1">
      <alignment horizontal="right"/>
    </xf>
    <xf numFmtId="165" fontId="9" fillId="0" borderId="31" xfId="27" applyNumberFormat="1" applyFont="1" applyFill="1" applyBorder="1" applyAlignment="1" applyProtection="1">
      <alignment horizontal="right" vertical="center"/>
    </xf>
    <xf numFmtId="165" fontId="9" fillId="0" borderId="0" xfId="27" applyNumberFormat="1" applyFont="1" applyFill="1" applyBorder="1" applyAlignment="1" applyProtection="1">
      <alignment horizontal="right"/>
    </xf>
    <xf numFmtId="164" fontId="9" fillId="0" borderId="2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164" fontId="3" fillId="0" borderId="0" xfId="2" applyNumberFormat="1" applyFont="1" applyBorder="1"/>
    <xf numFmtId="0" fontId="3" fillId="0" borderId="0" xfId="4" applyFont="1" applyAlignment="1">
      <alignment horizontal="left"/>
    </xf>
    <xf numFmtId="0" fontId="5" fillId="0" borderId="36" xfId="11" applyFont="1" applyBorder="1" applyAlignment="1">
      <alignment horizontal="center"/>
    </xf>
    <xf numFmtId="165" fontId="9" fillId="2" borderId="35" xfId="1" applyNumberFormat="1" applyFont="1" applyFill="1" applyBorder="1" applyAlignment="1">
      <alignment horizontal="right" vertical="center"/>
    </xf>
    <xf numFmtId="165" fontId="9" fillId="3" borderId="35" xfId="1" applyNumberFormat="1" applyFont="1" applyFill="1" applyBorder="1" applyAlignment="1">
      <alignment vertical="center"/>
    </xf>
    <xf numFmtId="171" fontId="9" fillId="0" borderId="35" xfId="1" applyNumberFormat="1" applyFont="1" applyFill="1" applyBorder="1" applyAlignment="1">
      <alignment horizontal="right"/>
    </xf>
    <xf numFmtId="165" fontId="9" fillId="3" borderId="35" xfId="21" applyNumberFormat="1" applyFont="1" applyFill="1" applyBorder="1"/>
    <xf numFmtId="0" fontId="5" fillId="0" borderId="0" xfId="0" quotePrefix="1" applyFont="1" applyAlignment="1">
      <alignment horizontal="center"/>
    </xf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9" fillId="0" borderId="3" xfId="0" applyNumberFormat="1" applyFont="1" applyBorder="1" applyAlignment="1">
      <alignment vertical="center"/>
    </xf>
    <xf numFmtId="37" fontId="5" fillId="0" borderId="20" xfId="0" applyNumberFormat="1" applyFont="1" applyBorder="1" applyAlignment="1">
      <alignment horizontal="center" vertical="center"/>
    </xf>
    <xf numFmtId="37" fontId="5" fillId="0" borderId="6" xfId="0" applyNumberFormat="1" applyFont="1" applyBorder="1" applyAlignment="1">
      <alignment vertical="center"/>
    </xf>
    <xf numFmtId="37" fontId="5" fillId="0" borderId="12" xfId="0" quotePrefix="1" applyNumberFormat="1" applyFont="1" applyBorder="1" applyAlignment="1">
      <alignment horizontal="center" vertical="center"/>
    </xf>
    <xf numFmtId="37" fontId="5" fillId="0" borderId="6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22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4" xfId="33" applyNumberFormat="1" applyFont="1" applyBorder="1" applyAlignment="1">
      <alignment horizontal="center" vertical="center"/>
    </xf>
    <xf numFmtId="37" fontId="5" fillId="0" borderId="0" xfId="33" applyNumberFormat="1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25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9" xfId="33" applyNumberFormat="1" applyFont="1" applyBorder="1" applyAlignment="1">
      <alignment horizontal="center" vertical="center"/>
    </xf>
    <xf numFmtId="37" fontId="5" fillId="0" borderId="3" xfId="33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37" fontId="5" fillId="0" borderId="8" xfId="0" applyNumberFormat="1" applyFont="1" applyBorder="1" applyAlignment="1">
      <alignment horizontal="center" vertical="center"/>
    </xf>
    <xf numFmtId="37" fontId="9" fillId="0" borderId="22" xfId="0" applyNumberFormat="1" applyFont="1" applyBorder="1" applyAlignment="1">
      <alignment horizontal="center" vertical="center"/>
    </xf>
    <xf numFmtId="37" fontId="20" fillId="0" borderId="0" xfId="0" applyNumberFormat="1" applyFont="1" applyAlignment="1">
      <alignment vertical="center"/>
    </xf>
    <xf numFmtId="37" fontId="5" fillId="0" borderId="14" xfId="33" applyNumberFormat="1" applyFont="1" applyBorder="1" applyAlignment="1">
      <alignment horizontal="left" vertical="center"/>
    </xf>
    <xf numFmtId="37" fontId="9" fillId="0" borderId="14" xfId="33" applyNumberFormat="1" applyFont="1" applyBorder="1" applyAlignment="1">
      <alignment horizontal="center" vertical="center"/>
    </xf>
    <xf numFmtId="37" fontId="9" fillId="0" borderId="0" xfId="33" applyNumberFormat="1" applyFont="1" applyAlignment="1">
      <alignment horizontal="center" vertical="center"/>
    </xf>
    <xf numFmtId="37" fontId="9" fillId="0" borderId="23" xfId="33" applyNumberFormat="1" applyFont="1" applyBorder="1" applyAlignment="1">
      <alignment horizontal="center" vertical="center"/>
    </xf>
    <xf numFmtId="37" fontId="9" fillId="0" borderId="21" xfId="33" applyNumberFormat="1" applyFont="1" applyBorder="1" applyAlignment="1">
      <alignment horizontal="center" vertical="center"/>
    </xf>
    <xf numFmtId="37" fontId="9" fillId="0" borderId="11" xfId="33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165" fontId="27" fillId="0" borderId="23" xfId="1" applyNumberFormat="1" applyFont="1" applyFill="1" applyBorder="1" applyAlignment="1">
      <alignment vertical="center"/>
    </xf>
    <xf numFmtId="164" fontId="5" fillId="0" borderId="23" xfId="2" applyNumberFormat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23" xfId="1" applyNumberFormat="1" applyFont="1" applyFill="1" applyBorder="1" applyAlignment="1">
      <alignment vertical="center"/>
    </xf>
    <xf numFmtId="39" fontId="9" fillId="0" borderId="0" xfId="0" applyNumberFormat="1" applyFont="1" applyAlignment="1">
      <alignment vertical="center"/>
    </xf>
    <xf numFmtId="165" fontId="14" fillId="0" borderId="23" xfId="1" applyNumberFormat="1" applyFont="1" applyFill="1" applyBorder="1" applyAlignment="1">
      <alignment vertical="center"/>
    </xf>
    <xf numFmtId="43" fontId="9" fillId="0" borderId="0" xfId="1" applyFont="1" applyFill="1" applyAlignment="1">
      <alignment vertical="center"/>
    </xf>
    <xf numFmtId="37" fontId="9" fillId="0" borderId="23" xfId="0" applyNumberFormat="1" applyFont="1" applyBorder="1" applyAlignment="1">
      <alignment vertical="center"/>
    </xf>
    <xf numFmtId="167" fontId="9" fillId="0" borderId="22" xfId="0" applyNumberFormat="1" applyFont="1" applyBorder="1" applyAlignment="1">
      <alignment horizontal="center" vertical="center"/>
    </xf>
    <xf numFmtId="167" fontId="5" fillId="0" borderId="22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4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164" fontId="5" fillId="0" borderId="16" xfId="2" applyNumberFormat="1" applyFont="1" applyBorder="1" applyAlignment="1">
      <alignment vertical="center"/>
    </xf>
    <xf numFmtId="164" fontId="5" fillId="0" borderId="2" xfId="2" applyNumberFormat="1" applyFont="1" applyFill="1" applyBorder="1" applyAlignment="1">
      <alignment vertical="center"/>
    </xf>
    <xf numFmtId="164" fontId="5" fillId="0" borderId="14" xfId="2" applyNumberFormat="1" applyFont="1" applyBorder="1" applyAlignment="1">
      <alignment vertical="center"/>
    </xf>
    <xf numFmtId="37" fontId="9" fillId="0" borderId="25" xfId="0" applyNumberFormat="1" applyFont="1" applyBorder="1" applyAlignment="1">
      <alignment vertical="center"/>
    </xf>
    <xf numFmtId="37" fontId="9" fillId="0" borderId="9" xfId="1" applyNumberFormat="1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37" fontId="9" fillId="0" borderId="8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17" fillId="0" borderId="10" xfId="0" applyNumberFormat="1" applyFont="1" applyBorder="1" applyAlignment="1">
      <alignment horizontal="left" vertical="center"/>
    </xf>
    <xf numFmtId="37" fontId="9" fillId="0" borderId="10" xfId="11" applyNumberFormat="1" applyFont="1" applyBorder="1" applyAlignment="1">
      <alignment horizontal="center"/>
    </xf>
    <xf numFmtId="164" fontId="9" fillId="0" borderId="0" xfId="2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center"/>
    </xf>
    <xf numFmtId="164" fontId="9" fillId="0" borderId="0" xfId="2" applyNumberFormat="1" applyFont="1" applyBorder="1" applyAlignment="1">
      <alignment horizontal="center"/>
    </xf>
    <xf numFmtId="165" fontId="9" fillId="0" borderId="31" xfId="1" applyNumberFormat="1" applyFont="1" applyBorder="1" applyAlignment="1">
      <alignment horizontal="center"/>
    </xf>
    <xf numFmtId="37" fontId="9" fillId="0" borderId="0" xfId="0" applyNumberFormat="1" applyFont="1" applyAlignment="1">
      <alignment vertical="top"/>
    </xf>
    <xf numFmtId="37" fontId="28" fillId="0" borderId="0" xfId="0" applyNumberFormat="1" applyFont="1"/>
    <xf numFmtId="37" fontId="5" fillId="0" borderId="0" xfId="0" applyNumberFormat="1" applyFont="1" applyAlignment="1">
      <alignment horizontal="right" vertical="center"/>
    </xf>
    <xf numFmtId="37" fontId="5" fillId="0" borderId="11" xfId="0" applyNumberFormat="1" applyFont="1" applyBorder="1" applyAlignment="1">
      <alignment vertical="center"/>
    </xf>
    <xf numFmtId="43" fontId="28" fillId="0" borderId="0" xfId="1" applyFont="1" applyFill="1"/>
    <xf numFmtId="165" fontId="28" fillId="0" borderId="0" xfId="1" applyNumberFormat="1" applyFont="1" applyFill="1"/>
    <xf numFmtId="37" fontId="9" fillId="0" borderId="10" xfId="11" applyNumberFormat="1" applyFont="1" applyBorder="1" applyAlignment="1">
      <alignment horizontal="center" vertical="top"/>
    </xf>
    <xf numFmtId="165" fontId="9" fillId="0" borderId="31" xfId="1" applyNumberFormat="1" applyFont="1" applyFill="1" applyBorder="1" applyAlignment="1"/>
    <xf numFmtId="165" fontId="9" fillId="0" borderId="0" xfId="1" applyNumberFormat="1" applyFont="1" applyFill="1" applyAlignment="1"/>
    <xf numFmtId="167" fontId="9" fillId="0" borderId="10" xfId="11" applyNumberFormat="1" applyFont="1" applyBorder="1" applyAlignment="1">
      <alignment horizontal="center" wrapText="1"/>
    </xf>
    <xf numFmtId="165" fontId="9" fillId="0" borderId="0" xfId="1" applyNumberFormat="1" applyFont="1" applyFill="1" applyBorder="1" applyAlignment="1">
      <alignment vertical="top"/>
    </xf>
    <xf numFmtId="165" fontId="28" fillId="0" borderId="0" xfId="1" applyNumberFormat="1" applyFont="1" applyFill="1" applyBorder="1" applyAlignment="1">
      <alignment vertical="top"/>
    </xf>
    <xf numFmtId="165" fontId="9" fillId="0" borderId="31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wrapText="1"/>
    </xf>
    <xf numFmtId="37" fontId="9" fillId="0" borderId="10" xfId="0" applyNumberFormat="1" applyFont="1" applyBorder="1" applyAlignment="1">
      <alignment horizontal="center" vertical="center"/>
    </xf>
    <xf numFmtId="43" fontId="5" fillId="0" borderId="0" xfId="1" applyFont="1" applyFill="1" applyBorder="1" applyAlignment="1">
      <alignment horizontal="right"/>
    </xf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right"/>
    </xf>
    <xf numFmtId="164" fontId="5" fillId="0" borderId="0" xfId="2" applyNumberFormat="1" applyFont="1" applyBorder="1" applyAlignment="1">
      <alignment vertical="center"/>
    </xf>
    <xf numFmtId="0" fontId="29" fillId="0" borderId="10" xfId="23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37" fontId="9" fillId="0" borderId="7" xfId="0" applyNumberFormat="1" applyFont="1" applyBorder="1" applyAlignment="1">
      <alignment vertical="center"/>
    </xf>
    <xf numFmtId="37" fontId="9" fillId="0" borderId="3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37" fontId="5" fillId="0" borderId="0" xfId="26" applyNumberFormat="1" applyFont="1" applyAlignment="1" applyProtection="1">
      <alignment horizontal="center" vertical="center"/>
      <protection locked="0"/>
    </xf>
    <xf numFmtId="37" fontId="5" fillId="0" borderId="0" xfId="26" applyNumberFormat="1" applyFont="1" applyAlignment="1">
      <alignment vertical="center"/>
    </xf>
    <xf numFmtId="0" fontId="5" fillId="0" borderId="0" xfId="31" applyFont="1" applyAlignment="1">
      <alignment horizontal="center"/>
    </xf>
    <xf numFmtId="0" fontId="5" fillId="0" borderId="0" xfId="11" quotePrefix="1" applyFont="1" applyAlignment="1">
      <alignment horizontal="center"/>
    </xf>
    <xf numFmtId="0" fontId="5" fillId="0" borderId="35" xfId="11" applyFont="1" applyBorder="1" applyAlignment="1">
      <alignment horizontal="center"/>
    </xf>
    <xf numFmtId="171" fontId="9" fillId="0" borderId="0" xfId="1" applyNumberFormat="1" applyFont="1"/>
    <xf numFmtId="0" fontId="5" fillId="0" borderId="0" xfId="18" applyFont="1" applyAlignment="1">
      <alignment horizontal="right"/>
    </xf>
    <xf numFmtId="0" fontId="9" fillId="0" borderId="38" xfId="31" applyFont="1" applyBorder="1" applyAlignment="1">
      <alignment horizontal="center"/>
    </xf>
    <xf numFmtId="164" fontId="5" fillId="2" borderId="0" xfId="2" applyNumberFormat="1" applyFont="1" applyFill="1" applyBorder="1" applyAlignment="1" applyProtection="1">
      <alignment horizontal="right" vertical="center"/>
      <protection locked="0"/>
    </xf>
    <xf numFmtId="10" fontId="5" fillId="0" borderId="0" xfId="22" applyNumberFormat="1" applyFont="1" applyFill="1" applyBorder="1" applyAlignment="1">
      <alignment horizontal="right" vertical="center"/>
    </xf>
    <xf numFmtId="164" fontId="5" fillId="2" borderId="0" xfId="13" applyNumberFormat="1" applyFont="1" applyFill="1" applyBorder="1" applyAlignment="1" applyProtection="1">
      <alignment horizontal="right" vertical="center"/>
      <protection locked="0"/>
    </xf>
    <xf numFmtId="164" fontId="5" fillId="2" borderId="0" xfId="13" applyNumberFormat="1" applyFont="1" applyFill="1" applyAlignment="1" applyProtection="1">
      <alignment horizontal="right" vertical="center"/>
    </xf>
    <xf numFmtId="164" fontId="5" fillId="0" borderId="0" xfId="13" applyNumberFormat="1" applyFont="1" applyFill="1" applyAlignment="1" applyProtection="1">
      <alignment horizontal="right" vertical="center"/>
    </xf>
    <xf numFmtId="164" fontId="5" fillId="0" borderId="17" xfId="13" applyNumberFormat="1" applyFont="1" applyFill="1" applyBorder="1" applyAlignment="1" applyProtection="1">
      <alignment horizontal="right" vertic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31" xfId="1" applyNumberFormat="1" applyFont="1" applyFill="1" applyBorder="1" applyAlignment="1">
      <alignment vertical="center"/>
    </xf>
    <xf numFmtId="0" fontId="5" fillId="0" borderId="41" xfId="1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vertical="center"/>
    </xf>
    <xf numFmtId="10" fontId="9" fillId="3" borderId="0" xfId="3" applyNumberFormat="1" applyFont="1" applyFill="1" applyBorder="1"/>
    <xf numFmtId="164" fontId="7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 vertical="center"/>
    </xf>
    <xf numFmtId="10" fontId="7" fillId="0" borderId="0" xfId="3" applyNumberFormat="1" applyFont="1" applyAlignment="1">
      <alignment vertical="center"/>
    </xf>
    <xf numFmtId="173" fontId="7" fillId="0" borderId="0" xfId="3" applyNumberFormat="1" applyFont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0" fontId="9" fillId="0" borderId="41" xfId="11" applyFont="1" applyBorder="1" applyAlignment="1">
      <alignment horizontal="left" vertical="center"/>
    </xf>
    <xf numFmtId="1" fontId="9" fillId="0" borderId="41" xfId="11" applyNumberFormat="1" applyFont="1" applyBorder="1" applyAlignment="1">
      <alignment horizontal="center" vertical="center"/>
    </xf>
    <xf numFmtId="165" fontId="7" fillId="0" borderId="41" xfId="1" applyNumberFormat="1" applyFont="1" applyFill="1" applyBorder="1" applyAlignment="1">
      <alignment vertical="center"/>
    </xf>
    <xf numFmtId="10" fontId="9" fillId="3" borderId="41" xfId="3" applyNumberFormat="1" applyFont="1" applyFill="1" applyBorder="1"/>
    <xf numFmtId="165" fontId="7" fillId="0" borderId="41" xfId="1" applyNumberFormat="1" applyFont="1" applyBorder="1" applyAlignment="1">
      <alignment horizontal="center" vertical="center"/>
    </xf>
    <xf numFmtId="165" fontId="9" fillId="0" borderId="41" xfId="1" applyNumberFormat="1" applyFont="1" applyFill="1" applyBorder="1" applyAlignment="1">
      <alignment horizontal="right" vertical="center"/>
    </xf>
    <xf numFmtId="165" fontId="7" fillId="0" borderId="0" xfId="1" applyNumberFormat="1" applyFont="1" applyBorder="1" applyAlignment="1">
      <alignment horizontal="center" vertical="center"/>
    </xf>
    <xf numFmtId="174" fontId="7" fillId="0" borderId="2" xfId="2" applyNumberFormat="1" applyFont="1" applyBorder="1" applyAlignment="1">
      <alignment vertical="center"/>
    </xf>
    <xf numFmtId="174" fontId="7" fillId="0" borderId="0" xfId="2" applyNumberFormat="1" applyFont="1" applyAlignment="1">
      <alignment vertical="center"/>
    </xf>
    <xf numFmtId="174" fontId="9" fillId="0" borderId="0" xfId="2" applyNumberFormat="1" applyFont="1" applyFill="1" applyAlignment="1">
      <alignment vertical="center"/>
    </xf>
    <xf numFmtId="175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0" fontId="3" fillId="0" borderId="2" xfId="2" applyNumberFormat="1" applyFont="1" applyBorder="1"/>
    <xf numFmtId="10" fontId="7" fillId="3" borderId="0" xfId="3" applyNumberFormat="1" applyFont="1" applyFill="1" applyBorder="1"/>
    <xf numFmtId="0" fontId="5" fillId="0" borderId="0" xfId="0" quotePrefix="1" applyFont="1" applyAlignment="1">
      <alignment horizontal="center" vertical="center"/>
    </xf>
    <xf numFmtId="37" fontId="10" fillId="0" borderId="0" xfId="0" applyNumberFormat="1" applyFont="1" applyAlignment="1">
      <alignment horizontal="left" vertical="center"/>
    </xf>
    <xf numFmtId="0" fontId="9" fillId="0" borderId="42" xfId="31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7" fontId="10" fillId="0" borderId="14" xfId="33" applyNumberFormat="1" applyFont="1" applyBorder="1" applyAlignment="1">
      <alignment horizontal="left" vertical="center"/>
    </xf>
    <xf numFmtId="37" fontId="9" fillId="0" borderId="6" xfId="33" applyNumberFormat="1" applyFont="1" applyBorder="1" applyAlignment="1">
      <alignment horizontal="center" vertical="center"/>
    </xf>
    <xf numFmtId="165" fontId="14" fillId="0" borderId="0" xfId="1" applyNumberFormat="1" applyFont="1" applyFill="1" applyBorder="1" applyAlignment="1">
      <alignment vertical="center"/>
    </xf>
    <xf numFmtId="165" fontId="5" fillId="0" borderId="0" xfId="1" applyNumberFormat="1" applyFont="1" applyFill="1" applyBorder="1"/>
    <xf numFmtId="165" fontId="9" fillId="0" borderId="39" xfId="1" applyNumberFormat="1" applyFont="1" applyFill="1" applyBorder="1" applyAlignment="1">
      <alignment vertical="center"/>
    </xf>
    <xf numFmtId="165" fontId="9" fillId="0" borderId="40" xfId="1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7" fontId="9" fillId="0" borderId="4" xfId="0" applyNumberFormat="1" applyFont="1" applyBorder="1" applyAlignment="1">
      <alignment vertical="center"/>
    </xf>
    <xf numFmtId="37" fontId="9" fillId="0" borderId="6" xfId="0" applyNumberFormat="1" applyFont="1" applyBorder="1" applyAlignment="1">
      <alignment vertical="center"/>
    </xf>
    <xf numFmtId="37" fontId="9" fillId="0" borderId="6" xfId="1" applyNumberFormat="1" applyFont="1" applyBorder="1" applyAlignment="1">
      <alignment vertical="center"/>
    </xf>
    <xf numFmtId="37" fontId="9" fillId="0" borderId="6" xfId="1" applyNumberFormat="1" applyFont="1" applyFill="1" applyBorder="1" applyAlignment="1">
      <alignment vertical="center"/>
    </xf>
    <xf numFmtId="37" fontId="9" fillId="0" borderId="5" xfId="0" applyNumberFormat="1" applyFont="1" applyBorder="1" applyAlignment="1">
      <alignment vertical="center"/>
    </xf>
    <xf numFmtId="37" fontId="9" fillId="0" borderId="0" xfId="0" applyNumberFormat="1" applyFont="1" applyAlignment="1">
      <alignment horizontal="left" vertical="top"/>
    </xf>
    <xf numFmtId="37" fontId="10" fillId="0" borderId="0" xfId="0" applyNumberFormat="1" applyFont="1" applyAlignment="1">
      <alignment horizontal="right" vertical="center"/>
    </xf>
    <xf numFmtId="37" fontId="10" fillId="0" borderId="11" xfId="0" applyNumberFormat="1" applyFont="1" applyBorder="1" applyAlignment="1">
      <alignment vertical="center"/>
    </xf>
    <xf numFmtId="43" fontId="28" fillId="0" borderId="0" xfId="1" applyFont="1" applyFill="1" applyBorder="1"/>
    <xf numFmtId="165" fontId="28" fillId="0" borderId="0" xfId="1" applyNumberFormat="1" applyFont="1" applyFill="1" applyBorder="1"/>
    <xf numFmtId="37" fontId="9" fillId="0" borderId="10" xfId="16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center" wrapText="1"/>
    </xf>
    <xf numFmtId="43" fontId="10" fillId="0" borderId="0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37" fontId="5" fillId="0" borderId="0" xfId="17" applyNumberFormat="1" applyFont="1" applyAlignment="1" applyProtection="1">
      <alignment horizontal="center" vertical="center"/>
      <protection locked="0"/>
    </xf>
    <xf numFmtId="37" fontId="5" fillId="0" borderId="0" xfId="17" applyNumberFormat="1" applyFont="1" applyAlignment="1">
      <alignment vertical="center"/>
    </xf>
    <xf numFmtId="0" fontId="18" fillId="0" borderId="39" xfId="0" applyFont="1" applyBorder="1" applyAlignment="1">
      <alignment horizontal="center"/>
    </xf>
    <xf numFmtId="164" fontId="5" fillId="0" borderId="40" xfId="2" applyNumberFormat="1" applyFont="1" applyFill="1" applyBorder="1" applyAlignment="1">
      <alignment vertical="center"/>
    </xf>
    <xf numFmtId="164" fontId="5" fillId="0" borderId="43" xfId="2" applyNumberFormat="1" applyFont="1" applyFill="1" applyBorder="1" applyAlignment="1">
      <alignment vertical="center"/>
    </xf>
    <xf numFmtId="164" fontId="9" fillId="2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17" xfId="13" applyNumberFormat="1" applyFont="1" applyFill="1" applyBorder="1" applyAlignment="1" applyProtection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4" fontId="9" fillId="2" borderId="31" xfId="13" applyNumberFormat="1" applyFont="1" applyFill="1" applyBorder="1" applyAlignment="1" applyProtection="1">
      <alignment vertical="center"/>
      <protection locked="0"/>
    </xf>
    <xf numFmtId="10" fontId="9" fillId="0" borderId="0" xfId="22" applyNumberFormat="1" applyFont="1" applyFill="1" applyBorder="1" applyAlignment="1">
      <alignment horizontal="right" vertical="center"/>
    </xf>
    <xf numFmtId="10" fontId="9" fillId="0" borderId="0" xfId="31" applyNumberFormat="1" applyFont="1" applyAlignment="1">
      <alignment horizontal="right" vertical="center"/>
    </xf>
    <xf numFmtId="10" fontId="9" fillId="0" borderId="2" xfId="31" quotePrefix="1" applyNumberFormat="1" applyFont="1" applyBorder="1" applyAlignment="1">
      <alignment horizontal="right" vertical="center"/>
    </xf>
    <xf numFmtId="165" fontId="9" fillId="0" borderId="0" xfId="1" applyNumberFormat="1" applyFont="1" applyAlignment="1">
      <alignment horizontal="center" vertical="center"/>
    </xf>
    <xf numFmtId="0" fontId="18" fillId="0" borderId="31" xfId="0" applyFont="1" applyBorder="1" applyAlignment="1">
      <alignment horizontal="center"/>
    </xf>
    <xf numFmtId="10" fontId="9" fillId="3" borderId="31" xfId="3" applyNumberFormat="1" applyFont="1" applyFill="1" applyBorder="1"/>
    <xf numFmtId="165" fontId="7" fillId="0" borderId="31" xfId="1" applyNumberFormat="1" applyFont="1" applyFill="1" applyBorder="1" applyAlignment="1">
      <alignment vertical="center"/>
    </xf>
    <xf numFmtId="165" fontId="7" fillId="0" borderId="31" xfId="1" applyNumberFormat="1" applyFont="1" applyBorder="1" applyAlignment="1">
      <alignment horizontal="center" vertical="center"/>
    </xf>
    <xf numFmtId="164" fontId="7" fillId="0" borderId="2" xfId="2" applyNumberFormat="1" applyFont="1" applyFill="1" applyBorder="1" applyAlignment="1">
      <alignment vertical="center"/>
    </xf>
    <xf numFmtId="44" fontId="7" fillId="0" borderId="0" xfId="2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9" fillId="0" borderId="0" xfId="1" applyFont="1" applyFill="1" applyAlignment="1">
      <alignment horizontal="right" vertical="center"/>
    </xf>
    <xf numFmtId="43" fontId="9" fillId="0" borderId="41" xfId="1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9" fillId="0" borderId="31" xfId="1" applyFont="1" applyFill="1" applyBorder="1" applyAlignment="1">
      <alignment horizontal="right" vertical="center"/>
    </xf>
    <xf numFmtId="44" fontId="7" fillId="0" borderId="0" xfId="2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43" fontId="7" fillId="0" borderId="41" xfId="1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44" fontId="7" fillId="0" borderId="0" xfId="0" applyNumberFormat="1" applyFont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2" fillId="0" borderId="0" xfId="4" applyFont="1" applyAlignment="1">
      <alignment horizontal="center" vertical="justify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0" xfId="23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5" fillId="0" borderId="0" xfId="11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36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4" xr:uid="{83F2A21B-13F0-490B-BE7B-8947CEEF5932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6" xfId="35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A&amp;gallc1999" xfId="33" xr:uid="{CEB38DB1-3144-46DF-B857-A948191A94E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00D432AA-3CBB-48B2-9308-556FA67BE3A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1047750</xdr:colOff>
      <xdr:row>13</xdr:row>
      <xdr:rowOff>11907</xdr:rowOff>
    </xdr:from>
    <xdr:to>
      <xdr:col>8</xdr:col>
      <xdr:colOff>35721</xdr:colOff>
      <xdr:row>14</xdr:row>
      <xdr:rowOff>219076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9A1B661E-81DE-416E-843B-7B3978310568}"/>
            </a:ext>
          </a:extLst>
        </xdr:cNvPr>
        <xdr:cNvSpPr/>
      </xdr:nvSpPr>
      <xdr:spPr>
        <a:xfrm>
          <a:off x="9572625" y="2713832"/>
          <a:ext cx="64296" cy="43576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1143000</xdr:colOff>
      <xdr:row>14</xdr:row>
      <xdr:rowOff>17859</xdr:rowOff>
    </xdr:from>
    <xdr:to>
      <xdr:col>8</xdr:col>
      <xdr:colOff>35720</xdr:colOff>
      <xdr:row>15</xdr:row>
      <xdr:rowOff>166687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C782A463-6A89-49B6-9AD3-E5328C435DFB}"/>
            </a:ext>
          </a:extLst>
        </xdr:cNvPr>
        <xdr:cNvSpPr/>
      </xdr:nvSpPr>
      <xdr:spPr>
        <a:xfrm>
          <a:off x="10753725" y="2713434"/>
          <a:ext cx="92870" cy="37266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1143000</xdr:colOff>
      <xdr:row>14</xdr:row>
      <xdr:rowOff>17859</xdr:rowOff>
    </xdr:from>
    <xdr:to>
      <xdr:col>8</xdr:col>
      <xdr:colOff>35720</xdr:colOff>
      <xdr:row>15</xdr:row>
      <xdr:rowOff>166687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EB53A737-D75B-4E76-8B1A-785FC48C4479}"/>
            </a:ext>
          </a:extLst>
        </xdr:cNvPr>
        <xdr:cNvSpPr/>
      </xdr:nvSpPr>
      <xdr:spPr>
        <a:xfrm>
          <a:off x="10748963" y="2665809"/>
          <a:ext cx="92870" cy="36790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1143001</xdr:colOff>
      <xdr:row>14</xdr:row>
      <xdr:rowOff>17859</xdr:rowOff>
    </xdr:from>
    <xdr:to>
      <xdr:col>8</xdr:col>
      <xdr:colOff>23814</xdr:colOff>
      <xdr:row>15</xdr:row>
      <xdr:rowOff>171449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BFF62E70-CDE5-45A3-BC67-08D65C592B21}"/>
            </a:ext>
          </a:extLst>
        </xdr:cNvPr>
        <xdr:cNvSpPr/>
      </xdr:nvSpPr>
      <xdr:spPr>
        <a:xfrm>
          <a:off x="10763251" y="2732484"/>
          <a:ext cx="83344" cy="36790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D2E9FDA-1906-4E14-8119-44109A9D247E}"/>
            </a:ext>
          </a:extLst>
        </xdr:cNvPr>
        <xdr:cNvSpPr>
          <a:spLocks noChangeShapeType="1"/>
        </xdr:cNvSpPr>
      </xdr:nvSpPr>
      <xdr:spPr bwMode="auto">
        <a:xfrm>
          <a:off x="190023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0ECA1C4-5879-47D1-B3C5-336D7C3EE6D7}"/>
            </a:ext>
          </a:extLst>
        </xdr:cNvPr>
        <xdr:cNvSpPr>
          <a:spLocks noChangeShapeType="1"/>
        </xdr:cNvSpPr>
      </xdr:nvSpPr>
      <xdr:spPr bwMode="auto">
        <a:xfrm>
          <a:off x="175736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AF4EE042-9EC6-43C8-A316-247A172DBAE3}"/>
            </a:ext>
          </a:extLst>
        </xdr:cNvPr>
        <xdr:cNvSpPr>
          <a:spLocks noChangeShapeType="1"/>
        </xdr:cNvSpPr>
      </xdr:nvSpPr>
      <xdr:spPr bwMode="auto">
        <a:xfrm>
          <a:off x="190023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AC5DD2C3-FFE4-4BF3-AB50-F3F8A31FFDA2}"/>
            </a:ext>
          </a:extLst>
        </xdr:cNvPr>
        <xdr:cNvSpPr>
          <a:spLocks noChangeShapeType="1"/>
        </xdr:cNvSpPr>
      </xdr:nvSpPr>
      <xdr:spPr bwMode="auto">
        <a:xfrm>
          <a:off x="190023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7EB3B07-A539-4EA1-82CF-28D09D21AC4C}"/>
            </a:ext>
          </a:extLst>
        </xdr:cNvPr>
        <xdr:cNvSpPr>
          <a:spLocks noChangeShapeType="1"/>
        </xdr:cNvSpPr>
      </xdr:nvSpPr>
      <xdr:spPr bwMode="auto">
        <a:xfrm>
          <a:off x="175736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FA3FD29-EBC3-40DD-AC40-644186DDCB3F}"/>
            </a:ext>
          </a:extLst>
        </xdr:cNvPr>
        <xdr:cNvSpPr>
          <a:spLocks noChangeShapeType="1"/>
        </xdr:cNvSpPr>
      </xdr:nvSpPr>
      <xdr:spPr bwMode="auto">
        <a:xfrm>
          <a:off x="1908177" y="269700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95EED9ED-B7ED-442E-BFBA-5238D89D3D0D}"/>
            </a:ext>
          </a:extLst>
        </xdr:cNvPr>
        <xdr:cNvSpPr>
          <a:spLocks noChangeShapeType="1"/>
        </xdr:cNvSpPr>
      </xdr:nvSpPr>
      <xdr:spPr bwMode="auto">
        <a:xfrm>
          <a:off x="1908177" y="269700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B3707C26-FC28-40B1-9A61-BC173EBD2A19}"/>
            </a:ext>
          </a:extLst>
        </xdr:cNvPr>
        <xdr:cNvSpPr>
          <a:spLocks noChangeShapeType="1"/>
        </xdr:cNvSpPr>
      </xdr:nvSpPr>
      <xdr:spPr bwMode="auto">
        <a:xfrm>
          <a:off x="1765305" y="293036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zoomScale="80" zoomScaleNormal="80" workbookViewId="0"/>
  </sheetViews>
  <sheetFormatPr defaultColWidth="9.140625" defaultRowHeight="15" x14ac:dyDescent="0.25"/>
  <cols>
    <col min="1" max="1" width="4.85546875" style="1" bestFit="1" customWidth="1"/>
    <col min="2" max="2" width="75" style="1" customWidth="1"/>
    <col min="3" max="3" width="1.5703125" style="1" customWidth="1"/>
    <col min="4" max="4" width="20.85546875" style="1" customWidth="1"/>
    <col min="5" max="5" width="1.5703125" style="1" customWidth="1"/>
    <col min="6" max="6" width="43.85546875" style="1" customWidth="1"/>
    <col min="7" max="7" width="4.85546875" style="1" customWidth="1"/>
    <col min="8" max="16384" width="9.140625" style="1"/>
  </cols>
  <sheetData>
    <row r="2" spans="1:8" ht="18.75" x14ac:dyDescent="0.25">
      <c r="B2" s="764" t="s">
        <v>0</v>
      </c>
      <c r="C2" s="764"/>
      <c r="D2" s="764"/>
      <c r="E2" s="764"/>
      <c r="F2" s="764"/>
    </row>
    <row r="3" spans="1:8" ht="18.75" x14ac:dyDescent="0.25">
      <c r="B3" s="158" t="s">
        <v>432</v>
      </c>
      <c r="C3" s="2"/>
      <c r="D3" s="3"/>
      <c r="E3" s="3"/>
      <c r="F3" s="3"/>
    </row>
    <row r="4" spans="1:8" ht="18.75" x14ac:dyDescent="0.3">
      <c r="B4" s="763" t="s">
        <v>613</v>
      </c>
      <c r="C4" s="763"/>
      <c r="D4" s="763"/>
      <c r="E4" s="763"/>
      <c r="F4" s="763"/>
    </row>
    <row r="5" spans="1:8" ht="18.75" x14ac:dyDescent="0.3">
      <c r="B5" s="160" t="s">
        <v>433</v>
      </c>
      <c r="C5" s="2"/>
      <c r="D5" s="2"/>
      <c r="E5" s="2"/>
      <c r="F5" s="2"/>
    </row>
    <row r="6" spans="1:8" ht="15.75" x14ac:dyDescent="0.25">
      <c r="B6" s="762" t="s">
        <v>1</v>
      </c>
      <c r="C6" s="762"/>
      <c r="D6" s="762"/>
      <c r="E6" s="762"/>
      <c r="F6" s="762"/>
      <c r="G6" s="4"/>
      <c r="H6" s="4"/>
    </row>
    <row r="7" spans="1:8" ht="15.75" x14ac:dyDescent="0.25">
      <c r="B7" s="5"/>
      <c r="C7" s="5"/>
      <c r="D7" s="6"/>
      <c r="E7" s="7"/>
      <c r="F7" s="5"/>
      <c r="G7" s="5"/>
    </row>
    <row r="8" spans="1:8" ht="15.75" x14ac:dyDescent="0.25">
      <c r="A8" s="8" t="s">
        <v>2</v>
      </c>
      <c r="G8" s="8" t="s">
        <v>2</v>
      </c>
    </row>
    <row r="9" spans="1:8" ht="15.75" x14ac:dyDescent="0.25">
      <c r="A9" s="11" t="s">
        <v>6</v>
      </c>
      <c r="B9" s="9" t="s">
        <v>3</v>
      </c>
      <c r="C9" s="9"/>
      <c r="D9" s="9" t="s">
        <v>4</v>
      </c>
      <c r="E9" s="10"/>
      <c r="F9" s="9" t="s">
        <v>5</v>
      </c>
      <c r="G9" s="11" t="s">
        <v>6</v>
      </c>
    </row>
    <row r="10" spans="1:8" ht="15.75" x14ac:dyDescent="0.25">
      <c r="A10" s="8"/>
      <c r="B10" s="5"/>
      <c r="C10" s="5"/>
      <c r="D10" s="12"/>
      <c r="E10" s="12"/>
      <c r="F10" s="12"/>
      <c r="G10" s="8"/>
    </row>
    <row r="11" spans="1:8" ht="15.75" x14ac:dyDescent="0.25">
      <c r="A11" s="8">
        <v>1</v>
      </c>
      <c r="B11" s="7" t="s">
        <v>447</v>
      </c>
      <c r="C11" s="7"/>
      <c r="D11" s="12"/>
      <c r="E11" s="12"/>
      <c r="F11" s="12"/>
      <c r="G11" s="8">
        <v>1</v>
      </c>
    </row>
    <row r="12" spans="1:8" ht="15.75" x14ac:dyDescent="0.25">
      <c r="A12" s="8">
        <f>A11+1</f>
        <v>2</v>
      </c>
      <c r="B12" s="7"/>
      <c r="C12" s="7"/>
      <c r="D12" s="12"/>
      <c r="E12" s="12"/>
      <c r="F12" s="12"/>
      <c r="G12" s="8">
        <f>G11+1</f>
        <v>2</v>
      </c>
    </row>
    <row r="13" spans="1:8" ht="15.75" x14ac:dyDescent="0.25">
      <c r="A13" s="8">
        <f t="shared" ref="A13:A14" si="0">A12+1</f>
        <v>3</v>
      </c>
      <c r="B13" s="165" t="s">
        <v>276</v>
      </c>
      <c r="C13" s="13"/>
      <c r="D13" s="14">
        <f>'Pg2 Appendix X C9 Comparison'!G28</f>
        <v>6.9642119896070653</v>
      </c>
      <c r="E13" s="14"/>
      <c r="F13" s="12" t="s">
        <v>434</v>
      </c>
      <c r="G13" s="8">
        <f t="shared" ref="G13:G14" si="1">G12+1</f>
        <v>3</v>
      </c>
    </row>
    <row r="14" spans="1:8" ht="15.75" x14ac:dyDescent="0.25">
      <c r="A14" s="8">
        <f t="shared" si="0"/>
        <v>4</v>
      </c>
      <c r="B14" s="5"/>
      <c r="C14" s="12"/>
      <c r="D14" s="14"/>
      <c r="E14" s="14"/>
      <c r="F14" s="12"/>
      <c r="G14" s="8">
        <f t="shared" si="1"/>
        <v>4</v>
      </c>
    </row>
    <row r="15" spans="1:8" ht="15.75" x14ac:dyDescent="0.25">
      <c r="A15" s="8">
        <f t="shared" ref="A15:A21" si="2">A14+1</f>
        <v>5</v>
      </c>
      <c r="B15" s="5" t="s">
        <v>8</v>
      </c>
      <c r="C15" s="12"/>
      <c r="D15" s="15">
        <f>'Pg14 Appendix X C9 Int Calc'!G78</f>
        <v>1.6661394292322187</v>
      </c>
      <c r="E15" s="16"/>
      <c r="F15" s="12" t="s">
        <v>617</v>
      </c>
      <c r="G15" s="8">
        <f t="shared" ref="G15:G21" si="3">G14+1</f>
        <v>5</v>
      </c>
    </row>
    <row r="16" spans="1:8" ht="15.75" x14ac:dyDescent="0.25">
      <c r="A16" s="8">
        <f t="shared" si="2"/>
        <v>6</v>
      </c>
      <c r="B16" s="5"/>
      <c r="C16" s="12"/>
      <c r="D16" s="17"/>
      <c r="E16" s="17"/>
      <c r="F16" s="12"/>
      <c r="G16" s="8">
        <f t="shared" si="3"/>
        <v>6</v>
      </c>
    </row>
    <row r="17" spans="1:7" ht="15.75" x14ac:dyDescent="0.25">
      <c r="A17" s="8">
        <f t="shared" si="2"/>
        <v>7</v>
      </c>
      <c r="B17" s="555" t="s">
        <v>187</v>
      </c>
      <c r="C17" s="10"/>
      <c r="D17" s="554">
        <f>D13+D15</f>
        <v>8.6303514188392842</v>
      </c>
      <c r="E17" s="14"/>
      <c r="F17" s="12" t="s">
        <v>370</v>
      </c>
      <c r="G17" s="8">
        <f t="shared" si="3"/>
        <v>7</v>
      </c>
    </row>
    <row r="18" spans="1:7" ht="15.75" x14ac:dyDescent="0.25">
      <c r="A18" s="8">
        <f t="shared" si="2"/>
        <v>8</v>
      </c>
      <c r="B18" s="5"/>
      <c r="C18" s="12"/>
      <c r="D18" s="159"/>
      <c r="E18" s="5"/>
      <c r="F18" s="5"/>
      <c r="G18" s="8">
        <f t="shared" si="3"/>
        <v>8</v>
      </c>
    </row>
    <row r="19" spans="1:7" ht="15.75" x14ac:dyDescent="0.25">
      <c r="A19" s="8">
        <f t="shared" si="2"/>
        <v>9</v>
      </c>
      <c r="B19" s="275" t="s">
        <v>186</v>
      </c>
      <c r="C19" s="12"/>
      <c r="D19" s="386">
        <v>12</v>
      </c>
      <c r="E19" s="5"/>
      <c r="F19" s="5"/>
      <c r="G19" s="8">
        <f t="shared" si="3"/>
        <v>9</v>
      </c>
    </row>
    <row r="20" spans="1:7" ht="15.75" x14ac:dyDescent="0.25">
      <c r="A20" s="8">
        <f t="shared" si="2"/>
        <v>10</v>
      </c>
      <c r="B20" s="5"/>
      <c r="C20" s="12"/>
      <c r="D20" s="159"/>
      <c r="E20" s="5"/>
      <c r="F20" s="5"/>
      <c r="G20" s="8">
        <f t="shared" si="3"/>
        <v>10</v>
      </c>
    </row>
    <row r="21" spans="1:7" ht="16.5" thickBot="1" x14ac:dyDescent="0.3">
      <c r="A21" s="8">
        <f t="shared" si="2"/>
        <v>11</v>
      </c>
      <c r="B21" s="555" t="s">
        <v>275</v>
      </c>
      <c r="C21" s="5"/>
      <c r="D21" s="699">
        <f>D17/12</f>
        <v>0.71919595156994032</v>
      </c>
      <c r="E21" s="5"/>
      <c r="F21" s="12" t="s">
        <v>371</v>
      </c>
      <c r="G21" s="8">
        <f t="shared" si="3"/>
        <v>11</v>
      </c>
    </row>
    <row r="22" spans="1:7" ht="16.5" thickTop="1" x14ac:dyDescent="0.25">
      <c r="A22" s="8"/>
      <c r="B22" s="161"/>
      <c r="C22" s="5"/>
      <c r="D22" s="385"/>
      <c r="E22" s="5"/>
      <c r="F22" s="5"/>
      <c r="G22" s="5"/>
    </row>
    <row r="23" spans="1:7" ht="15.75" x14ac:dyDescent="0.25">
      <c r="B23" s="5"/>
      <c r="C23" s="5"/>
      <c r="D23" s="5"/>
      <c r="E23" s="5"/>
      <c r="F23" s="5"/>
      <c r="G23" s="5"/>
    </row>
    <row r="24" spans="1:7" ht="17.25" x14ac:dyDescent="0.25">
      <c r="A24" s="18">
        <v>1</v>
      </c>
      <c r="B24" s="19" t="s">
        <v>282</v>
      </c>
      <c r="C24" s="5"/>
      <c r="D24" s="5"/>
      <c r="E24" s="5"/>
      <c r="F24" s="5"/>
      <c r="G24" s="5"/>
    </row>
    <row r="25" spans="1:7" ht="15.75" x14ac:dyDescent="0.25">
      <c r="B25" s="19" t="s">
        <v>635</v>
      </c>
      <c r="C25" s="5"/>
      <c r="D25" s="5"/>
      <c r="E25" s="5"/>
      <c r="F25" s="5"/>
      <c r="G25" s="5"/>
    </row>
    <row r="26" spans="1:7" ht="15.75" x14ac:dyDescent="0.25">
      <c r="B26" s="5"/>
      <c r="C26" s="5"/>
      <c r="D26" s="5"/>
      <c r="E26" s="5"/>
      <c r="F26" s="5"/>
      <c r="G26" s="5"/>
    </row>
    <row r="27" spans="1:7" ht="15.75" x14ac:dyDescent="0.25">
      <c r="B27" s="5"/>
      <c r="C27" s="5"/>
      <c r="D27" s="5"/>
      <c r="E27" s="5"/>
      <c r="F27" s="5"/>
      <c r="G27" s="5"/>
    </row>
    <row r="28" spans="1:7" ht="15.75" x14ac:dyDescent="0.25">
      <c r="B28" s="5"/>
      <c r="C28" s="5"/>
      <c r="D28" s="5"/>
      <c r="E28" s="5"/>
      <c r="F28" s="5"/>
      <c r="G28" s="5"/>
    </row>
    <row r="29" spans="1:7" ht="17.25" x14ac:dyDescent="0.25">
      <c r="A29" s="18"/>
      <c r="B29" s="5"/>
      <c r="C29" s="5"/>
      <c r="D29" s="5"/>
      <c r="E29" s="5"/>
      <c r="F29" s="5"/>
      <c r="G29" s="5"/>
    </row>
    <row r="30" spans="1:7" ht="15.75" x14ac:dyDescent="0.25">
      <c r="B30" s="5"/>
      <c r="C30" s="5"/>
      <c r="D30" s="5"/>
      <c r="E30" s="5"/>
      <c r="F30" s="5"/>
      <c r="G30" s="5"/>
    </row>
    <row r="31" spans="1:7" ht="15.75" x14ac:dyDescent="0.25">
      <c r="B31" s="5"/>
      <c r="C31" s="5"/>
      <c r="D31" s="5"/>
      <c r="E31" s="5"/>
      <c r="F31" s="5"/>
      <c r="G31" s="5"/>
    </row>
    <row r="32" spans="1:7" ht="15.75" x14ac:dyDescent="0.25">
      <c r="B32" s="5"/>
      <c r="C32" s="5"/>
      <c r="D32" s="5"/>
      <c r="E32" s="5"/>
      <c r="F32" s="5"/>
      <c r="G32" s="5"/>
    </row>
    <row r="33" spans="2:7" ht="15.75" x14ac:dyDescent="0.25">
      <c r="B33" s="5"/>
      <c r="C33" s="5"/>
      <c r="D33" s="5"/>
      <c r="E33" s="5"/>
      <c r="F33" s="5"/>
      <c r="G33" s="5"/>
    </row>
    <row r="34" spans="2:7" ht="15.75" x14ac:dyDescent="0.25">
      <c r="B34" s="5"/>
      <c r="C34" s="5"/>
      <c r="D34" s="5"/>
      <c r="E34" s="5"/>
      <c r="F34" s="5"/>
      <c r="G34" s="5"/>
    </row>
    <row r="35" spans="2:7" ht="15.75" x14ac:dyDescent="0.25">
      <c r="B35" s="5"/>
      <c r="C35" s="5"/>
      <c r="D35" s="5"/>
      <c r="E35" s="5"/>
      <c r="F35" s="5"/>
      <c r="G35" s="5"/>
    </row>
    <row r="36" spans="2:7" ht="15.75" x14ac:dyDescent="0.25">
      <c r="B36" s="5"/>
      <c r="C36" s="5"/>
      <c r="D36" s="5"/>
      <c r="E36" s="5"/>
      <c r="F36" s="5"/>
      <c r="G36" s="5"/>
    </row>
    <row r="37" spans="2:7" ht="15.75" x14ac:dyDescent="0.25">
      <c r="B37" s="5"/>
      <c r="C37" s="5"/>
      <c r="D37" s="5"/>
      <c r="E37" s="5"/>
      <c r="F37" s="5"/>
      <c r="G37" s="5"/>
    </row>
    <row r="38" spans="2:7" ht="15.75" x14ac:dyDescent="0.25">
      <c r="B38" s="5"/>
      <c r="C38" s="5"/>
      <c r="D38" s="5"/>
      <c r="E38" s="5"/>
      <c r="F38" s="5"/>
      <c r="G38" s="5"/>
    </row>
    <row r="39" spans="2:7" ht="15.75" x14ac:dyDescent="0.25">
      <c r="B39" s="5"/>
      <c r="C39" s="5"/>
      <c r="D39" s="5"/>
      <c r="E39" s="5"/>
      <c r="F39" s="5"/>
      <c r="G39" s="5"/>
    </row>
    <row r="40" spans="2:7" ht="15.75" x14ac:dyDescent="0.25">
      <c r="B40" s="5"/>
      <c r="C40" s="5"/>
      <c r="D40" s="5"/>
      <c r="E40" s="5"/>
      <c r="F40" s="5"/>
      <c r="G40" s="5"/>
    </row>
    <row r="41" spans="2:7" ht="15.75" x14ac:dyDescent="0.25">
      <c r="B41" s="5"/>
      <c r="C41" s="5"/>
      <c r="D41" s="5"/>
      <c r="E41" s="5"/>
      <c r="F41" s="5"/>
      <c r="G41" s="5"/>
    </row>
  </sheetData>
  <mergeCells count="3">
    <mergeCell ref="B6:F6"/>
    <mergeCell ref="B4:F4"/>
    <mergeCell ref="B2:F2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6"/>
  <sheetViews>
    <sheetView zoomScale="80" zoomScaleNormal="80" workbookViewId="0"/>
  </sheetViews>
  <sheetFormatPr defaultColWidth="8.85546875" defaultRowHeight="15.75" x14ac:dyDescent="0.25"/>
  <cols>
    <col min="1" max="1" width="5.28515625" style="39" bestFit="1" customWidth="1"/>
    <col min="2" max="2" width="80.5703125" style="40" customWidth="1"/>
    <col min="3" max="3" width="21.140625" style="40" customWidth="1"/>
    <col min="4" max="4" width="1.5703125" style="40" customWidth="1"/>
    <col min="5" max="5" width="16.85546875" style="40" customWidth="1"/>
    <col min="6" max="6" width="1.5703125" style="40" customWidth="1"/>
    <col min="7" max="7" width="53.85546875" style="40" customWidth="1"/>
    <col min="8" max="8" width="5.140625" style="40" customWidth="1"/>
    <col min="9" max="9" width="8.85546875" style="40"/>
    <col min="10" max="10" width="20.42578125" style="40" bestFit="1" customWidth="1"/>
    <col min="11" max="16384" width="8.85546875" style="40"/>
  </cols>
  <sheetData>
    <row r="1" spans="1:8" x14ac:dyDescent="0.25">
      <c r="G1" s="41"/>
      <c r="H1" s="39"/>
    </row>
    <row r="2" spans="1:8" x14ac:dyDescent="0.25">
      <c r="B2" s="772" t="s">
        <v>21</v>
      </c>
      <c r="C2" s="772"/>
      <c r="D2" s="772"/>
      <c r="E2" s="772"/>
      <c r="F2" s="772"/>
      <c r="G2" s="772"/>
      <c r="H2" s="39"/>
    </row>
    <row r="3" spans="1:8" x14ac:dyDescent="0.25">
      <c r="B3" s="772" t="s">
        <v>22</v>
      </c>
      <c r="C3" s="772"/>
      <c r="D3" s="772"/>
      <c r="E3" s="772"/>
      <c r="F3" s="772"/>
      <c r="G3" s="772"/>
      <c r="H3" s="39"/>
    </row>
    <row r="4" spans="1:8" x14ac:dyDescent="0.25">
      <c r="B4" s="772" t="s">
        <v>23</v>
      </c>
      <c r="C4" s="772"/>
      <c r="D4" s="772"/>
      <c r="E4" s="772"/>
      <c r="F4" s="772"/>
      <c r="G4" s="772"/>
      <c r="H4" s="39"/>
    </row>
    <row r="5" spans="1:8" x14ac:dyDescent="0.25">
      <c r="B5" s="775" t="s">
        <v>457</v>
      </c>
      <c r="C5" s="775"/>
      <c r="D5" s="775"/>
      <c r="E5" s="775"/>
      <c r="F5" s="775"/>
      <c r="G5" s="775"/>
      <c r="H5" s="39"/>
    </row>
    <row r="6" spans="1:8" x14ac:dyDescent="0.25">
      <c r="B6" s="774" t="s">
        <v>1</v>
      </c>
      <c r="C6" s="776"/>
      <c r="D6" s="776"/>
      <c r="E6" s="776"/>
      <c r="F6" s="776"/>
      <c r="G6" s="776"/>
      <c r="H6" s="39"/>
    </row>
    <row r="7" spans="1:8" x14ac:dyDescent="0.25">
      <c r="B7" s="39"/>
      <c r="C7" s="39"/>
      <c r="D7" s="39"/>
      <c r="E7" s="42"/>
      <c r="F7" s="42"/>
      <c r="G7" s="39"/>
      <c r="H7" s="39"/>
    </row>
    <row r="8" spans="1:8" x14ac:dyDescent="0.25">
      <c r="A8" s="39" t="s">
        <v>2</v>
      </c>
      <c r="B8" s="387"/>
      <c r="C8" s="39" t="s">
        <v>24</v>
      </c>
      <c r="D8" s="387"/>
      <c r="E8" s="43"/>
      <c r="F8" s="43"/>
      <c r="G8" s="39"/>
      <c r="H8" s="39" t="s">
        <v>2</v>
      </c>
    </row>
    <row r="9" spans="1:8" x14ac:dyDescent="0.25">
      <c r="A9" s="39" t="s">
        <v>6</v>
      </c>
      <c r="C9" s="328" t="s">
        <v>25</v>
      </c>
      <c r="D9" s="387"/>
      <c r="E9" s="329" t="s">
        <v>4</v>
      </c>
      <c r="F9" s="43"/>
      <c r="G9" s="328" t="s">
        <v>5</v>
      </c>
      <c r="H9" s="39" t="s">
        <v>6</v>
      </c>
    </row>
    <row r="10" spans="1:8" x14ac:dyDescent="0.25">
      <c r="C10" s="387"/>
      <c r="D10" s="387"/>
      <c r="E10" s="43"/>
      <c r="F10" s="43"/>
      <c r="G10" s="39"/>
      <c r="H10" s="39"/>
    </row>
    <row r="11" spans="1:8" x14ac:dyDescent="0.25">
      <c r="A11" s="39">
        <v>1</v>
      </c>
      <c r="B11" s="330" t="s">
        <v>240</v>
      </c>
      <c r="C11" s="387"/>
      <c r="D11" s="387"/>
      <c r="E11" s="43"/>
      <c r="F11" s="43"/>
      <c r="G11" s="39"/>
      <c r="H11" s="39">
        <f>A11</f>
        <v>1</v>
      </c>
    </row>
    <row r="12" spans="1:8" x14ac:dyDescent="0.25">
      <c r="A12" s="39">
        <f>+A11+1</f>
        <v>2</v>
      </c>
      <c r="B12" s="275" t="s">
        <v>241</v>
      </c>
      <c r="C12" s="387"/>
      <c r="D12" s="387"/>
      <c r="E12" s="45">
        <v>356.88444000000004</v>
      </c>
      <c r="F12" s="43"/>
      <c r="G12" s="39" t="s">
        <v>484</v>
      </c>
      <c r="H12" s="39">
        <f>H11+1</f>
        <v>2</v>
      </c>
    </row>
    <row r="13" spans="1:8" x14ac:dyDescent="0.25">
      <c r="A13" s="39">
        <f t="shared" ref="A13:A71" si="0">+A12+1</f>
        <v>3</v>
      </c>
      <c r="C13" s="387"/>
      <c r="D13" s="387"/>
      <c r="E13" s="43"/>
      <c r="F13" s="43"/>
      <c r="G13" s="39"/>
      <c r="H13" s="39">
        <f t="shared" ref="H13:H71" si="1">H12+1</f>
        <v>3</v>
      </c>
    </row>
    <row r="14" spans="1:8" x14ac:dyDescent="0.25">
      <c r="A14" s="39">
        <f t="shared" si="0"/>
        <v>4</v>
      </c>
      <c r="B14" s="330" t="s">
        <v>242</v>
      </c>
      <c r="G14" s="39"/>
      <c r="H14" s="39">
        <f t="shared" si="1"/>
        <v>4</v>
      </c>
    </row>
    <row r="15" spans="1:8" x14ac:dyDescent="0.25">
      <c r="A15" s="39">
        <f t="shared" si="0"/>
        <v>5</v>
      </c>
      <c r="B15" s="20" t="s">
        <v>243</v>
      </c>
      <c r="C15" s="39"/>
      <c r="E15" s="45">
        <v>97078.547500000001</v>
      </c>
      <c r="G15" s="39" t="s">
        <v>485</v>
      </c>
      <c r="H15" s="39">
        <f t="shared" si="1"/>
        <v>5</v>
      </c>
    </row>
    <row r="16" spans="1:8" x14ac:dyDescent="0.25">
      <c r="A16" s="39">
        <f t="shared" si="0"/>
        <v>6</v>
      </c>
      <c r="B16" s="26" t="s">
        <v>26</v>
      </c>
      <c r="E16" s="47"/>
      <c r="G16" s="39"/>
      <c r="H16" s="39">
        <f t="shared" si="1"/>
        <v>6</v>
      </c>
    </row>
    <row r="17" spans="1:8" x14ac:dyDescent="0.25">
      <c r="A17" s="39">
        <f t="shared" si="0"/>
        <v>7</v>
      </c>
      <c r="B17" s="20" t="s">
        <v>244</v>
      </c>
      <c r="C17" s="39"/>
      <c r="E17" s="48">
        <v>-5093.2442599999995</v>
      </c>
      <c r="G17" s="39" t="s">
        <v>486</v>
      </c>
      <c r="H17" s="39">
        <f t="shared" si="1"/>
        <v>7</v>
      </c>
    </row>
    <row r="18" spans="1:8" x14ac:dyDescent="0.25">
      <c r="A18" s="39">
        <f t="shared" si="0"/>
        <v>8</v>
      </c>
      <c r="B18" s="20" t="s">
        <v>245</v>
      </c>
      <c r="E18" s="48">
        <v>-2418.7412800000002</v>
      </c>
      <c r="G18" s="39" t="s">
        <v>487</v>
      </c>
      <c r="H18" s="39">
        <f t="shared" si="1"/>
        <v>8</v>
      </c>
    </row>
    <row r="19" spans="1:8" x14ac:dyDescent="0.25">
      <c r="A19" s="39">
        <f t="shared" si="0"/>
        <v>9</v>
      </c>
      <c r="B19" s="275" t="s">
        <v>246</v>
      </c>
      <c r="E19" s="48">
        <v>-6283.7089999999998</v>
      </c>
      <c r="G19" s="39" t="s">
        <v>488</v>
      </c>
      <c r="H19" s="39">
        <f t="shared" si="1"/>
        <v>9</v>
      </c>
    </row>
    <row r="20" spans="1:8" x14ac:dyDescent="0.25">
      <c r="A20" s="39">
        <f t="shared" si="0"/>
        <v>10</v>
      </c>
      <c r="B20" s="275" t="s">
        <v>279</v>
      </c>
      <c r="E20" s="48">
        <v>-12.191000000000001</v>
      </c>
      <c r="G20" s="39" t="s">
        <v>489</v>
      </c>
      <c r="H20" s="39">
        <f t="shared" si="1"/>
        <v>10</v>
      </c>
    </row>
    <row r="21" spans="1:8" x14ac:dyDescent="0.25">
      <c r="A21" s="39">
        <f t="shared" si="0"/>
        <v>11</v>
      </c>
      <c r="B21" s="20" t="s">
        <v>247</v>
      </c>
      <c r="E21" s="48">
        <v>0</v>
      </c>
      <c r="G21" s="39" t="s">
        <v>490</v>
      </c>
      <c r="H21" s="39">
        <f t="shared" si="1"/>
        <v>11</v>
      </c>
    </row>
    <row r="22" spans="1:8" x14ac:dyDescent="0.25">
      <c r="A22" s="39">
        <f t="shared" si="0"/>
        <v>12</v>
      </c>
      <c r="B22" s="20" t="s">
        <v>248</v>
      </c>
      <c r="E22" s="48">
        <v>-3186.0456599999998</v>
      </c>
      <c r="G22" s="39" t="s">
        <v>491</v>
      </c>
      <c r="H22" s="39">
        <f t="shared" si="1"/>
        <v>12</v>
      </c>
    </row>
    <row r="23" spans="1:8" x14ac:dyDescent="0.25">
      <c r="A23" s="39">
        <f t="shared" si="0"/>
        <v>13</v>
      </c>
      <c r="B23" s="275" t="s">
        <v>249</v>
      </c>
      <c r="E23" s="48">
        <v>-16048.173000000001</v>
      </c>
      <c r="G23" s="39" t="s">
        <v>492</v>
      </c>
      <c r="H23" s="39">
        <f t="shared" si="1"/>
        <v>13</v>
      </c>
    </row>
    <row r="24" spans="1:8" x14ac:dyDescent="0.25">
      <c r="A24" s="39">
        <f t="shared" si="0"/>
        <v>14</v>
      </c>
      <c r="B24" s="275" t="s">
        <v>250</v>
      </c>
      <c r="E24" s="48">
        <v>-18139.88</v>
      </c>
      <c r="G24" s="39" t="s">
        <v>493</v>
      </c>
      <c r="H24" s="39">
        <f t="shared" si="1"/>
        <v>14</v>
      </c>
    </row>
    <row r="25" spans="1:8" x14ac:dyDescent="0.25">
      <c r="A25" s="39">
        <f t="shared" si="0"/>
        <v>15</v>
      </c>
      <c r="B25" s="275" t="s">
        <v>251</v>
      </c>
      <c r="E25" s="48">
        <v>-720.00900000000001</v>
      </c>
      <c r="G25" s="39" t="s">
        <v>494</v>
      </c>
      <c r="H25" s="39">
        <f t="shared" si="1"/>
        <v>15</v>
      </c>
    </row>
    <row r="26" spans="1:8" x14ac:dyDescent="0.25">
      <c r="A26" s="39">
        <f t="shared" si="0"/>
        <v>16</v>
      </c>
      <c r="B26" s="20" t="s">
        <v>252</v>
      </c>
      <c r="E26" s="49">
        <v>-132.11562000000001</v>
      </c>
      <c r="G26" s="39" t="s">
        <v>495</v>
      </c>
      <c r="H26" s="39">
        <f t="shared" si="1"/>
        <v>16</v>
      </c>
    </row>
    <row r="27" spans="1:8" x14ac:dyDescent="0.25">
      <c r="A27" s="39">
        <f t="shared" si="0"/>
        <v>17</v>
      </c>
      <c r="B27" s="40" t="s">
        <v>584</v>
      </c>
      <c r="E27" s="49">
        <v>-2294.73</v>
      </c>
      <c r="F27" s="27"/>
      <c r="G27" s="39" t="s">
        <v>254</v>
      </c>
      <c r="H27" s="39">
        <f t="shared" si="1"/>
        <v>17</v>
      </c>
    </row>
    <row r="28" spans="1:8" x14ac:dyDescent="0.25">
      <c r="A28" s="39">
        <f t="shared" si="0"/>
        <v>18</v>
      </c>
      <c r="B28" s="20" t="s">
        <v>255</v>
      </c>
      <c r="E28" s="106">
        <f>SUM(E15:E27)</f>
        <v>42749.708679999996</v>
      </c>
      <c r="F28" s="27"/>
      <c r="G28" s="34" t="s">
        <v>496</v>
      </c>
      <c r="H28" s="39">
        <f t="shared" si="1"/>
        <v>18</v>
      </c>
    </row>
    <row r="29" spans="1:8" x14ac:dyDescent="0.25">
      <c r="A29" s="39">
        <f t="shared" si="0"/>
        <v>19</v>
      </c>
      <c r="E29" s="38"/>
      <c r="H29" s="39">
        <f t="shared" si="1"/>
        <v>19</v>
      </c>
    </row>
    <row r="30" spans="1:8" x14ac:dyDescent="0.25">
      <c r="A30" s="39">
        <f t="shared" si="0"/>
        <v>20</v>
      </c>
      <c r="B30" s="331" t="s">
        <v>256</v>
      </c>
      <c r="E30" s="51"/>
      <c r="G30" s="39"/>
      <c r="H30" s="39">
        <f t="shared" si="1"/>
        <v>20</v>
      </c>
    </row>
    <row r="31" spans="1:8" x14ac:dyDescent="0.25">
      <c r="A31" s="39">
        <f t="shared" si="0"/>
        <v>21</v>
      </c>
      <c r="B31" s="26" t="s">
        <v>257</v>
      </c>
      <c r="C31" s="39"/>
      <c r="E31" s="45">
        <f>'Pg8.3 Rev AH-3-Cost Adj'!D32</f>
        <v>498881.70766999997</v>
      </c>
      <c r="G31" s="39" t="s">
        <v>497</v>
      </c>
      <c r="H31" s="39">
        <f t="shared" si="1"/>
        <v>21</v>
      </c>
    </row>
    <row r="32" spans="1:8" x14ac:dyDescent="0.25">
      <c r="A32" s="39">
        <f t="shared" si="0"/>
        <v>22</v>
      </c>
      <c r="B32" s="26" t="s">
        <v>27</v>
      </c>
      <c r="E32" s="51" t="s">
        <v>11</v>
      </c>
      <c r="G32" s="39"/>
      <c r="H32" s="39">
        <f t="shared" si="1"/>
        <v>22</v>
      </c>
    </row>
    <row r="33" spans="1:10" x14ac:dyDescent="0.25">
      <c r="A33" s="39">
        <f t="shared" si="0"/>
        <v>23</v>
      </c>
      <c r="B33" s="189" t="s">
        <v>28</v>
      </c>
      <c r="E33" s="48">
        <f>-'Pg8.3 Rev AH-3-Cost Adj'!D53</f>
        <v>-576.97162999999989</v>
      </c>
      <c r="G33" s="39" t="s">
        <v>260</v>
      </c>
      <c r="H33" s="39">
        <f t="shared" si="1"/>
        <v>23</v>
      </c>
      <c r="I33" s="332"/>
      <c r="J33" s="53"/>
    </row>
    <row r="34" spans="1:10" ht="31.5" x14ac:dyDescent="0.25">
      <c r="A34" s="39">
        <f t="shared" si="0"/>
        <v>24</v>
      </c>
      <c r="B34" s="101" t="s">
        <v>29</v>
      </c>
      <c r="E34" s="48">
        <f>-('Pg8.3 Rev AH-3-Cost Adj'!E36+'Pg8.3 Rev AH-3-Cost Adj'!E37+'Pg8.3 Rev AH-3-Cost Adj'!D39+'Pg8.3 Rev AH-3-Cost Adj'!D40+'Pg8.3 Rev AH-3-Cost Adj'!D43+'Pg8.3 Rev AH-3-Cost Adj'!D46+'Pg8.3 Rev AH-3-Cost Adj'!D52+'Pg8.3 Rev AH-3-Cost Adj'!D55)</f>
        <v>-2631.6195512479999</v>
      </c>
      <c r="G34" s="52" t="s">
        <v>372</v>
      </c>
      <c r="H34" s="39">
        <f t="shared" si="1"/>
        <v>24</v>
      </c>
      <c r="I34" s="332"/>
      <c r="J34" s="53"/>
    </row>
    <row r="35" spans="1:10" x14ac:dyDescent="0.25">
      <c r="A35" s="39">
        <f t="shared" si="0"/>
        <v>25</v>
      </c>
      <c r="B35" s="189" t="s">
        <v>81</v>
      </c>
      <c r="E35" s="48">
        <f>-'Pg8.3 Rev AH-3-Cost Adj'!D47</f>
        <v>0</v>
      </c>
      <c r="G35" s="39" t="s">
        <v>258</v>
      </c>
      <c r="H35" s="39">
        <f t="shared" si="1"/>
        <v>25</v>
      </c>
      <c r="I35" s="332"/>
      <c r="J35" s="53"/>
    </row>
    <row r="36" spans="1:10" ht="15.75" customHeight="1" x14ac:dyDescent="0.25">
      <c r="A36" s="39">
        <f t="shared" si="0"/>
        <v>26</v>
      </c>
      <c r="B36" s="101" t="s">
        <v>30</v>
      </c>
      <c r="E36" s="48">
        <f>-'Pg8.3 Rev AH-3-Cost Adj'!D48</f>
        <v>-1212.49029</v>
      </c>
      <c r="G36" s="39" t="s">
        <v>259</v>
      </c>
      <c r="H36" s="39">
        <f t="shared" si="1"/>
        <v>26</v>
      </c>
      <c r="I36" s="332"/>
      <c r="J36" s="53"/>
    </row>
    <row r="37" spans="1:10" x14ac:dyDescent="0.25">
      <c r="A37" s="39">
        <f t="shared" si="0"/>
        <v>27</v>
      </c>
      <c r="B37" s="189" t="s">
        <v>31</v>
      </c>
      <c r="E37" s="48">
        <f>-'Pg8.3 Rev AH-3-Cost Adj'!D49</f>
        <v>-9790.5481500000005</v>
      </c>
      <c r="G37" s="39" t="s">
        <v>259</v>
      </c>
      <c r="H37" s="39">
        <f t="shared" si="1"/>
        <v>27</v>
      </c>
    </row>
    <row r="38" spans="1:10" x14ac:dyDescent="0.25">
      <c r="A38" s="39">
        <f t="shared" si="0"/>
        <v>28</v>
      </c>
      <c r="B38" s="189" t="s">
        <v>32</v>
      </c>
      <c r="E38" s="48">
        <f>-'Pg8.3 Rev AH-3-Cost Adj'!D41</f>
        <v>0</v>
      </c>
      <c r="G38" s="52" t="s">
        <v>373</v>
      </c>
      <c r="H38" s="39">
        <f t="shared" si="1"/>
        <v>28</v>
      </c>
      <c r="J38" s="53"/>
    </row>
    <row r="39" spans="1:10" x14ac:dyDescent="0.25">
      <c r="A39" s="39">
        <f t="shared" si="0"/>
        <v>29</v>
      </c>
      <c r="B39" s="189" t="s">
        <v>33</v>
      </c>
      <c r="E39" s="48">
        <f>-'Pg8.3 Rev AH-3-Cost Adj'!E51</f>
        <v>-112.52861999999999</v>
      </c>
      <c r="G39" s="52" t="s">
        <v>374</v>
      </c>
      <c r="H39" s="39">
        <f t="shared" si="1"/>
        <v>29</v>
      </c>
      <c r="I39" s="332"/>
    </row>
    <row r="40" spans="1:10" x14ac:dyDescent="0.25">
      <c r="A40" s="39">
        <f t="shared" si="0"/>
        <v>30</v>
      </c>
      <c r="B40" s="189" t="s">
        <v>34</v>
      </c>
      <c r="E40" s="48">
        <f>-'Pg8.3 Rev AH-3-Cost Adj'!E45</f>
        <v>-127615.79129000001</v>
      </c>
      <c r="G40" s="39" t="s">
        <v>375</v>
      </c>
      <c r="H40" s="39">
        <f t="shared" si="1"/>
        <v>30</v>
      </c>
      <c r="I40" s="332"/>
      <c r="J40" s="53"/>
    </row>
    <row r="41" spans="1:10" x14ac:dyDescent="0.25">
      <c r="A41" s="39">
        <f t="shared" si="0"/>
        <v>31</v>
      </c>
      <c r="B41" s="189" t="s">
        <v>35</v>
      </c>
      <c r="E41" s="48">
        <f>-'Pg8.3 Rev AH-3-Cost Adj'!D54</f>
        <v>-39.414587415</v>
      </c>
      <c r="G41" s="52" t="s">
        <v>376</v>
      </c>
      <c r="H41" s="39">
        <f t="shared" si="1"/>
        <v>31</v>
      </c>
    </row>
    <row r="42" spans="1:10" x14ac:dyDescent="0.25">
      <c r="A42" s="39">
        <f t="shared" si="0"/>
        <v>32</v>
      </c>
      <c r="B42" s="189" t="s">
        <v>36</v>
      </c>
      <c r="E42" s="48">
        <f>-('Pg8.3 Rev AH-3-Cost Adj'!D38+'Pg8.3 Rev AH-3-Cost Adj'!D50)</f>
        <v>-205.81998999999999</v>
      </c>
      <c r="G42" s="52" t="s">
        <v>377</v>
      </c>
      <c r="H42" s="39">
        <f t="shared" si="1"/>
        <v>32</v>
      </c>
    </row>
    <row r="43" spans="1:10" x14ac:dyDescent="0.25">
      <c r="A43" s="39">
        <f t="shared" si="0"/>
        <v>33</v>
      </c>
      <c r="B43" s="189" t="s">
        <v>37</v>
      </c>
      <c r="E43" s="48">
        <f>-('Pg8.3 Rev AH-3-Cost Adj'!D42+'Pg8.3 Rev AH-3-Cost Adj'!D44)</f>
        <v>-250.33335</v>
      </c>
      <c r="G43" s="52" t="s">
        <v>378</v>
      </c>
      <c r="H43" s="39">
        <f t="shared" si="1"/>
        <v>33</v>
      </c>
    </row>
    <row r="44" spans="1:10" x14ac:dyDescent="0.25">
      <c r="A44" s="39">
        <f t="shared" si="0"/>
        <v>34</v>
      </c>
      <c r="B44" s="40" t="s">
        <v>584</v>
      </c>
      <c r="E44" s="48">
        <f>'Pg8.3 Rev AH-3-Cost Adj'!H32</f>
        <v>-1040.0990000000002</v>
      </c>
      <c r="F44" s="27"/>
      <c r="G44" s="39" t="s">
        <v>379</v>
      </c>
      <c r="H44" s="39">
        <f t="shared" si="1"/>
        <v>34</v>
      </c>
    </row>
    <row r="45" spans="1:10" x14ac:dyDescent="0.25">
      <c r="A45" s="39">
        <f t="shared" si="0"/>
        <v>35</v>
      </c>
      <c r="B45" s="388" t="s">
        <v>253</v>
      </c>
      <c r="E45" s="333">
        <f>'Pg8.2 Rev AH-3'!L27</f>
        <v>1915.9580000000001</v>
      </c>
      <c r="F45" s="27" t="s">
        <v>16</v>
      </c>
      <c r="G45" s="39" t="s">
        <v>625</v>
      </c>
      <c r="H45" s="39">
        <f t="shared" si="1"/>
        <v>35</v>
      </c>
    </row>
    <row r="46" spans="1:10" x14ac:dyDescent="0.25">
      <c r="A46" s="39">
        <f t="shared" si="0"/>
        <v>36</v>
      </c>
      <c r="B46" s="26" t="s">
        <v>261</v>
      </c>
      <c r="E46" s="55">
        <f>SUM(E31:E45)</f>
        <v>357322.04921133706</v>
      </c>
      <c r="F46" s="27" t="s">
        <v>16</v>
      </c>
      <c r="G46" s="39" t="s">
        <v>599</v>
      </c>
      <c r="H46" s="39">
        <f t="shared" si="1"/>
        <v>36</v>
      </c>
      <c r="J46" s="54"/>
    </row>
    <row r="47" spans="1:10" x14ac:dyDescent="0.25">
      <c r="A47" s="39">
        <f t="shared" si="0"/>
        <v>37</v>
      </c>
      <c r="B47" s="26" t="s">
        <v>38</v>
      </c>
      <c r="E47" s="334">
        <f>-'Pg8.3 Rev AH-3-Cost Adj'!F17</f>
        <v>-8305.6217899999992</v>
      </c>
      <c r="G47" s="39" t="s">
        <v>499</v>
      </c>
      <c r="H47" s="39">
        <f t="shared" si="1"/>
        <v>37</v>
      </c>
      <c r="J47" s="54"/>
    </row>
    <row r="48" spans="1:10" x14ac:dyDescent="0.25">
      <c r="A48" s="39">
        <f t="shared" si="0"/>
        <v>38</v>
      </c>
      <c r="B48" s="26" t="s">
        <v>262</v>
      </c>
      <c r="E48" s="55">
        <f>SUM(E46:E47)</f>
        <v>349016.42742133705</v>
      </c>
      <c r="F48" s="27" t="s">
        <v>16</v>
      </c>
      <c r="G48" s="39" t="s">
        <v>600</v>
      </c>
      <c r="H48" s="39">
        <f t="shared" si="1"/>
        <v>38</v>
      </c>
    </row>
    <row r="49" spans="1:9" x14ac:dyDescent="0.25">
      <c r="A49" s="39">
        <f t="shared" si="0"/>
        <v>39</v>
      </c>
      <c r="B49" s="20" t="s">
        <v>39</v>
      </c>
      <c r="E49" s="335">
        <v>0.1046207187592927</v>
      </c>
      <c r="G49" s="34" t="s">
        <v>483</v>
      </c>
      <c r="H49" s="39">
        <f t="shared" si="1"/>
        <v>39</v>
      </c>
    </row>
    <row r="50" spans="1:9" x14ac:dyDescent="0.25">
      <c r="A50" s="39">
        <f t="shared" si="0"/>
        <v>40</v>
      </c>
      <c r="B50" s="26" t="s">
        <v>263</v>
      </c>
      <c r="E50" s="56">
        <f>E48*E49</f>
        <v>36514.349495620794</v>
      </c>
      <c r="F50" s="27" t="s">
        <v>16</v>
      </c>
      <c r="G50" s="39" t="s">
        <v>601</v>
      </c>
      <c r="H50" s="39">
        <f t="shared" si="1"/>
        <v>40</v>
      </c>
    </row>
    <row r="51" spans="1:9" x14ac:dyDescent="0.25">
      <c r="A51" s="39">
        <f t="shared" si="0"/>
        <v>41</v>
      </c>
      <c r="B51" s="40" t="s">
        <v>40</v>
      </c>
      <c r="E51" s="402">
        <f>E71*(-E47)</f>
        <v>3331.8080445854657</v>
      </c>
      <c r="G51" s="39" t="s">
        <v>602</v>
      </c>
      <c r="H51" s="39">
        <f t="shared" si="1"/>
        <v>41</v>
      </c>
    </row>
    <row r="52" spans="1:9" ht="16.5" thickBot="1" x14ac:dyDescent="0.3">
      <c r="A52" s="39">
        <f t="shared" si="0"/>
        <v>42</v>
      </c>
      <c r="B52" s="46" t="s">
        <v>264</v>
      </c>
      <c r="E52" s="336">
        <f>E51+E50</f>
        <v>39846.157540206259</v>
      </c>
      <c r="F52" s="27" t="s">
        <v>16</v>
      </c>
      <c r="G52" s="39" t="s">
        <v>603</v>
      </c>
      <c r="H52" s="39">
        <f t="shared" si="1"/>
        <v>42</v>
      </c>
      <c r="I52" s="46"/>
    </row>
    <row r="53" spans="1:9" ht="16.5" thickTop="1" x14ac:dyDescent="0.25">
      <c r="A53" s="39">
        <f t="shared" si="0"/>
        <v>43</v>
      </c>
      <c r="B53" s="57"/>
      <c r="E53" s="58"/>
      <c r="G53" s="39"/>
      <c r="H53" s="39">
        <f t="shared" si="1"/>
        <v>43</v>
      </c>
    </row>
    <row r="54" spans="1:9" x14ac:dyDescent="0.25">
      <c r="A54" s="39">
        <f t="shared" si="0"/>
        <v>44</v>
      </c>
      <c r="B54" s="28" t="s">
        <v>41</v>
      </c>
      <c r="E54" s="59"/>
      <c r="G54" s="39"/>
      <c r="H54" s="39">
        <f t="shared" si="1"/>
        <v>44</v>
      </c>
    </row>
    <row r="55" spans="1:9" x14ac:dyDescent="0.25">
      <c r="A55" s="39">
        <f t="shared" si="0"/>
        <v>45</v>
      </c>
      <c r="B55" s="26" t="s">
        <v>42</v>
      </c>
      <c r="E55" s="35">
        <v>6268562.5495546153</v>
      </c>
      <c r="G55" s="39" t="s">
        <v>504</v>
      </c>
      <c r="H55" s="39">
        <f t="shared" si="1"/>
        <v>45</v>
      </c>
    </row>
    <row r="56" spans="1:9" x14ac:dyDescent="0.25">
      <c r="A56" s="39">
        <f t="shared" si="0"/>
        <v>46</v>
      </c>
      <c r="B56" s="26" t="s">
        <v>18</v>
      </c>
      <c r="E56" s="60">
        <v>0</v>
      </c>
      <c r="G56" s="39" t="s">
        <v>17</v>
      </c>
      <c r="H56" s="39">
        <f t="shared" si="1"/>
        <v>46</v>
      </c>
    </row>
    <row r="57" spans="1:9" x14ac:dyDescent="0.25">
      <c r="A57" s="39">
        <f t="shared" si="0"/>
        <v>47</v>
      </c>
      <c r="B57" s="26" t="s">
        <v>19</v>
      </c>
      <c r="E57" s="61">
        <v>48373.508859840331</v>
      </c>
      <c r="G57" s="62" t="s">
        <v>505</v>
      </c>
      <c r="H57" s="39">
        <f t="shared" si="1"/>
        <v>47</v>
      </c>
    </row>
    <row r="58" spans="1:9" x14ac:dyDescent="0.25">
      <c r="A58" s="39">
        <f t="shared" si="0"/>
        <v>48</v>
      </c>
      <c r="B58" s="26" t="s">
        <v>43</v>
      </c>
      <c r="E58" s="337">
        <v>108383.68918448385</v>
      </c>
      <c r="G58" s="62" t="s">
        <v>506</v>
      </c>
      <c r="H58" s="39">
        <f t="shared" si="1"/>
        <v>48</v>
      </c>
    </row>
    <row r="59" spans="1:9" ht="16.5" thickBot="1" x14ac:dyDescent="0.3">
      <c r="A59" s="39">
        <f t="shared" si="0"/>
        <v>49</v>
      </c>
      <c r="B59" s="26" t="s">
        <v>44</v>
      </c>
      <c r="E59" s="63">
        <f>SUM(E55:E58)</f>
        <v>6425319.7475989396</v>
      </c>
      <c r="G59" s="39" t="s">
        <v>604</v>
      </c>
      <c r="H59" s="39">
        <f t="shared" si="1"/>
        <v>49</v>
      </c>
      <c r="I59" s="46"/>
    </row>
    <row r="60" spans="1:9" ht="16.5" thickTop="1" x14ac:dyDescent="0.25">
      <c r="A60" s="39">
        <f t="shared" si="0"/>
        <v>50</v>
      </c>
      <c r="B60" s="57"/>
      <c r="E60" s="38"/>
      <c r="G60" s="39"/>
      <c r="H60" s="39">
        <f t="shared" si="1"/>
        <v>50</v>
      </c>
    </row>
    <row r="61" spans="1:9" x14ac:dyDescent="0.25">
      <c r="A61" s="39">
        <f t="shared" si="0"/>
        <v>51</v>
      </c>
      <c r="B61" s="26" t="s">
        <v>45</v>
      </c>
      <c r="E61" s="64">
        <f>E55</f>
        <v>6268562.5495546153</v>
      </c>
      <c r="G61" s="65" t="s">
        <v>605</v>
      </c>
      <c r="H61" s="39">
        <f t="shared" si="1"/>
        <v>51</v>
      </c>
    </row>
    <row r="62" spans="1:9" x14ac:dyDescent="0.25">
      <c r="A62" s="39">
        <f t="shared" si="0"/>
        <v>52</v>
      </c>
      <c r="B62" s="26" t="s">
        <v>46</v>
      </c>
      <c r="E62" s="36">
        <v>549685.71425000008</v>
      </c>
      <c r="G62" s="62" t="s">
        <v>509</v>
      </c>
      <c r="H62" s="39">
        <f t="shared" si="1"/>
        <v>52</v>
      </c>
    </row>
    <row r="63" spans="1:9" x14ac:dyDescent="0.25">
      <c r="A63" s="39">
        <f t="shared" si="0"/>
        <v>53</v>
      </c>
      <c r="B63" s="26" t="s">
        <v>47</v>
      </c>
      <c r="E63" s="60">
        <v>0</v>
      </c>
      <c r="G63" s="39" t="s">
        <v>17</v>
      </c>
      <c r="H63" s="39">
        <f t="shared" si="1"/>
        <v>53</v>
      </c>
    </row>
    <row r="64" spans="1:9" x14ac:dyDescent="0.25">
      <c r="A64" s="39">
        <f t="shared" si="0"/>
        <v>54</v>
      </c>
      <c r="B64" s="26" t="s">
        <v>48</v>
      </c>
      <c r="E64" s="36">
        <v>523339.62325846136</v>
      </c>
      <c r="G64" s="62" t="s">
        <v>510</v>
      </c>
      <c r="H64" s="39">
        <f t="shared" si="1"/>
        <v>54</v>
      </c>
    </row>
    <row r="65" spans="1:9" x14ac:dyDescent="0.25">
      <c r="A65" s="39">
        <f t="shared" si="0"/>
        <v>55</v>
      </c>
      <c r="B65" s="26" t="s">
        <v>49</v>
      </c>
      <c r="E65" s="36">
        <v>7177286.0903050005</v>
      </c>
      <c r="G65" s="62" t="s">
        <v>511</v>
      </c>
      <c r="H65" s="39">
        <f t="shared" si="1"/>
        <v>55</v>
      </c>
    </row>
    <row r="66" spans="1:9" x14ac:dyDescent="0.25">
      <c r="A66" s="39">
        <f t="shared" si="0"/>
        <v>56</v>
      </c>
      <c r="B66" s="46" t="s">
        <v>18</v>
      </c>
      <c r="E66" s="60">
        <v>0</v>
      </c>
      <c r="G66" s="39" t="s">
        <v>17</v>
      </c>
      <c r="H66" s="39">
        <f t="shared" si="1"/>
        <v>56</v>
      </c>
    </row>
    <row r="67" spans="1:9" x14ac:dyDescent="0.25">
      <c r="A67" s="39">
        <f t="shared" si="0"/>
        <v>57</v>
      </c>
      <c r="B67" s="26" t="s">
        <v>50</v>
      </c>
      <c r="E67" s="36">
        <v>462370.25928999996</v>
      </c>
      <c r="G67" s="62" t="s">
        <v>512</v>
      </c>
      <c r="H67" s="39">
        <f t="shared" si="1"/>
        <v>57</v>
      </c>
    </row>
    <row r="68" spans="1:9" x14ac:dyDescent="0.25">
      <c r="A68" s="39">
        <f t="shared" si="0"/>
        <v>58</v>
      </c>
      <c r="B68" s="26" t="s">
        <v>51</v>
      </c>
      <c r="E68" s="338">
        <v>1035967.7363128125</v>
      </c>
      <c r="G68" s="62" t="s">
        <v>513</v>
      </c>
      <c r="H68" s="39">
        <f t="shared" si="1"/>
        <v>58</v>
      </c>
    </row>
    <row r="69" spans="1:9" ht="16.5" thickBot="1" x14ac:dyDescent="0.3">
      <c r="A69" s="39">
        <f t="shared" si="0"/>
        <v>59</v>
      </c>
      <c r="B69" s="26" t="s">
        <v>52</v>
      </c>
      <c r="E69" s="66">
        <f>SUM(E61:E68)</f>
        <v>16017211.97297089</v>
      </c>
      <c r="G69" s="39" t="s">
        <v>606</v>
      </c>
      <c r="H69" s="39">
        <f t="shared" si="1"/>
        <v>59</v>
      </c>
      <c r="I69" s="46"/>
    </row>
    <row r="70" spans="1:9" ht="16.5" thickTop="1" x14ac:dyDescent="0.25">
      <c r="A70" s="39">
        <f t="shared" si="0"/>
        <v>60</v>
      </c>
      <c r="E70" s="67"/>
      <c r="G70" s="39"/>
      <c r="H70" s="39">
        <f t="shared" si="1"/>
        <v>60</v>
      </c>
    </row>
    <row r="71" spans="1:9" ht="19.5" thickBot="1" x14ac:dyDescent="0.3">
      <c r="A71" s="39">
        <f t="shared" si="0"/>
        <v>61</v>
      </c>
      <c r="B71" s="26" t="s">
        <v>265</v>
      </c>
      <c r="E71" s="68">
        <f>E59/E69</f>
        <v>0.40115094677161622</v>
      </c>
      <c r="G71" s="39" t="s">
        <v>607</v>
      </c>
      <c r="H71" s="39">
        <f t="shared" si="1"/>
        <v>61</v>
      </c>
      <c r="I71" s="46"/>
    </row>
    <row r="72" spans="1:9" ht="16.5" thickTop="1" x14ac:dyDescent="0.25">
      <c r="B72" s="46" t="s">
        <v>11</v>
      </c>
      <c r="E72" s="69"/>
      <c r="G72" s="39"/>
      <c r="H72" s="39"/>
    </row>
    <row r="73" spans="1:9" x14ac:dyDescent="0.25">
      <c r="A73" s="27" t="s">
        <v>16</v>
      </c>
      <c r="B73" s="25" t="s">
        <v>632</v>
      </c>
      <c r="E73" s="69"/>
      <c r="F73" s="69"/>
      <c r="G73" s="39"/>
      <c r="H73" s="39"/>
    </row>
    <row r="74" spans="1:9" x14ac:dyDescent="0.25">
      <c r="A74" s="27"/>
      <c r="B74" s="25" t="s">
        <v>633</v>
      </c>
      <c r="E74" s="69"/>
      <c r="F74" s="69"/>
      <c r="G74" s="39"/>
      <c r="H74" s="39"/>
    </row>
    <row r="75" spans="1:9" ht="18.75" x14ac:dyDescent="0.25">
      <c r="A75" s="71">
        <v>1</v>
      </c>
      <c r="B75" s="26" t="s">
        <v>558</v>
      </c>
      <c r="H75" s="39"/>
    </row>
    <row r="76" spans="1:9" x14ac:dyDescent="0.25">
      <c r="B76" s="46"/>
      <c r="E76" s="67"/>
      <c r="F76" s="67"/>
      <c r="G76" s="39"/>
      <c r="H76" s="39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8&amp;R&amp;A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DFD2-5302-4D70-8805-EE27647B519F}">
  <sheetPr>
    <pageSetUpPr fitToPage="1"/>
  </sheetPr>
  <dimension ref="A1:J75"/>
  <sheetViews>
    <sheetView zoomScale="80" zoomScaleNormal="80" workbookViewId="0"/>
  </sheetViews>
  <sheetFormatPr defaultColWidth="8.85546875" defaultRowHeight="15.75" x14ac:dyDescent="0.25"/>
  <cols>
    <col min="1" max="1" width="5.28515625" style="39" bestFit="1" customWidth="1"/>
    <col min="2" max="2" width="80.5703125" style="40" customWidth="1"/>
    <col min="3" max="3" width="21.140625" style="40" customWidth="1"/>
    <col min="4" max="4" width="1.5703125" style="40" customWidth="1"/>
    <col min="5" max="5" width="16.85546875" style="40" customWidth="1"/>
    <col min="6" max="6" width="1.5703125" style="40" customWidth="1"/>
    <col min="7" max="7" width="53.85546875" style="40" customWidth="1"/>
    <col min="8" max="8" width="5.140625" style="40" customWidth="1"/>
    <col min="9" max="9" width="8.85546875" style="40"/>
    <col min="10" max="10" width="20.42578125" style="40" bestFit="1" customWidth="1"/>
    <col min="11" max="16384" width="8.85546875" style="40"/>
  </cols>
  <sheetData>
    <row r="1" spans="1:8" x14ac:dyDescent="0.25">
      <c r="A1" s="702" t="s">
        <v>598</v>
      </c>
    </row>
    <row r="2" spans="1:8" x14ac:dyDescent="0.25">
      <c r="G2" s="41"/>
      <c r="H2" s="39"/>
    </row>
    <row r="3" spans="1:8" x14ac:dyDescent="0.25">
      <c r="B3" s="772" t="s">
        <v>21</v>
      </c>
      <c r="C3" s="772"/>
      <c r="D3" s="772"/>
      <c r="E3" s="772"/>
      <c r="F3" s="772"/>
      <c r="G3" s="772"/>
      <c r="H3" s="39"/>
    </row>
    <row r="4" spans="1:8" x14ac:dyDescent="0.25">
      <c r="B4" s="772" t="s">
        <v>22</v>
      </c>
      <c r="C4" s="772"/>
      <c r="D4" s="772"/>
      <c r="E4" s="772"/>
      <c r="F4" s="772"/>
      <c r="G4" s="772"/>
      <c r="H4" s="39"/>
    </row>
    <row r="5" spans="1:8" x14ac:dyDescent="0.25">
      <c r="B5" s="772" t="s">
        <v>23</v>
      </c>
      <c r="C5" s="772"/>
      <c r="D5" s="772"/>
      <c r="E5" s="772"/>
      <c r="F5" s="772"/>
      <c r="G5" s="772"/>
      <c r="H5" s="39"/>
    </row>
    <row r="6" spans="1:8" x14ac:dyDescent="0.25">
      <c r="B6" s="775" t="s">
        <v>457</v>
      </c>
      <c r="C6" s="775"/>
      <c r="D6" s="775"/>
      <c r="E6" s="775"/>
      <c r="F6" s="775"/>
      <c r="G6" s="775"/>
      <c r="H6" s="39"/>
    </row>
    <row r="7" spans="1:8" x14ac:dyDescent="0.25">
      <c r="B7" s="774" t="s">
        <v>1</v>
      </c>
      <c r="C7" s="776"/>
      <c r="D7" s="776"/>
      <c r="E7" s="776"/>
      <c r="F7" s="776"/>
      <c r="G7" s="776"/>
      <c r="H7" s="39"/>
    </row>
    <row r="8" spans="1:8" x14ac:dyDescent="0.25">
      <c r="B8" s="39"/>
      <c r="C8" s="39"/>
      <c r="D8" s="39"/>
      <c r="E8" s="42"/>
      <c r="F8" s="42"/>
      <c r="G8" s="39"/>
      <c r="H8" s="39"/>
    </row>
    <row r="9" spans="1:8" x14ac:dyDescent="0.25">
      <c r="A9" s="39" t="s">
        <v>2</v>
      </c>
      <c r="B9" s="387"/>
      <c r="C9" s="39" t="s">
        <v>24</v>
      </c>
      <c r="D9" s="387"/>
      <c r="E9" s="43"/>
      <c r="F9" s="43"/>
      <c r="G9" s="39"/>
      <c r="H9" s="39" t="s">
        <v>2</v>
      </c>
    </row>
    <row r="10" spans="1:8" x14ac:dyDescent="0.25">
      <c r="A10" s="39" t="s">
        <v>6</v>
      </c>
      <c r="C10" s="328" t="s">
        <v>25</v>
      </c>
      <c r="D10" s="387"/>
      <c r="E10" s="329" t="s">
        <v>4</v>
      </c>
      <c r="F10" s="43"/>
      <c r="G10" s="328" t="s">
        <v>5</v>
      </c>
      <c r="H10" s="39" t="s">
        <v>6</v>
      </c>
    </row>
    <row r="11" spans="1:8" x14ac:dyDescent="0.25">
      <c r="C11" s="387"/>
      <c r="D11" s="387"/>
      <c r="E11" s="43"/>
      <c r="F11" s="43"/>
      <c r="G11" s="39"/>
      <c r="H11" s="39"/>
    </row>
    <row r="12" spans="1:8" x14ac:dyDescent="0.25">
      <c r="A12" s="39">
        <v>1</v>
      </c>
      <c r="B12" s="330" t="s">
        <v>240</v>
      </c>
      <c r="C12" s="387"/>
      <c r="D12" s="387"/>
      <c r="E12" s="43"/>
      <c r="F12" s="43"/>
      <c r="G12" s="39"/>
      <c r="H12" s="39">
        <f>A12</f>
        <v>1</v>
      </c>
    </row>
    <row r="13" spans="1:8" x14ac:dyDescent="0.25">
      <c r="A13" s="39">
        <f>+A12+1</f>
        <v>2</v>
      </c>
      <c r="B13" s="275" t="s">
        <v>241</v>
      </c>
      <c r="C13" s="387"/>
      <c r="D13" s="387"/>
      <c r="E13" s="45">
        <v>356.88444000000004</v>
      </c>
      <c r="F13" s="43"/>
      <c r="G13" s="39" t="s">
        <v>484</v>
      </c>
      <c r="H13" s="39">
        <f>H12+1</f>
        <v>2</v>
      </c>
    </row>
    <row r="14" spans="1:8" x14ac:dyDescent="0.25">
      <c r="A14" s="39">
        <f t="shared" ref="A14:A71" si="0">+A13+1</f>
        <v>3</v>
      </c>
      <c r="C14" s="387"/>
      <c r="D14" s="387"/>
      <c r="E14" s="43"/>
      <c r="F14" s="43"/>
      <c r="G14" s="39"/>
      <c r="H14" s="39">
        <f t="shared" ref="H14:H71" si="1">H13+1</f>
        <v>3</v>
      </c>
    </row>
    <row r="15" spans="1:8" x14ac:dyDescent="0.25">
      <c r="A15" s="39">
        <f t="shared" si="0"/>
        <v>4</v>
      </c>
      <c r="B15" s="330" t="s">
        <v>242</v>
      </c>
      <c r="G15" s="39"/>
      <c r="H15" s="39">
        <f t="shared" si="1"/>
        <v>4</v>
      </c>
    </row>
    <row r="16" spans="1:8" x14ac:dyDescent="0.25">
      <c r="A16" s="39">
        <f t="shared" si="0"/>
        <v>5</v>
      </c>
      <c r="B16" s="20" t="s">
        <v>243</v>
      </c>
      <c r="C16" s="39"/>
      <c r="E16" s="45">
        <v>97078.547500000001</v>
      </c>
      <c r="G16" s="39" t="s">
        <v>485</v>
      </c>
      <c r="H16" s="39">
        <f t="shared" si="1"/>
        <v>5</v>
      </c>
    </row>
    <row r="17" spans="1:8" x14ac:dyDescent="0.25">
      <c r="A17" s="39">
        <f t="shared" si="0"/>
        <v>6</v>
      </c>
      <c r="B17" s="26" t="s">
        <v>26</v>
      </c>
      <c r="E17" s="47"/>
      <c r="G17" s="39"/>
      <c r="H17" s="39">
        <f t="shared" si="1"/>
        <v>6</v>
      </c>
    </row>
    <row r="18" spans="1:8" x14ac:dyDescent="0.25">
      <c r="A18" s="39">
        <f t="shared" si="0"/>
        <v>7</v>
      </c>
      <c r="B18" s="20" t="s">
        <v>244</v>
      </c>
      <c r="C18" s="39"/>
      <c r="E18" s="48">
        <v>-5093.2442599999995</v>
      </c>
      <c r="G18" s="39" t="s">
        <v>486</v>
      </c>
      <c r="H18" s="39">
        <f t="shared" si="1"/>
        <v>7</v>
      </c>
    </row>
    <row r="19" spans="1:8" x14ac:dyDescent="0.25">
      <c r="A19" s="39">
        <f t="shared" si="0"/>
        <v>8</v>
      </c>
      <c r="B19" s="20" t="s">
        <v>245</v>
      </c>
      <c r="E19" s="48">
        <v>-2418.7412800000002</v>
      </c>
      <c r="G19" s="39" t="s">
        <v>487</v>
      </c>
      <c r="H19" s="39">
        <f t="shared" si="1"/>
        <v>8</v>
      </c>
    </row>
    <row r="20" spans="1:8" x14ac:dyDescent="0.25">
      <c r="A20" s="39">
        <f t="shared" si="0"/>
        <v>9</v>
      </c>
      <c r="B20" s="275" t="s">
        <v>246</v>
      </c>
      <c r="E20" s="48">
        <v>-6283.7089999999998</v>
      </c>
      <c r="G20" s="39" t="s">
        <v>488</v>
      </c>
      <c r="H20" s="39">
        <f t="shared" si="1"/>
        <v>9</v>
      </c>
    </row>
    <row r="21" spans="1:8" x14ac:dyDescent="0.25">
      <c r="A21" s="39">
        <f t="shared" si="0"/>
        <v>10</v>
      </c>
      <c r="B21" s="275" t="s">
        <v>279</v>
      </c>
      <c r="E21" s="48">
        <v>-12.191000000000001</v>
      </c>
      <c r="G21" s="39" t="s">
        <v>489</v>
      </c>
      <c r="H21" s="39">
        <f t="shared" si="1"/>
        <v>10</v>
      </c>
    </row>
    <row r="22" spans="1:8" x14ac:dyDescent="0.25">
      <c r="A22" s="39">
        <f t="shared" si="0"/>
        <v>11</v>
      </c>
      <c r="B22" s="20" t="s">
        <v>247</v>
      </c>
      <c r="E22" s="48">
        <v>0</v>
      </c>
      <c r="G22" s="39" t="s">
        <v>490</v>
      </c>
      <c r="H22" s="39">
        <f t="shared" si="1"/>
        <v>11</v>
      </c>
    </row>
    <row r="23" spans="1:8" x14ac:dyDescent="0.25">
      <c r="A23" s="39">
        <f t="shared" si="0"/>
        <v>12</v>
      </c>
      <c r="B23" s="20" t="s">
        <v>248</v>
      </c>
      <c r="E23" s="48">
        <v>-3186.0456599999998</v>
      </c>
      <c r="G23" s="39" t="s">
        <v>491</v>
      </c>
      <c r="H23" s="39">
        <f t="shared" si="1"/>
        <v>12</v>
      </c>
    </row>
    <row r="24" spans="1:8" x14ac:dyDescent="0.25">
      <c r="A24" s="39">
        <f t="shared" si="0"/>
        <v>13</v>
      </c>
      <c r="B24" s="275" t="s">
        <v>249</v>
      </c>
      <c r="E24" s="48">
        <v>-16048.173000000001</v>
      </c>
      <c r="G24" s="39" t="s">
        <v>492</v>
      </c>
      <c r="H24" s="39">
        <f t="shared" si="1"/>
        <v>13</v>
      </c>
    </row>
    <row r="25" spans="1:8" x14ac:dyDescent="0.25">
      <c r="A25" s="39">
        <f t="shared" si="0"/>
        <v>14</v>
      </c>
      <c r="B25" s="275" t="s">
        <v>250</v>
      </c>
      <c r="E25" s="48">
        <v>-18139.88</v>
      </c>
      <c r="G25" s="39" t="s">
        <v>493</v>
      </c>
      <c r="H25" s="39">
        <f t="shared" si="1"/>
        <v>14</v>
      </c>
    </row>
    <row r="26" spans="1:8" x14ac:dyDescent="0.25">
      <c r="A26" s="39">
        <f t="shared" si="0"/>
        <v>15</v>
      </c>
      <c r="B26" s="275" t="s">
        <v>251</v>
      </c>
      <c r="E26" s="48">
        <v>-720.00900000000001</v>
      </c>
      <c r="G26" s="39" t="s">
        <v>494</v>
      </c>
      <c r="H26" s="39">
        <f t="shared" si="1"/>
        <v>15</v>
      </c>
    </row>
    <row r="27" spans="1:8" x14ac:dyDescent="0.25">
      <c r="A27" s="39">
        <f t="shared" si="0"/>
        <v>16</v>
      </c>
      <c r="B27" s="20" t="s">
        <v>252</v>
      </c>
      <c r="E27" s="49">
        <v>-132.11562000000001</v>
      </c>
      <c r="G27" s="39" t="s">
        <v>495</v>
      </c>
      <c r="H27" s="39">
        <f t="shared" si="1"/>
        <v>16</v>
      </c>
    </row>
    <row r="28" spans="1:8" x14ac:dyDescent="0.25">
      <c r="A28" s="39">
        <f t="shared" si="0"/>
        <v>17</v>
      </c>
      <c r="B28" s="40" t="s">
        <v>253</v>
      </c>
      <c r="E28" s="401">
        <v>-2294.73</v>
      </c>
      <c r="F28" s="27" t="s">
        <v>16</v>
      </c>
      <c r="G28" s="39" t="s">
        <v>254</v>
      </c>
      <c r="H28" s="39">
        <f t="shared" si="1"/>
        <v>17</v>
      </c>
    </row>
    <row r="29" spans="1:8" x14ac:dyDescent="0.25">
      <c r="A29" s="39">
        <f t="shared" si="0"/>
        <v>18</v>
      </c>
      <c r="B29" s="20" t="s">
        <v>255</v>
      </c>
      <c r="E29" s="50">
        <f>SUM(E16:E28)</f>
        <v>42749.708679999996</v>
      </c>
      <c r="F29" s="27" t="s">
        <v>16</v>
      </c>
      <c r="G29" s="34" t="s">
        <v>496</v>
      </c>
      <c r="H29" s="39">
        <f t="shared" si="1"/>
        <v>18</v>
      </c>
    </row>
    <row r="30" spans="1:8" x14ac:dyDescent="0.25">
      <c r="A30" s="39">
        <f t="shared" si="0"/>
        <v>19</v>
      </c>
      <c r="E30" s="38"/>
      <c r="H30" s="39">
        <f t="shared" si="1"/>
        <v>19</v>
      </c>
    </row>
    <row r="31" spans="1:8" x14ac:dyDescent="0.25">
      <c r="A31" s="39">
        <f t="shared" si="0"/>
        <v>20</v>
      </c>
      <c r="B31" s="331" t="s">
        <v>256</v>
      </c>
      <c r="E31" s="51"/>
      <c r="G31" s="39"/>
      <c r="H31" s="39">
        <f t="shared" si="1"/>
        <v>20</v>
      </c>
    </row>
    <row r="32" spans="1:8" x14ac:dyDescent="0.25">
      <c r="A32" s="39">
        <f t="shared" si="0"/>
        <v>21</v>
      </c>
      <c r="B32" s="26" t="s">
        <v>257</v>
      </c>
      <c r="C32" s="39"/>
      <c r="E32" s="45">
        <v>498881.70766999997</v>
      </c>
      <c r="G32" s="39" t="s">
        <v>497</v>
      </c>
      <c r="H32" s="39">
        <f t="shared" si="1"/>
        <v>21</v>
      </c>
    </row>
    <row r="33" spans="1:10" x14ac:dyDescent="0.25">
      <c r="A33" s="39">
        <f t="shared" si="0"/>
        <v>22</v>
      </c>
      <c r="B33" s="26" t="s">
        <v>27</v>
      </c>
      <c r="E33" s="51" t="s">
        <v>11</v>
      </c>
      <c r="G33" s="39"/>
      <c r="H33" s="39">
        <f t="shared" si="1"/>
        <v>22</v>
      </c>
    </row>
    <row r="34" spans="1:10" x14ac:dyDescent="0.25">
      <c r="A34" s="39">
        <f t="shared" si="0"/>
        <v>23</v>
      </c>
      <c r="B34" s="189" t="s">
        <v>28</v>
      </c>
      <c r="E34" s="48">
        <v>-576.97162999999989</v>
      </c>
      <c r="G34" s="39" t="s">
        <v>260</v>
      </c>
      <c r="H34" s="39">
        <f t="shared" si="1"/>
        <v>23</v>
      </c>
      <c r="I34" s="332"/>
      <c r="J34" s="53"/>
    </row>
    <row r="35" spans="1:10" ht="31.5" x14ac:dyDescent="0.25">
      <c r="A35" s="39">
        <f t="shared" si="0"/>
        <v>24</v>
      </c>
      <c r="B35" s="101" t="s">
        <v>29</v>
      </c>
      <c r="E35" s="48">
        <v>-2631.6195512479999</v>
      </c>
      <c r="G35" s="52" t="s">
        <v>372</v>
      </c>
      <c r="H35" s="39">
        <f t="shared" si="1"/>
        <v>24</v>
      </c>
      <c r="I35" s="332"/>
      <c r="J35" s="53"/>
    </row>
    <row r="36" spans="1:10" x14ac:dyDescent="0.25">
      <c r="A36" s="39">
        <f t="shared" si="0"/>
        <v>25</v>
      </c>
      <c r="B36" s="189" t="s">
        <v>81</v>
      </c>
      <c r="E36" s="48">
        <v>0</v>
      </c>
      <c r="G36" s="39" t="s">
        <v>258</v>
      </c>
      <c r="H36" s="39">
        <f t="shared" si="1"/>
        <v>25</v>
      </c>
      <c r="I36" s="332"/>
      <c r="J36" s="53"/>
    </row>
    <row r="37" spans="1:10" ht="15.75" customHeight="1" x14ac:dyDescent="0.25">
      <c r="A37" s="39">
        <f t="shared" si="0"/>
        <v>26</v>
      </c>
      <c r="B37" s="101" t="s">
        <v>30</v>
      </c>
      <c r="E37" s="48">
        <v>-1212.49029</v>
      </c>
      <c r="G37" s="39" t="s">
        <v>259</v>
      </c>
      <c r="H37" s="39">
        <f t="shared" si="1"/>
        <v>26</v>
      </c>
      <c r="I37" s="332"/>
      <c r="J37" s="53"/>
    </row>
    <row r="38" spans="1:10" x14ac:dyDescent="0.25">
      <c r="A38" s="39">
        <f t="shared" si="0"/>
        <v>27</v>
      </c>
      <c r="B38" s="189" t="s">
        <v>31</v>
      </c>
      <c r="E38" s="48">
        <v>-9790.5481500000005</v>
      </c>
      <c r="G38" s="39" t="s">
        <v>259</v>
      </c>
      <c r="H38" s="39">
        <f t="shared" si="1"/>
        <v>27</v>
      </c>
    </row>
    <row r="39" spans="1:10" x14ac:dyDescent="0.25">
      <c r="A39" s="39">
        <f t="shared" si="0"/>
        <v>28</v>
      </c>
      <c r="B39" s="189" t="s">
        <v>32</v>
      </c>
      <c r="E39" s="48">
        <v>0</v>
      </c>
      <c r="G39" s="52" t="s">
        <v>373</v>
      </c>
      <c r="H39" s="39">
        <f t="shared" si="1"/>
        <v>28</v>
      </c>
      <c r="J39" s="53"/>
    </row>
    <row r="40" spans="1:10" x14ac:dyDescent="0.25">
      <c r="A40" s="39">
        <f t="shared" si="0"/>
        <v>29</v>
      </c>
      <c r="B40" s="189" t="s">
        <v>33</v>
      </c>
      <c r="E40" s="48">
        <v>-112.52861999999999</v>
      </c>
      <c r="G40" s="52" t="s">
        <v>374</v>
      </c>
      <c r="H40" s="39">
        <f t="shared" si="1"/>
        <v>29</v>
      </c>
      <c r="I40" s="332"/>
    </row>
    <row r="41" spans="1:10" x14ac:dyDescent="0.25">
      <c r="A41" s="39">
        <f t="shared" si="0"/>
        <v>30</v>
      </c>
      <c r="B41" s="189" t="s">
        <v>34</v>
      </c>
      <c r="E41" s="48">
        <v>-127615.79129000001</v>
      </c>
      <c r="G41" s="39" t="s">
        <v>375</v>
      </c>
      <c r="H41" s="39">
        <f t="shared" si="1"/>
        <v>30</v>
      </c>
      <c r="I41" s="332"/>
      <c r="J41" s="53"/>
    </row>
    <row r="42" spans="1:10" x14ac:dyDescent="0.25">
      <c r="A42" s="39">
        <f t="shared" si="0"/>
        <v>31</v>
      </c>
      <c r="B42" s="189" t="s">
        <v>35</v>
      </c>
      <c r="E42" s="48">
        <v>-39.414587415</v>
      </c>
      <c r="G42" s="52" t="s">
        <v>376</v>
      </c>
      <c r="H42" s="39">
        <f t="shared" si="1"/>
        <v>31</v>
      </c>
    </row>
    <row r="43" spans="1:10" x14ac:dyDescent="0.25">
      <c r="A43" s="39">
        <f t="shared" si="0"/>
        <v>32</v>
      </c>
      <c r="B43" s="189" t="s">
        <v>36</v>
      </c>
      <c r="E43" s="48">
        <v>-205.81998999999999</v>
      </c>
      <c r="G43" s="52" t="s">
        <v>377</v>
      </c>
      <c r="H43" s="39">
        <f t="shared" si="1"/>
        <v>32</v>
      </c>
    </row>
    <row r="44" spans="1:10" x14ac:dyDescent="0.25">
      <c r="A44" s="39">
        <f t="shared" si="0"/>
        <v>33</v>
      </c>
      <c r="B44" s="189" t="s">
        <v>37</v>
      </c>
      <c r="E44" s="48">
        <v>-250.33335</v>
      </c>
      <c r="G44" s="52" t="s">
        <v>378</v>
      </c>
      <c r="H44" s="39">
        <f t="shared" si="1"/>
        <v>33</v>
      </c>
    </row>
    <row r="45" spans="1:10" x14ac:dyDescent="0.25">
      <c r="A45" s="39">
        <f t="shared" si="0"/>
        <v>34</v>
      </c>
      <c r="B45" s="40" t="s">
        <v>253</v>
      </c>
      <c r="E45" s="333">
        <v>-1040.0990000000002</v>
      </c>
      <c r="F45" s="27" t="s">
        <v>16</v>
      </c>
      <c r="G45" s="39" t="s">
        <v>379</v>
      </c>
      <c r="H45" s="39">
        <f t="shared" si="1"/>
        <v>34</v>
      </c>
    </row>
    <row r="46" spans="1:10" x14ac:dyDescent="0.25">
      <c r="A46" s="39">
        <f t="shared" si="0"/>
        <v>35</v>
      </c>
      <c r="B46" s="26" t="s">
        <v>261</v>
      </c>
      <c r="E46" s="55">
        <f>SUM(E32:E45)</f>
        <v>355406.09121133707</v>
      </c>
      <c r="F46" s="27" t="s">
        <v>16</v>
      </c>
      <c r="G46" s="39" t="s">
        <v>498</v>
      </c>
      <c r="H46" s="39">
        <f t="shared" si="1"/>
        <v>35</v>
      </c>
      <c r="J46" s="54"/>
    </row>
    <row r="47" spans="1:10" x14ac:dyDescent="0.25">
      <c r="A47" s="39">
        <f t="shared" si="0"/>
        <v>36</v>
      </c>
      <c r="B47" s="26" t="s">
        <v>38</v>
      </c>
      <c r="E47" s="334">
        <v>-8305.6217899999992</v>
      </c>
      <c r="G47" s="39" t="s">
        <v>499</v>
      </c>
      <c r="H47" s="39">
        <f t="shared" si="1"/>
        <v>36</v>
      </c>
      <c r="J47" s="54"/>
    </row>
    <row r="48" spans="1:10" x14ac:dyDescent="0.25">
      <c r="A48" s="39">
        <f t="shared" si="0"/>
        <v>37</v>
      </c>
      <c r="B48" s="26" t="s">
        <v>262</v>
      </c>
      <c r="E48" s="55">
        <f>SUM(E46:E47)</f>
        <v>347100.46942133707</v>
      </c>
      <c r="F48" s="27" t="s">
        <v>16</v>
      </c>
      <c r="G48" s="39" t="s">
        <v>500</v>
      </c>
      <c r="H48" s="39">
        <f t="shared" si="1"/>
        <v>37</v>
      </c>
    </row>
    <row r="49" spans="1:9" x14ac:dyDescent="0.25">
      <c r="A49" s="39">
        <f t="shared" si="0"/>
        <v>38</v>
      </c>
      <c r="B49" s="20" t="s">
        <v>39</v>
      </c>
      <c r="E49" s="335">
        <v>0.1046207187592927</v>
      </c>
      <c r="G49" s="34" t="s">
        <v>483</v>
      </c>
      <c r="H49" s="39">
        <f t="shared" si="1"/>
        <v>38</v>
      </c>
    </row>
    <row r="50" spans="1:9" x14ac:dyDescent="0.25">
      <c r="A50" s="39">
        <f t="shared" si="0"/>
        <v>39</v>
      </c>
      <c r="B50" s="26" t="s">
        <v>263</v>
      </c>
      <c r="E50" s="56">
        <f>E48*E49</f>
        <v>36313.900592548183</v>
      </c>
      <c r="F50" s="27" t="s">
        <v>16</v>
      </c>
      <c r="G50" s="39" t="s">
        <v>501</v>
      </c>
      <c r="H50" s="39">
        <f t="shared" si="1"/>
        <v>39</v>
      </c>
    </row>
    <row r="51" spans="1:9" x14ac:dyDescent="0.25">
      <c r="A51" s="39">
        <f t="shared" si="0"/>
        <v>40</v>
      </c>
      <c r="B51" s="40" t="s">
        <v>40</v>
      </c>
      <c r="E51" s="402">
        <f>E71*(-E47)</f>
        <v>3331.8080445854657</v>
      </c>
      <c r="G51" s="39" t="s">
        <v>502</v>
      </c>
      <c r="H51" s="39">
        <f t="shared" si="1"/>
        <v>40</v>
      </c>
    </row>
    <row r="52" spans="1:9" ht="16.5" thickBot="1" x14ac:dyDescent="0.3">
      <c r="A52" s="39">
        <f t="shared" si="0"/>
        <v>41</v>
      </c>
      <c r="B52" s="46" t="s">
        <v>264</v>
      </c>
      <c r="E52" s="336">
        <f>E51+E50</f>
        <v>39645.708637133648</v>
      </c>
      <c r="F52" s="27" t="s">
        <v>16</v>
      </c>
      <c r="G52" s="39" t="s">
        <v>503</v>
      </c>
      <c r="H52" s="39">
        <f t="shared" si="1"/>
        <v>41</v>
      </c>
      <c r="I52" s="46"/>
    </row>
    <row r="53" spans="1:9" ht="16.5" thickTop="1" x14ac:dyDescent="0.25">
      <c r="A53" s="39">
        <f t="shared" si="0"/>
        <v>42</v>
      </c>
      <c r="B53" s="57"/>
      <c r="E53" s="58"/>
      <c r="G53" s="39"/>
      <c r="H53" s="39">
        <f t="shared" si="1"/>
        <v>42</v>
      </c>
    </row>
    <row r="54" spans="1:9" x14ac:dyDescent="0.25">
      <c r="A54" s="39">
        <f t="shared" si="0"/>
        <v>43</v>
      </c>
      <c r="B54" s="28" t="s">
        <v>41</v>
      </c>
      <c r="E54" s="59"/>
      <c r="G54" s="39"/>
      <c r="H54" s="39">
        <f t="shared" si="1"/>
        <v>43</v>
      </c>
    </row>
    <row r="55" spans="1:9" x14ac:dyDescent="0.25">
      <c r="A55" s="39">
        <f t="shared" si="0"/>
        <v>44</v>
      </c>
      <c r="B55" s="26" t="s">
        <v>42</v>
      </c>
      <c r="E55" s="35">
        <v>6268562.5495546153</v>
      </c>
      <c r="G55" s="39" t="s">
        <v>504</v>
      </c>
      <c r="H55" s="39">
        <f t="shared" si="1"/>
        <v>44</v>
      </c>
    </row>
    <row r="56" spans="1:9" x14ac:dyDescent="0.25">
      <c r="A56" s="39">
        <f t="shared" si="0"/>
        <v>45</v>
      </c>
      <c r="B56" s="26" t="s">
        <v>18</v>
      </c>
      <c r="E56" s="60">
        <v>0</v>
      </c>
      <c r="G56" s="39" t="s">
        <v>17</v>
      </c>
      <c r="H56" s="39">
        <f t="shared" si="1"/>
        <v>45</v>
      </c>
    </row>
    <row r="57" spans="1:9" x14ac:dyDescent="0.25">
      <c r="A57" s="39">
        <f t="shared" si="0"/>
        <v>46</v>
      </c>
      <c r="B57" s="26" t="s">
        <v>19</v>
      </c>
      <c r="E57" s="61">
        <v>48373.508859840331</v>
      </c>
      <c r="G57" s="62" t="s">
        <v>505</v>
      </c>
      <c r="H57" s="39">
        <f t="shared" si="1"/>
        <v>46</v>
      </c>
    </row>
    <row r="58" spans="1:9" x14ac:dyDescent="0.25">
      <c r="A58" s="39">
        <f t="shared" si="0"/>
        <v>47</v>
      </c>
      <c r="B58" s="26" t="s">
        <v>43</v>
      </c>
      <c r="E58" s="337">
        <v>108383.68918448385</v>
      </c>
      <c r="G58" s="62" t="s">
        <v>506</v>
      </c>
      <c r="H58" s="39">
        <f t="shared" si="1"/>
        <v>47</v>
      </c>
    </row>
    <row r="59" spans="1:9" ht="16.5" thickBot="1" x14ac:dyDescent="0.3">
      <c r="A59" s="39">
        <f t="shared" si="0"/>
        <v>48</v>
      </c>
      <c r="B59" s="26" t="s">
        <v>44</v>
      </c>
      <c r="E59" s="63">
        <f>SUM(E55:E58)</f>
        <v>6425319.7475989396</v>
      </c>
      <c r="G59" s="39" t="s">
        <v>507</v>
      </c>
      <c r="H59" s="39">
        <f t="shared" si="1"/>
        <v>48</v>
      </c>
      <c r="I59" s="46"/>
    </row>
    <row r="60" spans="1:9" ht="16.5" thickTop="1" x14ac:dyDescent="0.25">
      <c r="A60" s="39">
        <f t="shared" si="0"/>
        <v>49</v>
      </c>
      <c r="B60" s="57"/>
      <c r="E60" s="38"/>
      <c r="G60" s="39"/>
      <c r="H60" s="39">
        <f t="shared" si="1"/>
        <v>49</v>
      </c>
    </row>
    <row r="61" spans="1:9" x14ac:dyDescent="0.25">
      <c r="A61" s="39">
        <f t="shared" si="0"/>
        <v>50</v>
      </c>
      <c r="B61" s="26" t="s">
        <v>45</v>
      </c>
      <c r="E61" s="64">
        <f>E55</f>
        <v>6268562.5495546153</v>
      </c>
      <c r="G61" s="65" t="s">
        <v>508</v>
      </c>
      <c r="H61" s="39">
        <f t="shared" si="1"/>
        <v>50</v>
      </c>
    </row>
    <row r="62" spans="1:9" x14ac:dyDescent="0.25">
      <c r="A62" s="39">
        <f t="shared" si="0"/>
        <v>51</v>
      </c>
      <c r="B62" s="26" t="s">
        <v>46</v>
      </c>
      <c r="E62" s="36">
        <v>549685.71425000008</v>
      </c>
      <c r="G62" s="62" t="s">
        <v>509</v>
      </c>
      <c r="H62" s="39">
        <f t="shared" si="1"/>
        <v>51</v>
      </c>
    </row>
    <row r="63" spans="1:9" x14ac:dyDescent="0.25">
      <c r="A63" s="39">
        <f t="shared" si="0"/>
        <v>52</v>
      </c>
      <c r="B63" s="26" t="s">
        <v>47</v>
      </c>
      <c r="E63" s="60">
        <v>0</v>
      </c>
      <c r="G63" s="39" t="s">
        <v>17</v>
      </c>
      <c r="H63" s="39">
        <f t="shared" si="1"/>
        <v>52</v>
      </c>
    </row>
    <row r="64" spans="1:9" x14ac:dyDescent="0.25">
      <c r="A64" s="39">
        <f t="shared" si="0"/>
        <v>53</v>
      </c>
      <c r="B64" s="26" t="s">
        <v>48</v>
      </c>
      <c r="E64" s="36">
        <v>523339.62325846136</v>
      </c>
      <c r="G64" s="62" t="s">
        <v>510</v>
      </c>
      <c r="H64" s="39">
        <f t="shared" si="1"/>
        <v>53</v>
      </c>
    </row>
    <row r="65" spans="1:9" x14ac:dyDescent="0.25">
      <c r="A65" s="39">
        <f t="shared" si="0"/>
        <v>54</v>
      </c>
      <c r="B65" s="26" t="s">
        <v>49</v>
      </c>
      <c r="E65" s="36">
        <v>7177286.0903050005</v>
      </c>
      <c r="G65" s="62" t="s">
        <v>511</v>
      </c>
      <c r="H65" s="39">
        <f t="shared" si="1"/>
        <v>54</v>
      </c>
    </row>
    <row r="66" spans="1:9" x14ac:dyDescent="0.25">
      <c r="A66" s="39">
        <f t="shared" si="0"/>
        <v>55</v>
      </c>
      <c r="B66" s="46" t="s">
        <v>18</v>
      </c>
      <c r="E66" s="60">
        <v>0</v>
      </c>
      <c r="G66" s="39" t="s">
        <v>17</v>
      </c>
      <c r="H66" s="39">
        <f t="shared" si="1"/>
        <v>55</v>
      </c>
    </row>
    <row r="67" spans="1:9" x14ac:dyDescent="0.25">
      <c r="A67" s="39">
        <f t="shared" si="0"/>
        <v>56</v>
      </c>
      <c r="B67" s="26" t="s">
        <v>50</v>
      </c>
      <c r="E67" s="36">
        <v>462370.25928999996</v>
      </c>
      <c r="G67" s="62" t="s">
        <v>512</v>
      </c>
      <c r="H67" s="39">
        <f t="shared" si="1"/>
        <v>56</v>
      </c>
    </row>
    <row r="68" spans="1:9" x14ac:dyDescent="0.25">
      <c r="A68" s="39">
        <f t="shared" si="0"/>
        <v>57</v>
      </c>
      <c r="B68" s="26" t="s">
        <v>51</v>
      </c>
      <c r="E68" s="338">
        <v>1035967.7363128125</v>
      </c>
      <c r="G68" s="62" t="s">
        <v>513</v>
      </c>
      <c r="H68" s="39">
        <f t="shared" si="1"/>
        <v>57</v>
      </c>
    </row>
    <row r="69" spans="1:9" ht="16.5" thickBot="1" x14ac:dyDescent="0.3">
      <c r="A69" s="39">
        <f t="shared" si="0"/>
        <v>58</v>
      </c>
      <c r="B69" s="26" t="s">
        <v>52</v>
      </c>
      <c r="E69" s="66">
        <f>SUM(E61:E68)</f>
        <v>16017211.97297089</v>
      </c>
      <c r="G69" s="39" t="s">
        <v>514</v>
      </c>
      <c r="H69" s="39">
        <f t="shared" si="1"/>
        <v>58</v>
      </c>
      <c r="I69" s="46"/>
    </row>
    <row r="70" spans="1:9" ht="16.5" thickTop="1" x14ac:dyDescent="0.25">
      <c r="A70" s="39">
        <f t="shared" si="0"/>
        <v>59</v>
      </c>
      <c r="E70" s="67"/>
      <c r="G70" s="39"/>
      <c r="H70" s="39">
        <f t="shared" si="1"/>
        <v>59</v>
      </c>
    </row>
    <row r="71" spans="1:9" ht="19.5" thickBot="1" x14ac:dyDescent="0.3">
      <c r="A71" s="39">
        <f t="shared" si="0"/>
        <v>60</v>
      </c>
      <c r="B71" s="26" t="s">
        <v>265</v>
      </c>
      <c r="E71" s="68">
        <f>E59/E69</f>
        <v>0.40115094677161622</v>
      </c>
      <c r="G71" s="39" t="s">
        <v>515</v>
      </c>
      <c r="H71" s="39">
        <f t="shared" si="1"/>
        <v>60</v>
      </c>
      <c r="I71" s="46"/>
    </row>
    <row r="72" spans="1:9" ht="16.5" thickTop="1" x14ac:dyDescent="0.25">
      <c r="B72" s="46" t="s">
        <v>11</v>
      </c>
      <c r="E72" s="69"/>
      <c r="G72" s="39"/>
      <c r="H72" s="39"/>
    </row>
    <row r="73" spans="1:9" x14ac:dyDescent="0.25">
      <c r="A73" s="27" t="s">
        <v>16</v>
      </c>
      <c r="B73" s="25" t="s">
        <v>278</v>
      </c>
      <c r="E73" s="69"/>
      <c r="F73" s="69"/>
      <c r="G73" s="39"/>
      <c r="H73" s="39"/>
    </row>
    <row r="74" spans="1:9" ht="18.75" x14ac:dyDescent="0.25">
      <c r="A74" s="71">
        <v>1</v>
      </c>
      <c r="B74" s="26" t="s">
        <v>558</v>
      </c>
      <c r="H74" s="39"/>
    </row>
    <row r="75" spans="1:9" x14ac:dyDescent="0.25">
      <c r="B75" s="46"/>
      <c r="E75" s="67"/>
      <c r="F75" s="67"/>
      <c r="G75" s="39"/>
      <c r="H75" s="39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 STMT AH WITH COST ADJ INCL. IN APPENDIX X CYCLE 10 (ER22-139)</oddHeader>
    <oddFooter>&amp;L&amp;F&amp;CPage 8.1&amp;R&amp;A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E316-615F-40B9-886A-F716BDAE35D0}">
  <sheetPr>
    <pageSetUpPr fitToPage="1"/>
  </sheetPr>
  <dimension ref="A1:R85"/>
  <sheetViews>
    <sheetView zoomScale="80" zoomScaleNormal="80" workbookViewId="0"/>
  </sheetViews>
  <sheetFormatPr defaultColWidth="9.140625" defaultRowHeight="15.75" x14ac:dyDescent="0.25"/>
  <cols>
    <col min="1" max="1" width="5.140625" style="562" customWidth="1"/>
    <col min="2" max="2" width="8.5703125" style="563" customWidth="1"/>
    <col min="3" max="3" width="69.140625" style="563" customWidth="1"/>
    <col min="4" max="6" width="12.5703125" style="563" customWidth="1"/>
    <col min="7" max="7" width="1.5703125" style="563" customWidth="1"/>
    <col min="8" max="8" width="15.42578125" style="563" bestFit="1" customWidth="1"/>
    <col min="9" max="9" width="2.85546875" style="563" customWidth="1"/>
    <col min="10" max="10" width="13.140625" style="563" bestFit="1" customWidth="1"/>
    <col min="11" max="11" width="2.140625" style="563" bestFit="1" customWidth="1"/>
    <col min="12" max="12" width="14.85546875" style="563" bestFit="1" customWidth="1"/>
    <col min="13" max="13" width="13.28515625" style="563" bestFit="1" customWidth="1"/>
    <col min="14" max="14" width="36.140625" style="563" customWidth="1"/>
    <col min="15" max="15" width="5.140625" style="562" customWidth="1"/>
    <col min="16" max="16" width="4" style="563" customWidth="1"/>
    <col min="17" max="17" width="13.140625" style="563" bestFit="1" customWidth="1"/>
    <col min="18" max="18" width="9.140625" style="563"/>
    <col min="19" max="19" width="9.85546875" style="563" customWidth="1"/>
    <col min="20" max="20" width="10" style="563" customWidth="1"/>
    <col min="21" max="16384" width="9.140625" style="563"/>
  </cols>
  <sheetData>
    <row r="1" spans="1:18" x14ac:dyDescent="0.25">
      <c r="N1" s="41"/>
    </row>
    <row r="2" spans="1:18" x14ac:dyDescent="0.25">
      <c r="B2" s="777" t="s">
        <v>21</v>
      </c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564"/>
    </row>
    <row r="3" spans="1:18" x14ac:dyDescent="0.25">
      <c r="B3" s="777" t="s">
        <v>380</v>
      </c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564"/>
    </row>
    <row r="4" spans="1:18" x14ac:dyDescent="0.25">
      <c r="B4" s="777" t="s">
        <v>559</v>
      </c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564"/>
    </row>
    <row r="5" spans="1:18" x14ac:dyDescent="0.25">
      <c r="B5" s="778" t="s">
        <v>1</v>
      </c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  <c r="N5" s="778"/>
      <c r="O5" s="564"/>
    </row>
    <row r="6" spans="1:18" ht="16.5" thickBot="1" x14ac:dyDescent="0.3"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565"/>
      <c r="Q6" s="40"/>
    </row>
    <row r="7" spans="1:18" ht="18.75" x14ac:dyDescent="0.25">
      <c r="A7" s="564"/>
      <c r="B7" s="566"/>
      <c r="C7" s="567"/>
      <c r="D7" s="568" t="s">
        <v>10</v>
      </c>
      <c r="E7" s="569" t="s">
        <v>53</v>
      </c>
      <c r="F7" s="568" t="s">
        <v>54</v>
      </c>
      <c r="G7" s="569"/>
      <c r="H7" s="561" t="s">
        <v>381</v>
      </c>
      <c r="I7" s="73"/>
      <c r="J7" s="73" t="s">
        <v>55</v>
      </c>
      <c r="K7" s="561"/>
      <c r="L7" s="561" t="s">
        <v>585</v>
      </c>
      <c r="M7" s="704" t="s">
        <v>586</v>
      </c>
      <c r="N7" s="570"/>
      <c r="O7" s="564"/>
    </row>
    <row r="8" spans="1:18" x14ac:dyDescent="0.25">
      <c r="A8" s="562" t="s">
        <v>2</v>
      </c>
      <c r="B8" s="571" t="s">
        <v>56</v>
      </c>
      <c r="C8" s="572"/>
      <c r="D8" s="573" t="s">
        <v>9</v>
      </c>
      <c r="E8" s="564" t="s">
        <v>57</v>
      </c>
      <c r="F8" s="573" t="s">
        <v>9</v>
      </c>
      <c r="G8" s="574"/>
      <c r="H8" s="387" t="s">
        <v>266</v>
      </c>
      <c r="I8" s="575"/>
      <c r="J8" s="74" t="s">
        <v>58</v>
      </c>
      <c r="K8" s="162"/>
      <c r="L8" s="387" t="s">
        <v>587</v>
      </c>
      <c r="M8" s="705" t="s">
        <v>62</v>
      </c>
      <c r="N8" s="576"/>
      <c r="O8" s="562" t="s">
        <v>2</v>
      </c>
    </row>
    <row r="9" spans="1:18" ht="16.5" thickBot="1" x14ac:dyDescent="0.3">
      <c r="A9" s="562" t="s">
        <v>6</v>
      </c>
      <c r="B9" s="577" t="s">
        <v>59</v>
      </c>
      <c r="C9" s="578" t="s">
        <v>3</v>
      </c>
      <c r="D9" s="579" t="s">
        <v>60</v>
      </c>
      <c r="E9" s="578" t="s">
        <v>61</v>
      </c>
      <c r="F9" s="579" t="s">
        <v>62</v>
      </c>
      <c r="G9" s="580"/>
      <c r="H9" s="581" t="s">
        <v>382</v>
      </c>
      <c r="I9" s="582"/>
      <c r="J9" s="583" t="s">
        <v>383</v>
      </c>
      <c r="K9" s="706"/>
      <c r="L9" s="581" t="s">
        <v>382</v>
      </c>
      <c r="M9" s="707" t="s">
        <v>588</v>
      </c>
      <c r="N9" s="584" t="s">
        <v>5</v>
      </c>
      <c r="O9" s="562" t="s">
        <v>6</v>
      </c>
      <c r="P9" s="562"/>
    </row>
    <row r="10" spans="1:18" x14ac:dyDescent="0.25">
      <c r="B10" s="585"/>
      <c r="C10" s="586" t="s">
        <v>384</v>
      </c>
      <c r="D10" s="708"/>
      <c r="E10" s="708"/>
      <c r="F10" s="588"/>
      <c r="G10" s="589"/>
      <c r="H10" s="589"/>
      <c r="I10" s="591"/>
      <c r="J10" s="591"/>
      <c r="K10" s="709"/>
      <c r="L10" s="709"/>
      <c r="M10" s="588"/>
      <c r="N10" s="592"/>
    </row>
    <row r="11" spans="1:18" ht="19.5" x14ac:dyDescent="0.25">
      <c r="A11" s="562">
        <v>1</v>
      </c>
      <c r="B11" s="571">
        <v>920</v>
      </c>
      <c r="C11" s="593" t="s">
        <v>385</v>
      </c>
      <c r="D11" s="76">
        <v>31012.001380000002</v>
      </c>
      <c r="E11" s="76">
        <f>+E35</f>
        <v>91.867089999999976</v>
      </c>
      <c r="F11" s="76">
        <f t="shared" ref="F11:F25" si="0">D11-E11</f>
        <v>30920.134290000002</v>
      </c>
      <c r="G11" s="27"/>
      <c r="H11" s="37">
        <v>-84.78</v>
      </c>
      <c r="I11" s="594">
        <v>2</v>
      </c>
      <c r="J11" s="77">
        <f>F11+H11</f>
        <v>30835.354290000003</v>
      </c>
      <c r="K11" s="27" t="s">
        <v>16</v>
      </c>
      <c r="L11" s="597">
        <f>-H11</f>
        <v>84.78</v>
      </c>
      <c r="M11" s="82">
        <f>J11+L11</f>
        <v>30920.134290000002</v>
      </c>
      <c r="N11" s="75" t="s">
        <v>386</v>
      </c>
      <c r="O11" s="562">
        <f t="shared" ref="O11:O66" si="1">A11</f>
        <v>1</v>
      </c>
      <c r="P11" s="563" t="s">
        <v>11</v>
      </c>
      <c r="Q11" s="596"/>
    </row>
    <row r="12" spans="1:18" ht="19.5" x14ac:dyDescent="0.25">
      <c r="A12" s="562">
        <f t="shared" ref="A12:A32" si="2">A11+1</f>
        <v>2</v>
      </c>
      <c r="B12" s="571">
        <v>921</v>
      </c>
      <c r="C12" s="593" t="s">
        <v>387</v>
      </c>
      <c r="D12" s="78">
        <v>16773.40425</v>
      </c>
      <c r="E12" s="79">
        <f>+E36</f>
        <v>-1.33857</v>
      </c>
      <c r="F12" s="78">
        <f t="shared" si="0"/>
        <v>16774.742819999999</v>
      </c>
      <c r="G12" s="27"/>
      <c r="H12" s="79">
        <v>-128.12899999999999</v>
      </c>
      <c r="I12" s="594">
        <v>2</v>
      </c>
      <c r="J12" s="80">
        <f>F12+H12</f>
        <v>16646.613819999999</v>
      </c>
      <c r="K12" s="27" t="s">
        <v>16</v>
      </c>
      <c r="L12" s="597">
        <f>-H12</f>
        <v>128.12899999999999</v>
      </c>
      <c r="M12" s="501">
        <f>J12+L12</f>
        <v>16774.742819999999</v>
      </c>
      <c r="N12" s="75" t="s">
        <v>388</v>
      </c>
      <c r="O12" s="562">
        <f t="shared" si="1"/>
        <v>2</v>
      </c>
      <c r="Q12" s="596"/>
      <c r="R12" s="599"/>
    </row>
    <row r="13" spans="1:18" x14ac:dyDescent="0.25">
      <c r="A13" s="562">
        <f t="shared" si="2"/>
        <v>3</v>
      </c>
      <c r="B13" s="585">
        <v>922</v>
      </c>
      <c r="C13" s="593" t="s">
        <v>389</v>
      </c>
      <c r="D13" s="78">
        <v>-13569.700310000002</v>
      </c>
      <c r="E13" s="79">
        <v>0</v>
      </c>
      <c r="F13" s="78">
        <f t="shared" si="0"/>
        <v>-13569.700310000002</v>
      </c>
      <c r="G13" s="79"/>
      <c r="H13" s="79"/>
      <c r="I13" s="80"/>
      <c r="J13" s="80">
        <f t="shared" ref="J13:J24" si="3">F13+H13</f>
        <v>-13569.700310000002</v>
      </c>
      <c r="K13" s="79"/>
      <c r="L13" s="79"/>
      <c r="M13" s="78">
        <f>J13+L13</f>
        <v>-13569.700310000002</v>
      </c>
      <c r="N13" s="75" t="s">
        <v>390</v>
      </c>
      <c r="O13" s="562">
        <f t="shared" si="1"/>
        <v>3</v>
      </c>
      <c r="Q13" s="596"/>
    </row>
    <row r="14" spans="1:18" ht="18.75" x14ac:dyDescent="0.25">
      <c r="A14" s="562">
        <f t="shared" si="2"/>
        <v>4</v>
      </c>
      <c r="B14" s="571">
        <v>923</v>
      </c>
      <c r="C14" s="593" t="s">
        <v>391</v>
      </c>
      <c r="D14" s="78">
        <v>90245.647219999999</v>
      </c>
      <c r="E14" s="79">
        <f>+E38</f>
        <v>153.10804999999999</v>
      </c>
      <c r="F14" s="78">
        <f t="shared" si="0"/>
        <v>90092.539170000004</v>
      </c>
      <c r="G14" s="27"/>
      <c r="H14" s="79">
        <f>2294.73+64.516</f>
        <v>2359.2460000000001</v>
      </c>
      <c r="I14" s="600">
        <v>3</v>
      </c>
      <c r="J14" s="80">
        <f>F14+H14+H15</f>
        <v>91885.613169999997</v>
      </c>
      <c r="K14" s="597"/>
      <c r="L14" s="710"/>
      <c r="M14" s="501">
        <f>J14+L14+L15</f>
        <v>92451.785170000003</v>
      </c>
      <c r="N14" s="75" t="s">
        <v>392</v>
      </c>
      <c r="O14" s="562">
        <f t="shared" si="1"/>
        <v>4</v>
      </c>
      <c r="Q14" s="596"/>
    </row>
    <row r="15" spans="1:18" ht="19.5" x14ac:dyDescent="0.25">
      <c r="A15" s="562">
        <f t="shared" si="2"/>
        <v>5</v>
      </c>
      <c r="B15" s="571">
        <v>923</v>
      </c>
      <c r="C15" s="593" t="s">
        <v>391</v>
      </c>
      <c r="D15" s="78"/>
      <c r="E15" s="79"/>
      <c r="F15" s="78"/>
      <c r="G15" s="27"/>
      <c r="H15" s="79">
        <v>-566.17200000000003</v>
      </c>
      <c r="I15" s="594">
        <v>2</v>
      </c>
      <c r="J15" s="80"/>
      <c r="K15" s="27" t="s">
        <v>16</v>
      </c>
      <c r="L15" s="597">
        <f>-H15</f>
        <v>566.17200000000003</v>
      </c>
      <c r="M15" s="501"/>
      <c r="N15" s="75"/>
      <c r="O15" s="562">
        <f t="shared" si="1"/>
        <v>5</v>
      </c>
      <c r="Q15" s="121"/>
    </row>
    <row r="16" spans="1:18" x14ac:dyDescent="0.25">
      <c r="A16" s="562">
        <f t="shared" si="2"/>
        <v>6</v>
      </c>
      <c r="B16" s="585">
        <v>924</v>
      </c>
      <c r="C16" s="593" t="s">
        <v>393</v>
      </c>
      <c r="D16" s="78">
        <v>8305.6217899999992</v>
      </c>
      <c r="E16" s="79">
        <v>0</v>
      </c>
      <c r="F16" s="78">
        <f t="shared" si="0"/>
        <v>8305.6217899999992</v>
      </c>
      <c r="G16" s="79"/>
      <c r="H16" s="79"/>
      <c r="I16" s="80"/>
      <c r="J16" s="80">
        <f t="shared" si="3"/>
        <v>8305.6217899999992</v>
      </c>
      <c r="K16" s="79"/>
      <c r="L16" s="79"/>
      <c r="M16" s="78">
        <f>J16+L16</f>
        <v>8305.6217899999992</v>
      </c>
      <c r="N16" s="75" t="s">
        <v>394</v>
      </c>
      <c r="O16" s="562">
        <f t="shared" si="1"/>
        <v>6</v>
      </c>
      <c r="Q16" s="596"/>
    </row>
    <row r="17" spans="1:17" ht="19.5" x14ac:dyDescent="0.25">
      <c r="A17" s="562">
        <f t="shared" si="2"/>
        <v>7</v>
      </c>
      <c r="B17" s="571">
        <v>925</v>
      </c>
      <c r="C17" s="593" t="s">
        <v>395</v>
      </c>
      <c r="D17" s="78">
        <v>140446.40546000001</v>
      </c>
      <c r="E17" s="79">
        <f>+E41</f>
        <v>335.97845833499991</v>
      </c>
      <c r="F17" s="78">
        <f t="shared" si="0"/>
        <v>140110.427001665</v>
      </c>
      <c r="G17" s="27"/>
      <c r="H17" s="79">
        <v>-304.83300000000003</v>
      </c>
      <c r="I17" s="594">
        <v>2</v>
      </c>
      <c r="J17" s="80">
        <f t="shared" si="3"/>
        <v>139805.59400166498</v>
      </c>
      <c r="K17" s="27" t="s">
        <v>16</v>
      </c>
      <c r="L17" s="597">
        <f>-H17</f>
        <v>304.83300000000003</v>
      </c>
      <c r="M17" s="501">
        <f>J17+L17</f>
        <v>140110.427001665</v>
      </c>
      <c r="N17" s="75" t="s">
        <v>396</v>
      </c>
      <c r="O17" s="562">
        <f t="shared" si="1"/>
        <v>7</v>
      </c>
      <c r="Q17" s="596"/>
    </row>
    <row r="18" spans="1:17" ht="19.5" x14ac:dyDescent="0.25">
      <c r="A18" s="562">
        <f>A17+1</f>
        <v>8</v>
      </c>
      <c r="B18" s="571">
        <v>926</v>
      </c>
      <c r="C18" s="593" t="s">
        <v>589</v>
      </c>
      <c r="D18" s="78">
        <v>54077.224009999998</v>
      </c>
      <c r="E18" s="79">
        <f>+E43</f>
        <v>913.38426291299993</v>
      </c>
      <c r="F18" s="78">
        <f t="shared" si="0"/>
        <v>53163.839747086997</v>
      </c>
      <c r="G18" s="27"/>
      <c r="H18" s="79">
        <v>-832.04399999999998</v>
      </c>
      <c r="I18" s="594">
        <v>2</v>
      </c>
      <c r="J18" s="80">
        <f t="shared" si="3"/>
        <v>52331.795747086995</v>
      </c>
      <c r="K18" s="27" t="s">
        <v>16</v>
      </c>
      <c r="L18" s="597">
        <f>-H18</f>
        <v>832.04399999999998</v>
      </c>
      <c r="M18" s="501">
        <f>J18+L18</f>
        <v>53163.839747086997</v>
      </c>
      <c r="N18" s="75" t="s">
        <v>398</v>
      </c>
      <c r="O18" s="562">
        <f t="shared" si="1"/>
        <v>8</v>
      </c>
      <c r="Q18" s="601"/>
    </row>
    <row r="19" spans="1:17" x14ac:dyDescent="0.25">
      <c r="A19" s="562">
        <f>A18+1</f>
        <v>9</v>
      </c>
      <c r="B19" s="585">
        <v>927</v>
      </c>
      <c r="C19" s="593" t="s">
        <v>399</v>
      </c>
      <c r="D19" s="88">
        <v>127615.79129000001</v>
      </c>
      <c r="E19" s="78">
        <f>+E44</f>
        <v>127615.79129000001</v>
      </c>
      <c r="F19" s="78">
        <f t="shared" si="0"/>
        <v>0</v>
      </c>
      <c r="G19" s="79"/>
      <c r="H19" s="79"/>
      <c r="I19" s="80"/>
      <c r="J19" s="80">
        <f t="shared" si="3"/>
        <v>0</v>
      </c>
      <c r="K19" s="79"/>
      <c r="L19" s="79"/>
      <c r="M19" s="501">
        <f t="shared" ref="M19:M25" si="4">J19+L19</f>
        <v>0</v>
      </c>
      <c r="N19" s="75" t="s">
        <v>400</v>
      </c>
      <c r="O19" s="562">
        <f t="shared" si="1"/>
        <v>9</v>
      </c>
      <c r="Q19" s="601"/>
    </row>
    <row r="20" spans="1:17" ht="18.75" x14ac:dyDescent="0.25">
      <c r="A20" s="562">
        <f t="shared" si="2"/>
        <v>10</v>
      </c>
      <c r="B20" s="585">
        <v>928</v>
      </c>
      <c r="C20" s="593" t="s">
        <v>590</v>
      </c>
      <c r="D20" s="78">
        <v>22402.324690000001</v>
      </c>
      <c r="E20" s="79">
        <f>+E49</f>
        <v>11134.69994</v>
      </c>
      <c r="F20" s="78">
        <f t="shared" si="0"/>
        <v>11267.624750000001</v>
      </c>
      <c r="G20" s="27"/>
      <c r="H20" s="30"/>
      <c r="I20" s="89"/>
      <c r="J20" s="80">
        <f t="shared" si="3"/>
        <v>11267.624750000001</v>
      </c>
      <c r="K20" s="79"/>
      <c r="L20" s="711"/>
      <c r="M20" s="78">
        <f t="shared" si="4"/>
        <v>11267.624750000001</v>
      </c>
      <c r="N20" s="75" t="s">
        <v>402</v>
      </c>
      <c r="O20" s="562">
        <f t="shared" si="1"/>
        <v>10</v>
      </c>
      <c r="Q20" s="601"/>
    </row>
    <row r="21" spans="1:17" x14ac:dyDescent="0.25">
      <c r="A21" s="562">
        <f t="shared" si="2"/>
        <v>11</v>
      </c>
      <c r="B21" s="585">
        <v>929</v>
      </c>
      <c r="C21" s="593" t="s">
        <v>403</v>
      </c>
      <c r="D21" s="78">
        <v>-2181.0840200000002</v>
      </c>
      <c r="E21" s="79">
        <v>0</v>
      </c>
      <c r="F21" s="78">
        <f t="shared" si="0"/>
        <v>-2181.0840200000002</v>
      </c>
      <c r="G21" s="79"/>
      <c r="H21" s="79"/>
      <c r="I21" s="80"/>
      <c r="J21" s="80">
        <f t="shared" si="3"/>
        <v>-2181.0840200000002</v>
      </c>
      <c r="K21" s="79"/>
      <c r="L21" s="79"/>
      <c r="M21" s="78">
        <f t="shared" si="4"/>
        <v>-2181.0840200000002</v>
      </c>
      <c r="N21" s="75" t="s">
        <v>404</v>
      </c>
      <c r="O21" s="562">
        <f t="shared" si="1"/>
        <v>11</v>
      </c>
      <c r="Q21" s="596"/>
    </row>
    <row r="22" spans="1:17" x14ac:dyDescent="0.25">
      <c r="A22" s="562">
        <f>A21+1</f>
        <v>12</v>
      </c>
      <c r="B22" s="603">
        <v>930.1</v>
      </c>
      <c r="C22" s="593" t="s">
        <v>405</v>
      </c>
      <c r="D22" s="78">
        <v>112.52861999999999</v>
      </c>
      <c r="E22" s="79">
        <f>+E50</f>
        <v>112.52861999999999</v>
      </c>
      <c r="F22" s="78">
        <f t="shared" si="0"/>
        <v>0</v>
      </c>
      <c r="G22" s="79"/>
      <c r="H22" s="79"/>
      <c r="I22" s="80"/>
      <c r="J22" s="80">
        <f t="shared" si="3"/>
        <v>0</v>
      </c>
      <c r="K22" s="79"/>
      <c r="L22" s="79"/>
      <c r="M22" s="501">
        <f t="shared" si="4"/>
        <v>0</v>
      </c>
      <c r="N22" s="75" t="s">
        <v>406</v>
      </c>
      <c r="O22" s="562">
        <f t="shared" si="1"/>
        <v>12</v>
      </c>
      <c r="Q22" s="596"/>
    </row>
    <row r="23" spans="1:17" ht="19.5" x14ac:dyDescent="0.25">
      <c r="A23" s="562">
        <f>A22+1</f>
        <v>13</v>
      </c>
      <c r="B23" s="604">
        <v>930.2</v>
      </c>
      <c r="C23" s="593" t="s">
        <v>407</v>
      </c>
      <c r="D23" s="78">
        <v>2206.68253</v>
      </c>
      <c r="E23" s="79">
        <f>+E52</f>
        <v>576.97162999999989</v>
      </c>
      <c r="F23" s="78">
        <f t="shared" si="0"/>
        <v>1629.7109</v>
      </c>
      <c r="G23" s="27"/>
      <c r="H23" s="79">
        <v>-1483.3869999999999</v>
      </c>
      <c r="I23" s="594">
        <v>4</v>
      </c>
      <c r="J23" s="80">
        <f t="shared" si="3"/>
        <v>146.32390000000009</v>
      </c>
      <c r="K23" s="597"/>
      <c r="L23" s="597"/>
      <c r="M23" s="501">
        <f t="shared" si="4"/>
        <v>146.32390000000009</v>
      </c>
      <c r="N23" s="75" t="s">
        <v>408</v>
      </c>
      <c r="O23" s="562">
        <f t="shared" si="1"/>
        <v>13</v>
      </c>
      <c r="Q23" s="605"/>
    </row>
    <row r="24" spans="1:17" x14ac:dyDescent="0.25">
      <c r="A24" s="562">
        <f t="shared" si="2"/>
        <v>14</v>
      </c>
      <c r="B24" s="585">
        <v>931</v>
      </c>
      <c r="C24" s="593" t="s">
        <v>63</v>
      </c>
      <c r="D24" s="78">
        <v>8564.2415499999988</v>
      </c>
      <c r="E24" s="79">
        <v>0</v>
      </c>
      <c r="F24" s="78">
        <f t="shared" si="0"/>
        <v>8564.2415499999988</v>
      </c>
      <c r="G24" s="79"/>
      <c r="H24" s="79"/>
      <c r="I24" s="80"/>
      <c r="J24" s="80">
        <f t="shared" si="3"/>
        <v>8564.2415499999988</v>
      </c>
      <c r="K24" s="79"/>
      <c r="L24" s="79"/>
      <c r="M24" s="78">
        <f t="shared" si="4"/>
        <v>8564.2415499999988</v>
      </c>
      <c r="N24" s="75" t="s">
        <v>409</v>
      </c>
      <c r="O24" s="562">
        <f t="shared" si="1"/>
        <v>14</v>
      </c>
      <c r="Q24" s="596"/>
    </row>
    <row r="25" spans="1:17" x14ac:dyDescent="0.25">
      <c r="A25" s="562">
        <f t="shared" si="2"/>
        <v>15</v>
      </c>
      <c r="B25" s="585">
        <v>935</v>
      </c>
      <c r="C25" s="593" t="s">
        <v>410</v>
      </c>
      <c r="D25" s="502">
        <v>12341.892099999999</v>
      </c>
      <c r="E25" s="314">
        <f>+E54</f>
        <v>1502.526687415</v>
      </c>
      <c r="F25" s="502">
        <f t="shared" si="0"/>
        <v>10839.365412584999</v>
      </c>
      <c r="G25" s="712"/>
      <c r="H25" s="314"/>
      <c r="I25" s="713"/>
      <c r="J25" s="713">
        <f>F25+H25</f>
        <v>10839.365412584999</v>
      </c>
      <c r="K25" s="314"/>
      <c r="L25" s="314"/>
      <c r="M25" s="502">
        <f t="shared" si="4"/>
        <v>10839.365412584999</v>
      </c>
      <c r="N25" s="75" t="s">
        <v>411</v>
      </c>
      <c r="O25" s="562">
        <f t="shared" si="1"/>
        <v>15</v>
      </c>
      <c r="P25" s="563" t="s">
        <v>11</v>
      </c>
      <c r="Q25" s="596"/>
    </row>
    <row r="26" spans="1:17" x14ac:dyDescent="0.25">
      <c r="A26" s="562">
        <f>A25+1</f>
        <v>16</v>
      </c>
      <c r="B26" s="585"/>
      <c r="D26" s="606"/>
      <c r="F26" s="606"/>
      <c r="I26" s="602"/>
      <c r="J26" s="602"/>
      <c r="M26" s="606"/>
      <c r="N26" s="607"/>
      <c r="O26" s="562">
        <f t="shared" si="1"/>
        <v>16</v>
      </c>
    </row>
    <row r="27" spans="1:17" ht="16.5" thickBot="1" x14ac:dyDescent="0.3">
      <c r="A27" s="562">
        <f t="shared" si="2"/>
        <v>17</v>
      </c>
      <c r="B27" s="585"/>
      <c r="C27" s="572" t="s">
        <v>412</v>
      </c>
      <c r="D27" s="608">
        <f>SUM(D11:D25)</f>
        <v>498352.98056</v>
      </c>
      <c r="E27" s="85">
        <f>SUM(E11:E25)</f>
        <v>142435.51745866297</v>
      </c>
      <c r="F27" s="83">
        <f>SUM(F11:F25)</f>
        <v>355917.46310133697</v>
      </c>
      <c r="G27" s="84"/>
      <c r="H27" s="609">
        <f>SUM(H11:H25)</f>
        <v>-1040.0990000000002</v>
      </c>
      <c r="I27" s="85"/>
      <c r="J27" s="85">
        <f>SUM(J11:J25)</f>
        <v>354877.36410133692</v>
      </c>
      <c r="K27" s="84" t="s">
        <v>16</v>
      </c>
      <c r="L27" s="85">
        <f>SUM(L11:L25)</f>
        <v>1915.9580000000001</v>
      </c>
      <c r="M27" s="85">
        <f>SUM(M11:M25)</f>
        <v>356793.32210133696</v>
      </c>
      <c r="N27" s="90" t="str">
        <f>"Sum Lines "&amp;A11&amp;" thru "&amp;A25</f>
        <v>Sum Lines 1 thru 15</v>
      </c>
      <c r="O27" s="562">
        <f t="shared" si="1"/>
        <v>17</v>
      </c>
    </row>
    <row r="28" spans="1:17" ht="16.5" thickTop="1" x14ac:dyDescent="0.25">
      <c r="A28" s="562">
        <f t="shared" si="2"/>
        <v>18</v>
      </c>
      <c r="B28" s="585"/>
      <c r="C28" s="572"/>
      <c r="D28" s="610"/>
      <c r="E28" s="595"/>
      <c r="F28" s="82"/>
      <c r="G28" s="27"/>
      <c r="H28" s="81"/>
      <c r="I28" s="595"/>
      <c r="J28" s="595"/>
      <c r="K28" s="27"/>
      <c r="L28" s="734"/>
      <c r="M28" s="595"/>
      <c r="N28" s="90"/>
      <c r="O28" s="562">
        <f t="shared" si="1"/>
        <v>18</v>
      </c>
    </row>
    <row r="29" spans="1:17" ht="18.75" x14ac:dyDescent="0.25">
      <c r="A29" s="562">
        <f t="shared" si="2"/>
        <v>19</v>
      </c>
      <c r="B29" s="585">
        <v>413</v>
      </c>
      <c r="C29" s="563" t="s">
        <v>413</v>
      </c>
      <c r="D29" s="502">
        <v>528.72711000000004</v>
      </c>
      <c r="E29" s="339">
        <v>0</v>
      </c>
      <c r="F29" s="502">
        <f>D29-E29</f>
        <v>528.72711000000004</v>
      </c>
      <c r="G29" s="503"/>
      <c r="H29" s="314"/>
      <c r="I29" s="339"/>
      <c r="J29" s="339">
        <f>F29+H29</f>
        <v>528.72711000000004</v>
      </c>
      <c r="K29" s="732"/>
      <c r="L29" s="733"/>
      <c r="M29" s="713">
        <f t="shared" ref="M29" si="5">J29+L29</f>
        <v>528.72711000000004</v>
      </c>
      <c r="N29" s="90"/>
      <c r="O29" s="562">
        <f t="shared" si="1"/>
        <v>19</v>
      </c>
    </row>
    <row r="30" spans="1:17" x14ac:dyDescent="0.25">
      <c r="A30" s="562">
        <f t="shared" si="2"/>
        <v>20</v>
      </c>
      <c r="B30" s="585"/>
      <c r="C30" s="572"/>
      <c r="D30" s="610"/>
      <c r="E30" s="595"/>
      <c r="F30" s="82"/>
      <c r="G30" s="27"/>
      <c r="H30" s="81"/>
      <c r="I30" s="595"/>
      <c r="J30" s="595"/>
      <c r="K30" s="27"/>
      <c r="L30" s="595"/>
      <c r="M30" s="595"/>
      <c r="N30" s="90"/>
      <c r="O30" s="562">
        <f t="shared" si="1"/>
        <v>20</v>
      </c>
    </row>
    <row r="31" spans="1:17" ht="16.5" thickBot="1" x14ac:dyDescent="0.3">
      <c r="A31" s="562">
        <f t="shared" si="2"/>
        <v>21</v>
      </c>
      <c r="B31" s="585"/>
      <c r="C31" s="572" t="s">
        <v>414</v>
      </c>
      <c r="D31" s="608">
        <f>D27+D29</f>
        <v>498881.70766999997</v>
      </c>
      <c r="E31" s="595">
        <f>E27+E29</f>
        <v>142435.51745866297</v>
      </c>
      <c r="F31" s="82">
        <f>F27+F29</f>
        <v>356446.19021133694</v>
      </c>
      <c r="G31" s="84"/>
      <c r="H31" s="81">
        <f>H27+H29</f>
        <v>-1040.0990000000002</v>
      </c>
      <c r="I31" s="85"/>
      <c r="J31" s="85">
        <f>J27+J29</f>
        <v>355406.0912113369</v>
      </c>
      <c r="K31" s="84" t="s">
        <v>16</v>
      </c>
      <c r="L31" s="85">
        <f>L27+L29</f>
        <v>1915.9580000000001</v>
      </c>
      <c r="M31" s="85">
        <f>M27+M29</f>
        <v>357322.04921133694</v>
      </c>
      <c r="N31" s="90"/>
      <c r="O31" s="562">
        <f t="shared" si="1"/>
        <v>21</v>
      </c>
    </row>
    <row r="32" spans="1:17" ht="17.25" thickTop="1" thickBot="1" x14ac:dyDescent="0.3">
      <c r="A32" s="562">
        <f t="shared" si="2"/>
        <v>22</v>
      </c>
      <c r="B32" s="611"/>
      <c r="C32" s="565"/>
      <c r="D32" s="612"/>
      <c r="E32" s="613"/>
      <c r="F32" s="613"/>
      <c r="G32" s="581"/>
      <c r="H32" s="614"/>
      <c r="I32" s="582"/>
      <c r="J32" s="582"/>
      <c r="K32" s="581"/>
      <c r="L32" s="581"/>
      <c r="M32" s="714"/>
      <c r="N32" s="615"/>
      <c r="O32" s="562">
        <f t="shared" si="1"/>
        <v>22</v>
      </c>
    </row>
    <row r="33" spans="1:15" x14ac:dyDescent="0.25">
      <c r="A33" s="562">
        <f>A32+1</f>
        <v>23</v>
      </c>
      <c r="B33" s="715"/>
      <c r="C33" s="716"/>
      <c r="D33" s="717"/>
      <c r="E33" s="718"/>
      <c r="F33" s="717"/>
      <c r="G33" s="717"/>
      <c r="H33" s="617"/>
      <c r="I33" s="717"/>
      <c r="J33" s="717"/>
      <c r="K33" s="717"/>
      <c r="L33" s="717"/>
      <c r="M33" s="717"/>
      <c r="N33" s="719"/>
      <c r="O33" s="562">
        <f t="shared" si="1"/>
        <v>23</v>
      </c>
    </row>
    <row r="34" spans="1:15" x14ac:dyDescent="0.25">
      <c r="A34" s="562">
        <f>A33+1</f>
        <v>24</v>
      </c>
      <c r="B34" s="619" t="s">
        <v>415</v>
      </c>
      <c r="C34" s="562"/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607"/>
      <c r="O34" s="562">
        <f t="shared" si="1"/>
        <v>24</v>
      </c>
    </row>
    <row r="35" spans="1:15" x14ac:dyDescent="0.25">
      <c r="A35" s="562">
        <f t="shared" ref="A35:A66" si="6">A34+1</f>
        <v>25</v>
      </c>
      <c r="B35" s="620">
        <v>920</v>
      </c>
      <c r="C35" s="21" t="s">
        <v>416</v>
      </c>
      <c r="D35" s="622"/>
      <c r="E35" s="32">
        <v>91.867089999999976</v>
      </c>
      <c r="F35" s="562"/>
      <c r="G35" s="562"/>
      <c r="H35" s="562"/>
      <c r="I35" s="562"/>
      <c r="J35" s="562"/>
      <c r="K35" s="562"/>
      <c r="L35" s="562"/>
      <c r="M35" s="562"/>
      <c r="N35" s="607"/>
      <c r="O35" s="562">
        <f t="shared" si="1"/>
        <v>25</v>
      </c>
    </row>
    <row r="36" spans="1:15" x14ac:dyDescent="0.25">
      <c r="A36" s="562">
        <f t="shared" si="6"/>
        <v>26</v>
      </c>
      <c r="B36" s="620">
        <v>921</v>
      </c>
      <c r="C36" s="21" t="s">
        <v>416</v>
      </c>
      <c r="D36" s="622"/>
      <c r="E36" s="563">
        <v>-1.33857</v>
      </c>
      <c r="N36" s="607"/>
      <c r="O36" s="562">
        <f t="shared" si="1"/>
        <v>26</v>
      </c>
    </row>
    <row r="37" spans="1:15" x14ac:dyDescent="0.25">
      <c r="A37" s="562">
        <f t="shared" si="6"/>
        <v>27</v>
      </c>
      <c r="B37" s="620">
        <v>923</v>
      </c>
      <c r="C37" s="21" t="s">
        <v>417</v>
      </c>
      <c r="D37" s="32">
        <v>74.15849</v>
      </c>
      <c r="E37" s="30"/>
      <c r="N37" s="607"/>
      <c r="O37" s="562">
        <f t="shared" si="1"/>
        <v>27</v>
      </c>
    </row>
    <row r="38" spans="1:15" x14ac:dyDescent="0.25">
      <c r="A38" s="562">
        <f t="shared" si="6"/>
        <v>28</v>
      </c>
      <c r="B38" s="620"/>
      <c r="C38" s="21" t="s">
        <v>416</v>
      </c>
      <c r="D38" s="340">
        <v>78.949559999999991</v>
      </c>
      <c r="E38" s="563">
        <f>SUM(D37:D38)</f>
        <v>153.10804999999999</v>
      </c>
      <c r="N38" s="607"/>
      <c r="O38" s="562">
        <f t="shared" si="1"/>
        <v>28</v>
      </c>
    </row>
    <row r="39" spans="1:15" x14ac:dyDescent="0.25">
      <c r="A39" s="562">
        <f t="shared" si="6"/>
        <v>29</v>
      </c>
      <c r="B39" s="620">
        <v>925</v>
      </c>
      <c r="C39" s="625" t="s">
        <v>416</v>
      </c>
      <c r="D39" s="30">
        <v>268.99521833499995</v>
      </c>
      <c r="N39" s="607"/>
      <c r="O39" s="562">
        <f t="shared" si="1"/>
        <v>29</v>
      </c>
    </row>
    <row r="40" spans="1:15" x14ac:dyDescent="0.25">
      <c r="A40" s="562">
        <f t="shared" si="6"/>
        <v>30</v>
      </c>
      <c r="B40" s="620"/>
      <c r="C40" s="625" t="s">
        <v>395</v>
      </c>
      <c r="D40" s="30">
        <v>0</v>
      </c>
      <c r="N40" s="607"/>
      <c r="O40" s="562">
        <f t="shared" si="1"/>
        <v>30</v>
      </c>
    </row>
    <row r="41" spans="1:15" x14ac:dyDescent="0.25">
      <c r="A41" s="562">
        <f t="shared" si="6"/>
        <v>31</v>
      </c>
      <c r="B41" s="620"/>
      <c r="C41" s="720" t="s">
        <v>418</v>
      </c>
      <c r="D41" s="340">
        <v>66.983239999999995</v>
      </c>
      <c r="E41" s="563">
        <f>SUM(D39:D41)</f>
        <v>335.97845833499991</v>
      </c>
      <c r="N41" s="607"/>
      <c r="O41" s="562">
        <f t="shared" si="1"/>
        <v>31</v>
      </c>
    </row>
    <row r="42" spans="1:15" x14ac:dyDescent="0.25">
      <c r="A42" s="562">
        <f t="shared" si="6"/>
        <v>32</v>
      </c>
      <c r="B42" s="620">
        <v>926</v>
      </c>
      <c r="C42" s="625" t="s">
        <v>416</v>
      </c>
      <c r="D42" s="30">
        <v>730.03415291299996</v>
      </c>
      <c r="E42" s="30"/>
      <c r="N42" s="607"/>
      <c r="O42" s="562">
        <f t="shared" si="1"/>
        <v>32</v>
      </c>
    </row>
    <row r="43" spans="1:15" x14ac:dyDescent="0.25">
      <c r="A43" s="562">
        <f t="shared" si="6"/>
        <v>33</v>
      </c>
      <c r="B43" s="620"/>
      <c r="C43" s="625" t="s">
        <v>418</v>
      </c>
      <c r="D43" s="340">
        <v>183.35011</v>
      </c>
      <c r="E43" s="563">
        <f>SUM(D42:D43)</f>
        <v>913.38426291299993</v>
      </c>
      <c r="N43" s="607"/>
      <c r="O43" s="562">
        <f t="shared" si="1"/>
        <v>33</v>
      </c>
    </row>
    <row r="44" spans="1:15" x14ac:dyDescent="0.25">
      <c r="A44" s="562">
        <f t="shared" si="6"/>
        <v>34</v>
      </c>
      <c r="B44" s="620">
        <v>927</v>
      </c>
      <c r="C44" s="625" t="s">
        <v>399</v>
      </c>
      <c r="D44" s="626"/>
      <c r="E44" s="30">
        <v>127615.79129000001</v>
      </c>
      <c r="N44" s="607"/>
      <c r="O44" s="562">
        <f t="shared" si="1"/>
        <v>34</v>
      </c>
    </row>
    <row r="45" spans="1:15" x14ac:dyDescent="0.25">
      <c r="A45" s="562">
        <f t="shared" si="6"/>
        <v>35</v>
      </c>
      <c r="B45" s="620">
        <v>928</v>
      </c>
      <c r="C45" s="625" t="s">
        <v>416</v>
      </c>
      <c r="D45" s="30">
        <v>0</v>
      </c>
      <c r="E45" s="30"/>
      <c r="F45" s="721"/>
      <c r="G45" s="721"/>
      <c r="H45" s="721"/>
      <c r="I45" s="721"/>
      <c r="J45" s="721"/>
      <c r="K45" s="721"/>
      <c r="L45" s="721"/>
      <c r="M45" s="721"/>
      <c r="N45" s="722"/>
      <c r="O45" s="562">
        <f t="shared" si="1"/>
        <v>35</v>
      </c>
    </row>
    <row r="46" spans="1:15" x14ac:dyDescent="0.25">
      <c r="A46" s="562">
        <f t="shared" si="6"/>
        <v>36</v>
      </c>
      <c r="B46" s="620"/>
      <c r="C46" s="21" t="s">
        <v>419</v>
      </c>
      <c r="D46" s="30">
        <v>0</v>
      </c>
      <c r="E46" s="30"/>
      <c r="N46" s="607"/>
      <c r="O46" s="562">
        <f t="shared" si="1"/>
        <v>36</v>
      </c>
    </row>
    <row r="47" spans="1:15" x14ac:dyDescent="0.25">
      <c r="A47" s="562">
        <f t="shared" si="6"/>
        <v>37</v>
      </c>
      <c r="B47" s="620"/>
      <c r="C47" s="21" t="s">
        <v>420</v>
      </c>
      <c r="D47" s="30">
        <v>1212.49029</v>
      </c>
      <c r="E47" s="723"/>
      <c r="N47" s="607"/>
      <c r="O47" s="562">
        <f t="shared" si="1"/>
        <v>37</v>
      </c>
    </row>
    <row r="48" spans="1:15" x14ac:dyDescent="0.25">
      <c r="A48" s="562">
        <f t="shared" si="6"/>
        <v>38</v>
      </c>
      <c r="B48" s="620"/>
      <c r="C48" s="21" t="s">
        <v>421</v>
      </c>
      <c r="D48" s="30">
        <v>9790.5481500000005</v>
      </c>
      <c r="E48" s="724"/>
      <c r="F48" s="721"/>
      <c r="G48" s="721"/>
      <c r="H48" s="721"/>
      <c r="I48" s="721"/>
      <c r="J48" s="721"/>
      <c r="K48" s="721"/>
      <c r="L48" s="721"/>
      <c r="M48" s="721"/>
      <c r="N48" s="722"/>
      <c r="O48" s="562">
        <f t="shared" si="1"/>
        <v>38</v>
      </c>
    </row>
    <row r="49" spans="1:15" x14ac:dyDescent="0.25">
      <c r="A49" s="562">
        <f t="shared" si="6"/>
        <v>39</v>
      </c>
      <c r="B49" s="631"/>
      <c r="C49" s="625" t="s">
        <v>422</v>
      </c>
      <c r="D49" s="632">
        <v>131.66149999999999</v>
      </c>
      <c r="E49" s="635">
        <f>SUM(D45:D49)</f>
        <v>11134.69994</v>
      </c>
      <c r="N49" s="607"/>
      <c r="O49" s="562">
        <f t="shared" si="1"/>
        <v>39</v>
      </c>
    </row>
    <row r="50" spans="1:15" x14ac:dyDescent="0.25">
      <c r="A50" s="562">
        <f t="shared" si="6"/>
        <v>40</v>
      </c>
      <c r="B50" s="634">
        <v>930.1</v>
      </c>
      <c r="C50" s="21" t="s">
        <v>405</v>
      </c>
      <c r="D50" s="626"/>
      <c r="E50" s="30">
        <v>112.52861999999999</v>
      </c>
      <c r="N50" s="607"/>
      <c r="O50" s="562">
        <f t="shared" si="1"/>
        <v>40</v>
      </c>
    </row>
    <row r="51" spans="1:15" x14ac:dyDescent="0.25">
      <c r="A51" s="562">
        <f t="shared" si="6"/>
        <v>41</v>
      </c>
      <c r="B51" s="634">
        <v>930.2</v>
      </c>
      <c r="C51" s="625" t="s">
        <v>423</v>
      </c>
      <c r="D51" s="635">
        <v>0</v>
      </c>
      <c r="E51" s="636"/>
      <c r="N51" s="607"/>
      <c r="O51" s="562">
        <f t="shared" si="1"/>
        <v>41</v>
      </c>
    </row>
    <row r="52" spans="1:15" x14ac:dyDescent="0.25">
      <c r="A52" s="562">
        <f t="shared" si="6"/>
        <v>42</v>
      </c>
      <c r="B52" s="634"/>
      <c r="C52" s="625" t="s">
        <v>424</v>
      </c>
      <c r="D52" s="637">
        <v>576.97162999999989</v>
      </c>
      <c r="E52" s="635">
        <f>SUM(D51:D52)</f>
        <v>576.97162999999989</v>
      </c>
      <c r="N52" s="607"/>
      <c r="O52" s="562">
        <f t="shared" si="1"/>
        <v>42</v>
      </c>
    </row>
    <row r="53" spans="1:15" x14ac:dyDescent="0.25">
      <c r="A53" s="562">
        <f t="shared" si="6"/>
        <v>43</v>
      </c>
      <c r="B53" s="620">
        <v>935</v>
      </c>
      <c r="C53" s="638" t="s">
        <v>425</v>
      </c>
      <c r="D53" s="635">
        <v>39.414587415</v>
      </c>
      <c r="E53" s="636"/>
      <c r="N53" s="607"/>
      <c r="O53" s="562">
        <f t="shared" si="1"/>
        <v>43</v>
      </c>
    </row>
    <row r="54" spans="1:15" x14ac:dyDescent="0.25">
      <c r="A54" s="562">
        <f t="shared" si="6"/>
        <v>44</v>
      </c>
      <c r="B54" s="620"/>
      <c r="C54" s="638" t="s">
        <v>416</v>
      </c>
      <c r="D54" s="637">
        <v>1463.1121000000001</v>
      </c>
      <c r="E54" s="637">
        <f>SUM(D53:D54)</f>
        <v>1502.526687415</v>
      </c>
      <c r="N54" s="607"/>
      <c r="O54" s="562">
        <f t="shared" si="1"/>
        <v>44</v>
      </c>
    </row>
    <row r="55" spans="1:15" x14ac:dyDescent="0.25">
      <c r="A55" s="562">
        <f t="shared" si="6"/>
        <v>45</v>
      </c>
      <c r="B55" s="725"/>
      <c r="C55" s="726"/>
      <c r="D55" s="727"/>
      <c r="E55" s="79"/>
      <c r="N55" s="607"/>
      <c r="O55" s="562">
        <f t="shared" si="1"/>
        <v>45</v>
      </c>
    </row>
    <row r="56" spans="1:15" ht="16.5" thickBot="1" x14ac:dyDescent="0.3">
      <c r="A56" s="562">
        <f t="shared" si="6"/>
        <v>46</v>
      </c>
      <c r="B56" s="616"/>
      <c r="C56" s="641" t="s">
        <v>64</v>
      </c>
      <c r="D56" s="721"/>
      <c r="E56" s="609">
        <f>SUM(E35:E54)</f>
        <v>142435.51745866297</v>
      </c>
      <c r="F56" s="728"/>
      <c r="G56" s="728"/>
      <c r="H56" s="728"/>
      <c r="I56" s="728"/>
      <c r="J56" s="728"/>
      <c r="K56" s="728"/>
      <c r="L56" s="728"/>
      <c r="M56" s="728"/>
      <c r="N56" s="607"/>
      <c r="O56" s="562">
        <f t="shared" si="1"/>
        <v>46</v>
      </c>
    </row>
    <row r="57" spans="1:15" ht="16.5" thickTop="1" x14ac:dyDescent="0.25">
      <c r="A57" s="562">
        <f t="shared" si="6"/>
        <v>47</v>
      </c>
      <c r="B57" s="616"/>
      <c r="C57" s="641"/>
      <c r="E57" s="643"/>
      <c r="F57" s="388"/>
      <c r="G57" s="388"/>
      <c r="H57" s="388"/>
      <c r="I57" s="388"/>
      <c r="J57" s="388"/>
      <c r="K57" s="388"/>
      <c r="L57" s="388"/>
      <c r="M57" s="388"/>
      <c r="N57" s="607"/>
      <c r="O57" s="562">
        <f t="shared" si="1"/>
        <v>47</v>
      </c>
    </row>
    <row r="58" spans="1:15" x14ac:dyDescent="0.25">
      <c r="A58" s="562">
        <f t="shared" si="6"/>
        <v>48</v>
      </c>
      <c r="B58" s="70" t="s">
        <v>16</v>
      </c>
      <c r="C58" s="25" t="s">
        <v>631</v>
      </c>
      <c r="E58" s="643"/>
      <c r="F58" s="388"/>
      <c r="G58" s="388"/>
      <c r="H58" s="388"/>
      <c r="I58" s="388"/>
      <c r="J58" s="388"/>
      <c r="K58" s="388"/>
      <c r="L58" s="388"/>
      <c r="M58" s="388"/>
      <c r="N58" s="607"/>
      <c r="O58" s="562">
        <f t="shared" si="1"/>
        <v>48</v>
      </c>
    </row>
    <row r="59" spans="1:15" ht="18.75" x14ac:dyDescent="0.25">
      <c r="A59" s="562">
        <f t="shared" si="6"/>
        <v>49</v>
      </c>
      <c r="B59" s="645">
        <v>1</v>
      </c>
      <c r="C59" s="593" t="s">
        <v>591</v>
      </c>
      <c r="E59" s="729"/>
      <c r="F59" s="388"/>
      <c r="G59" s="388"/>
      <c r="H59" s="388"/>
      <c r="I59" s="388"/>
      <c r="J59" s="388"/>
      <c r="K59" s="388"/>
      <c r="L59" s="388"/>
      <c r="M59" s="388"/>
      <c r="N59" s="607"/>
      <c r="O59" s="562">
        <f t="shared" si="1"/>
        <v>49</v>
      </c>
    </row>
    <row r="60" spans="1:15" ht="18.75" x14ac:dyDescent="0.25">
      <c r="A60" s="562">
        <f t="shared" si="6"/>
        <v>50</v>
      </c>
      <c r="B60" s="645">
        <v>2</v>
      </c>
      <c r="C60" s="593" t="s">
        <v>592</v>
      </c>
      <c r="E60" s="729"/>
      <c r="F60" s="388"/>
      <c r="G60" s="388"/>
      <c r="H60" s="388"/>
      <c r="I60" s="388"/>
      <c r="J60" s="388"/>
      <c r="K60" s="388"/>
      <c r="L60" s="388"/>
      <c r="M60" s="388"/>
      <c r="N60" s="607"/>
      <c r="O60" s="562">
        <f t="shared" si="1"/>
        <v>50</v>
      </c>
    </row>
    <row r="61" spans="1:15" ht="18.75" x14ac:dyDescent="0.25">
      <c r="A61" s="562">
        <f t="shared" si="6"/>
        <v>51</v>
      </c>
      <c r="B61" s="645">
        <v>3</v>
      </c>
      <c r="C61" s="40" t="s">
        <v>593</v>
      </c>
      <c r="E61" s="729"/>
      <c r="F61" s="388"/>
      <c r="G61" s="388"/>
      <c r="H61" s="388"/>
      <c r="I61" s="388"/>
      <c r="J61" s="388"/>
      <c r="K61" s="388"/>
      <c r="L61" s="388"/>
      <c r="M61" s="388"/>
      <c r="N61" s="607"/>
      <c r="O61" s="562">
        <f t="shared" si="1"/>
        <v>51</v>
      </c>
    </row>
    <row r="62" spans="1:15" ht="18.75" x14ac:dyDescent="0.25">
      <c r="A62" s="562">
        <f t="shared" si="6"/>
        <v>52</v>
      </c>
      <c r="B62" s="645"/>
      <c r="C62" s="40" t="s">
        <v>594</v>
      </c>
      <c r="E62" s="729"/>
      <c r="F62" s="388"/>
      <c r="G62" s="388"/>
      <c r="H62" s="388"/>
      <c r="I62" s="388"/>
      <c r="J62" s="388"/>
      <c r="K62" s="388"/>
      <c r="L62" s="388"/>
      <c r="M62" s="388"/>
      <c r="N62" s="607"/>
      <c r="O62" s="562">
        <f t="shared" si="1"/>
        <v>52</v>
      </c>
    </row>
    <row r="63" spans="1:15" ht="18.75" x14ac:dyDescent="0.25">
      <c r="A63" s="562">
        <f t="shared" si="6"/>
        <v>53</v>
      </c>
      <c r="B63" s="645">
        <v>4</v>
      </c>
      <c r="C63" s="40" t="s">
        <v>595</v>
      </c>
      <c r="E63" s="729"/>
      <c r="F63" s="388"/>
      <c r="G63" s="388"/>
      <c r="H63" s="388"/>
      <c r="I63" s="388"/>
      <c r="J63" s="388"/>
      <c r="K63" s="388"/>
      <c r="L63" s="388"/>
      <c r="M63" s="388"/>
      <c r="N63" s="607"/>
      <c r="O63" s="562">
        <f t="shared" si="1"/>
        <v>53</v>
      </c>
    </row>
    <row r="64" spans="1:15" ht="18.75" x14ac:dyDescent="0.25">
      <c r="A64" s="562">
        <f t="shared" si="6"/>
        <v>54</v>
      </c>
      <c r="B64" s="645"/>
      <c r="C64" s="40" t="s">
        <v>596</v>
      </c>
      <c r="E64" s="729"/>
      <c r="F64" s="388"/>
      <c r="G64" s="388"/>
      <c r="H64" s="388"/>
      <c r="I64" s="388"/>
      <c r="J64" s="388"/>
      <c r="K64" s="388"/>
      <c r="L64" s="388"/>
      <c r="M64" s="388"/>
      <c r="N64" s="607"/>
      <c r="O64" s="562">
        <f t="shared" si="1"/>
        <v>54</v>
      </c>
    </row>
    <row r="65" spans="1:15" ht="18.75" x14ac:dyDescent="0.25">
      <c r="A65" s="562">
        <f t="shared" si="6"/>
        <v>55</v>
      </c>
      <c r="B65" s="645">
        <v>5</v>
      </c>
      <c r="C65" s="40" t="s">
        <v>597</v>
      </c>
      <c r="E65" s="729"/>
      <c r="F65" s="388"/>
      <c r="G65" s="388"/>
      <c r="H65" s="388"/>
      <c r="I65" s="388"/>
      <c r="J65" s="388"/>
      <c r="K65" s="388"/>
      <c r="L65" s="388"/>
      <c r="M65" s="388"/>
      <c r="N65" s="607"/>
      <c r="O65" s="562">
        <f t="shared" si="1"/>
        <v>55</v>
      </c>
    </row>
    <row r="66" spans="1:15" ht="16.5" thickBot="1" x14ac:dyDescent="0.3">
      <c r="A66" s="562">
        <f t="shared" si="6"/>
        <v>56</v>
      </c>
      <c r="B66" s="646"/>
      <c r="C66" s="647"/>
      <c r="D66" s="565"/>
      <c r="E66" s="565"/>
      <c r="F66" s="565"/>
      <c r="G66" s="565"/>
      <c r="H66" s="565"/>
      <c r="I66" s="565"/>
      <c r="J66" s="565"/>
      <c r="K66" s="565"/>
      <c r="L66" s="565"/>
      <c r="M66" s="565"/>
      <c r="N66" s="615"/>
      <c r="O66" s="562">
        <f t="shared" si="1"/>
        <v>56</v>
      </c>
    </row>
    <row r="67" spans="1:15" x14ac:dyDescent="0.25">
      <c r="A67" s="564"/>
      <c r="C67" s="593"/>
      <c r="D67" s="648"/>
      <c r="E67" s="648"/>
    </row>
    <row r="68" spans="1:15" ht="18.75" x14ac:dyDescent="0.25">
      <c r="A68" s="649"/>
      <c r="C68" s="593"/>
    </row>
    <row r="69" spans="1:15" ht="18.75" x14ac:dyDescent="0.25">
      <c r="A69" s="649"/>
      <c r="C69" s="593"/>
    </row>
    <row r="70" spans="1:15" ht="18.75" x14ac:dyDescent="0.25">
      <c r="A70" s="649"/>
      <c r="C70" s="593"/>
    </row>
    <row r="71" spans="1:15" ht="18.75" x14ac:dyDescent="0.25">
      <c r="A71" s="649"/>
      <c r="C71" s="593"/>
    </row>
    <row r="72" spans="1:15" ht="18.75" x14ac:dyDescent="0.25">
      <c r="A72" s="649"/>
      <c r="C72" s="593"/>
    </row>
    <row r="73" spans="1:15" ht="18.75" x14ac:dyDescent="0.25">
      <c r="A73" s="649"/>
      <c r="C73" s="593"/>
    </row>
    <row r="74" spans="1:15" x14ac:dyDescent="0.25">
      <c r="A74" s="564"/>
      <c r="C74" s="593"/>
    </row>
    <row r="75" spans="1:15" ht="18.75" x14ac:dyDescent="0.25">
      <c r="A75" s="649"/>
      <c r="C75" s="593"/>
    </row>
    <row r="76" spans="1:15" x14ac:dyDescent="0.25">
      <c r="A76" s="564"/>
      <c r="C76" s="593"/>
    </row>
    <row r="77" spans="1:15" ht="18.75" x14ac:dyDescent="0.25">
      <c r="A77" s="649"/>
      <c r="C77" s="593"/>
    </row>
    <row r="78" spans="1:15" x14ac:dyDescent="0.25">
      <c r="A78" s="564"/>
      <c r="C78" s="593"/>
    </row>
    <row r="79" spans="1:15" ht="18.75" x14ac:dyDescent="0.25">
      <c r="A79" s="649"/>
      <c r="C79" s="593"/>
    </row>
    <row r="80" spans="1:15" ht="18.75" x14ac:dyDescent="0.25">
      <c r="A80" s="649"/>
      <c r="B80" s="593"/>
    </row>
    <row r="81" spans="1:2" ht="18.75" x14ac:dyDescent="0.25">
      <c r="A81" s="649"/>
      <c r="B81" s="593"/>
    </row>
    <row r="82" spans="1:2" x14ac:dyDescent="0.25">
      <c r="B82" s="593"/>
    </row>
    <row r="83" spans="1:2" ht="18.75" x14ac:dyDescent="0.25">
      <c r="A83" s="649"/>
      <c r="B83" s="593"/>
    </row>
    <row r="84" spans="1:2" x14ac:dyDescent="0.25">
      <c r="A84" s="730"/>
      <c r="B84" s="731"/>
    </row>
    <row r="85" spans="1:2" x14ac:dyDescent="0.25">
      <c r="B85" s="593"/>
    </row>
  </sheetData>
  <mergeCells count="4">
    <mergeCell ref="B2:N2"/>
    <mergeCell ref="B3:N3"/>
    <mergeCell ref="B4:N4"/>
    <mergeCell ref="B5:N5"/>
  </mergeCells>
  <printOptions horizontalCentered="1"/>
  <pageMargins left="0.5" right="0.5" top="0.5" bottom="0.5" header="0.35" footer="0.25"/>
  <pageSetup scale="41" orientation="portrait" r:id="rId1"/>
  <headerFooter scaleWithDoc="0" alignWithMargins="0">
    <oddHeader>&amp;C&amp;"Times New Roman,Bold"&amp;7REVISED</oddHeader>
    <oddFooter>&amp;L&amp;F&amp;CPage 8.2&amp;R&amp;A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1:O87"/>
  <sheetViews>
    <sheetView zoomScale="80" zoomScaleNormal="80" workbookViewId="0"/>
  </sheetViews>
  <sheetFormatPr defaultColWidth="9.140625" defaultRowHeight="15.75" x14ac:dyDescent="0.25"/>
  <cols>
    <col min="1" max="1" width="5.140625" style="562" customWidth="1"/>
    <col min="2" max="2" width="8.5703125" style="563" customWidth="1"/>
    <col min="3" max="3" width="68.7109375" style="563" customWidth="1"/>
    <col min="4" max="6" width="16.85546875" style="563" customWidth="1"/>
    <col min="7" max="7" width="1.5703125" style="563" customWidth="1"/>
    <col min="8" max="8" width="16.85546875" style="563" customWidth="1"/>
    <col min="9" max="9" width="3" style="563" bestFit="1" customWidth="1"/>
    <col min="10" max="10" width="16.85546875" style="563" customWidth="1"/>
    <col min="11" max="11" width="30.5703125" style="563" customWidth="1"/>
    <col min="12" max="12" width="5.140625" style="562" customWidth="1"/>
    <col min="13" max="13" width="4" style="563" customWidth="1"/>
    <col min="14" max="14" width="13.28515625" style="563" bestFit="1" customWidth="1"/>
    <col min="15" max="15" width="9.140625" style="563"/>
    <col min="16" max="16" width="9.7109375" style="563" customWidth="1"/>
    <col min="17" max="17" width="10" style="563" customWidth="1"/>
    <col min="18" max="16384" width="9.140625" style="563"/>
  </cols>
  <sheetData>
    <row r="1" spans="1:15" x14ac:dyDescent="0.25">
      <c r="A1" s="702" t="s">
        <v>608</v>
      </c>
    </row>
    <row r="2" spans="1:15" x14ac:dyDescent="0.25">
      <c r="K2" s="41"/>
    </row>
    <row r="3" spans="1:15" x14ac:dyDescent="0.25">
      <c r="B3" s="777" t="s">
        <v>21</v>
      </c>
      <c r="C3" s="777"/>
      <c r="D3" s="777"/>
      <c r="E3" s="777"/>
      <c r="F3" s="777"/>
      <c r="G3" s="777"/>
      <c r="H3" s="777"/>
      <c r="I3" s="777"/>
      <c r="J3" s="777"/>
      <c r="K3" s="777"/>
      <c r="L3" s="564"/>
    </row>
    <row r="4" spans="1:15" x14ac:dyDescent="0.25">
      <c r="B4" s="777" t="s">
        <v>380</v>
      </c>
      <c r="C4" s="777"/>
      <c r="D4" s="777"/>
      <c r="E4" s="777"/>
      <c r="F4" s="777"/>
      <c r="G4" s="777"/>
      <c r="H4" s="777"/>
      <c r="I4" s="777"/>
      <c r="J4" s="777"/>
      <c r="K4" s="777"/>
      <c r="L4" s="564"/>
    </row>
    <row r="5" spans="1:15" x14ac:dyDescent="0.25">
      <c r="B5" s="777" t="s">
        <v>559</v>
      </c>
      <c r="C5" s="777"/>
      <c r="D5" s="777"/>
      <c r="E5" s="777"/>
      <c r="F5" s="777"/>
      <c r="G5" s="777"/>
      <c r="H5" s="777"/>
      <c r="I5" s="777"/>
      <c r="J5" s="777"/>
      <c r="K5" s="777"/>
      <c r="L5" s="564"/>
    </row>
    <row r="6" spans="1:15" x14ac:dyDescent="0.25">
      <c r="B6" s="778" t="s">
        <v>1</v>
      </c>
      <c r="C6" s="778"/>
      <c r="D6" s="778"/>
      <c r="E6" s="778"/>
      <c r="F6" s="778"/>
      <c r="G6" s="778"/>
      <c r="H6" s="778"/>
      <c r="I6" s="778"/>
      <c r="J6" s="778"/>
      <c r="K6" s="778"/>
      <c r="L6" s="564"/>
    </row>
    <row r="7" spans="1:15" ht="16.5" thickBot="1" x14ac:dyDescent="0.3">
      <c r="D7" s="565"/>
      <c r="E7" s="565"/>
      <c r="F7" s="565"/>
      <c r="G7" s="565"/>
      <c r="H7" s="565"/>
      <c r="I7" s="565"/>
      <c r="J7" s="565"/>
      <c r="K7" s="565"/>
      <c r="N7" s="40"/>
    </row>
    <row r="8" spans="1:15" ht="18.75" x14ac:dyDescent="0.25">
      <c r="A8" s="564"/>
      <c r="B8" s="566"/>
      <c r="C8" s="567"/>
      <c r="D8" s="568" t="s">
        <v>10</v>
      </c>
      <c r="E8" s="569" t="s">
        <v>53</v>
      </c>
      <c r="F8" s="568" t="s">
        <v>54</v>
      </c>
      <c r="G8" s="569"/>
      <c r="H8" s="561" t="s">
        <v>381</v>
      </c>
      <c r="I8" s="73"/>
      <c r="J8" s="73" t="s">
        <v>55</v>
      </c>
      <c r="K8" s="570"/>
      <c r="L8" s="564"/>
    </row>
    <row r="9" spans="1:15" x14ac:dyDescent="0.25">
      <c r="A9" s="562" t="s">
        <v>2</v>
      </c>
      <c r="B9" s="571" t="s">
        <v>56</v>
      </c>
      <c r="C9" s="572"/>
      <c r="D9" s="573" t="s">
        <v>9</v>
      </c>
      <c r="E9" s="564" t="s">
        <v>57</v>
      </c>
      <c r="F9" s="573" t="s">
        <v>9</v>
      </c>
      <c r="G9" s="574"/>
      <c r="H9" s="387" t="s">
        <v>266</v>
      </c>
      <c r="I9" s="575"/>
      <c r="J9" s="74" t="s">
        <v>58</v>
      </c>
      <c r="K9" s="576"/>
      <c r="L9" s="562" t="s">
        <v>2</v>
      </c>
    </row>
    <row r="10" spans="1:15" ht="16.5" thickBot="1" x14ac:dyDescent="0.3">
      <c r="A10" s="562" t="s">
        <v>6</v>
      </c>
      <c r="B10" s="577" t="s">
        <v>59</v>
      </c>
      <c r="C10" s="578" t="s">
        <v>3</v>
      </c>
      <c r="D10" s="579" t="s">
        <v>60</v>
      </c>
      <c r="E10" s="578" t="s">
        <v>61</v>
      </c>
      <c r="F10" s="579" t="s">
        <v>62</v>
      </c>
      <c r="G10" s="580"/>
      <c r="H10" s="581" t="s">
        <v>382</v>
      </c>
      <c r="I10" s="582"/>
      <c r="J10" s="583" t="s">
        <v>383</v>
      </c>
      <c r="K10" s="584" t="s">
        <v>5</v>
      </c>
      <c r="L10" s="562" t="s">
        <v>6</v>
      </c>
      <c r="M10" s="562"/>
    </row>
    <row r="11" spans="1:15" x14ac:dyDescent="0.25">
      <c r="B11" s="585"/>
      <c r="C11" s="586" t="s">
        <v>384</v>
      </c>
      <c r="D11" s="587"/>
      <c r="E11" s="587"/>
      <c r="F11" s="588"/>
      <c r="G11" s="589"/>
      <c r="H11" s="589"/>
      <c r="I11" s="590"/>
      <c r="J11" s="591"/>
      <c r="K11" s="592"/>
    </row>
    <row r="12" spans="1:15" ht="19.5" x14ac:dyDescent="0.25">
      <c r="A12" s="562">
        <v>1</v>
      </c>
      <c r="B12" s="585">
        <v>920</v>
      </c>
      <c r="C12" s="593" t="s">
        <v>385</v>
      </c>
      <c r="D12" s="76">
        <v>31012.001380000002</v>
      </c>
      <c r="E12" s="76">
        <f>E36</f>
        <v>91.867089999999976</v>
      </c>
      <c r="F12" s="76">
        <f>D12-E12</f>
        <v>30920.134290000002</v>
      </c>
      <c r="G12" s="27" t="s">
        <v>16</v>
      </c>
      <c r="H12" s="81">
        <v>-84.78</v>
      </c>
      <c r="I12" s="594">
        <v>2</v>
      </c>
      <c r="J12" s="595">
        <f>F12+H12</f>
        <v>30835.354290000003</v>
      </c>
      <c r="K12" s="75" t="s">
        <v>386</v>
      </c>
      <c r="L12" s="562">
        <f>A12</f>
        <v>1</v>
      </c>
      <c r="M12" s="563" t="s">
        <v>11</v>
      </c>
      <c r="N12" s="596"/>
    </row>
    <row r="13" spans="1:15" ht="19.5" x14ac:dyDescent="0.25">
      <c r="A13" s="562">
        <f t="shared" ref="A13:A67" si="0">A12+1</f>
        <v>2</v>
      </c>
      <c r="B13" s="585">
        <v>921</v>
      </c>
      <c r="C13" s="593" t="s">
        <v>387</v>
      </c>
      <c r="D13" s="78">
        <v>16773.40425</v>
      </c>
      <c r="E13" s="79">
        <f>E37</f>
        <v>-1.33857</v>
      </c>
      <c r="F13" s="78">
        <f>D13-E13</f>
        <v>16774.742819999999</v>
      </c>
      <c r="G13" s="27" t="s">
        <v>16</v>
      </c>
      <c r="H13" s="597">
        <v>-128.12899999999999</v>
      </c>
      <c r="I13" s="594">
        <v>2</v>
      </c>
      <c r="J13" s="598">
        <f>F13+H13</f>
        <v>16646.613819999999</v>
      </c>
      <c r="K13" s="75" t="s">
        <v>388</v>
      </c>
      <c r="L13" s="562">
        <f t="shared" ref="L13:L67" si="1">L12+1</f>
        <v>2</v>
      </c>
      <c r="N13" s="596"/>
      <c r="O13" s="599"/>
    </row>
    <row r="14" spans="1:15" x14ac:dyDescent="0.25">
      <c r="A14" s="562">
        <f t="shared" si="0"/>
        <v>3</v>
      </c>
      <c r="B14" s="585">
        <v>922</v>
      </c>
      <c r="C14" s="593" t="s">
        <v>389</v>
      </c>
      <c r="D14" s="78">
        <v>-13569.700310000002</v>
      </c>
      <c r="E14" s="79">
        <v>0</v>
      </c>
      <c r="F14" s="78">
        <f>D14-E14</f>
        <v>-13569.700310000002</v>
      </c>
      <c r="G14" s="79"/>
      <c r="H14" s="79"/>
      <c r="I14" s="80"/>
      <c r="J14" s="80">
        <f t="shared" ref="J14:J25" si="2">F14+H14</f>
        <v>-13569.700310000002</v>
      </c>
      <c r="K14" s="75" t="s">
        <v>390</v>
      </c>
      <c r="L14" s="562">
        <f t="shared" si="1"/>
        <v>3</v>
      </c>
      <c r="N14" s="596"/>
    </row>
    <row r="15" spans="1:15" ht="18.75" x14ac:dyDescent="0.25">
      <c r="A15" s="562">
        <f t="shared" si="0"/>
        <v>4</v>
      </c>
      <c r="B15" s="571">
        <v>923</v>
      </c>
      <c r="C15" s="593" t="s">
        <v>391</v>
      </c>
      <c r="D15" s="78">
        <v>90245.647219999999</v>
      </c>
      <c r="E15" s="79">
        <f>E39</f>
        <v>153.10804999999999</v>
      </c>
      <c r="F15" s="78">
        <f>D15-E15</f>
        <v>90092.539170000004</v>
      </c>
      <c r="G15" s="27" t="s">
        <v>16</v>
      </c>
      <c r="H15" s="597">
        <f>2294.73+64.516</f>
        <v>2359.2460000000001</v>
      </c>
      <c r="I15" s="600">
        <v>3</v>
      </c>
      <c r="J15" s="598">
        <f>F15+H15+H16</f>
        <v>91885.613169999997</v>
      </c>
      <c r="K15" s="75" t="s">
        <v>392</v>
      </c>
      <c r="L15" s="562">
        <f t="shared" si="1"/>
        <v>4</v>
      </c>
      <c r="N15" s="596"/>
    </row>
    <row r="16" spans="1:15" ht="18.75" x14ac:dyDescent="0.25">
      <c r="A16" s="562">
        <f t="shared" si="0"/>
        <v>5</v>
      </c>
      <c r="B16" s="571">
        <v>923</v>
      </c>
      <c r="C16" s="593" t="s">
        <v>391</v>
      </c>
      <c r="D16" s="78"/>
      <c r="E16" s="79"/>
      <c r="F16" s="78"/>
      <c r="G16" s="27"/>
      <c r="H16" s="597">
        <v>-566.17200000000003</v>
      </c>
      <c r="I16" s="600">
        <v>2</v>
      </c>
      <c r="J16" s="80"/>
      <c r="K16" s="75"/>
      <c r="L16" s="562">
        <f t="shared" si="1"/>
        <v>5</v>
      </c>
      <c r="N16" s="596"/>
    </row>
    <row r="17" spans="1:14" ht="19.5" x14ac:dyDescent="0.25">
      <c r="A17" s="562">
        <f t="shared" si="0"/>
        <v>6</v>
      </c>
      <c r="B17" s="585">
        <v>924</v>
      </c>
      <c r="C17" s="593" t="s">
        <v>393</v>
      </c>
      <c r="D17" s="78">
        <v>8305.6217899999992</v>
      </c>
      <c r="E17" s="79">
        <v>0</v>
      </c>
      <c r="F17" s="78">
        <f t="shared" ref="F17:F18" si="3">D17-E17</f>
        <v>8305.6217899999992</v>
      </c>
      <c r="G17" s="27"/>
      <c r="I17" s="594"/>
      <c r="J17" s="80">
        <f t="shared" si="2"/>
        <v>8305.6217899999992</v>
      </c>
      <c r="K17" s="75" t="s">
        <v>394</v>
      </c>
      <c r="L17" s="562">
        <f t="shared" si="1"/>
        <v>6</v>
      </c>
      <c r="N17" s="596"/>
    </row>
    <row r="18" spans="1:14" ht="19.5" x14ac:dyDescent="0.25">
      <c r="A18" s="562">
        <f t="shared" si="0"/>
        <v>7</v>
      </c>
      <c r="B18" s="571">
        <v>925</v>
      </c>
      <c r="C18" s="593" t="s">
        <v>395</v>
      </c>
      <c r="D18" s="78">
        <v>140446.40546000001</v>
      </c>
      <c r="E18" s="79">
        <f>E42</f>
        <v>335.97845833499991</v>
      </c>
      <c r="F18" s="78">
        <f t="shared" si="3"/>
        <v>140110.427001665</v>
      </c>
      <c r="G18" s="27" t="s">
        <v>16</v>
      </c>
      <c r="H18" s="597">
        <v>-304.83300000000003</v>
      </c>
      <c r="I18" s="594">
        <v>2</v>
      </c>
      <c r="J18" s="598">
        <f t="shared" si="2"/>
        <v>139805.59400166498</v>
      </c>
      <c r="K18" s="75" t="s">
        <v>396</v>
      </c>
      <c r="L18" s="562">
        <f t="shared" si="1"/>
        <v>7</v>
      </c>
      <c r="N18" s="596"/>
    </row>
    <row r="19" spans="1:14" ht="19.5" x14ac:dyDescent="0.25">
      <c r="A19" s="562">
        <f t="shared" si="0"/>
        <v>8</v>
      </c>
      <c r="B19" s="571">
        <v>926</v>
      </c>
      <c r="C19" s="593" t="s">
        <v>397</v>
      </c>
      <c r="D19" s="78">
        <v>54077.224009999998</v>
      </c>
      <c r="E19" s="79">
        <f>E44</f>
        <v>913.38426291299993</v>
      </c>
      <c r="F19" s="78">
        <f>D19-E19</f>
        <v>53163.839747086997</v>
      </c>
      <c r="G19" s="27" t="s">
        <v>16</v>
      </c>
      <c r="H19" s="597">
        <v>-832.04399999999998</v>
      </c>
      <c r="I19" s="594">
        <v>2</v>
      </c>
      <c r="J19" s="598">
        <f t="shared" si="2"/>
        <v>52331.795747086995</v>
      </c>
      <c r="K19" s="75" t="s">
        <v>398</v>
      </c>
      <c r="L19" s="562">
        <f t="shared" si="1"/>
        <v>8</v>
      </c>
      <c r="N19" s="601"/>
    </row>
    <row r="20" spans="1:14" x14ac:dyDescent="0.25">
      <c r="A20" s="562">
        <f t="shared" si="0"/>
        <v>9</v>
      </c>
      <c r="B20" s="585">
        <v>927</v>
      </c>
      <c r="C20" s="593" t="s">
        <v>399</v>
      </c>
      <c r="D20" s="78">
        <v>127615.79129000001</v>
      </c>
      <c r="E20" s="79">
        <f>E45</f>
        <v>127615.79129000001</v>
      </c>
      <c r="F20" s="78">
        <f t="shared" ref="F20:F22" si="4">D20-E20</f>
        <v>0</v>
      </c>
      <c r="I20" s="602"/>
      <c r="J20" s="80">
        <f t="shared" si="2"/>
        <v>0</v>
      </c>
      <c r="K20" s="75" t="s">
        <v>400</v>
      </c>
      <c r="L20" s="562">
        <f t="shared" si="1"/>
        <v>9</v>
      </c>
      <c r="N20" s="601"/>
    </row>
    <row r="21" spans="1:14" x14ac:dyDescent="0.25">
      <c r="A21" s="562">
        <f t="shared" si="0"/>
        <v>10</v>
      </c>
      <c r="B21" s="585">
        <v>928</v>
      </c>
      <c r="C21" s="593" t="s">
        <v>401</v>
      </c>
      <c r="D21" s="78">
        <v>22402.324690000001</v>
      </c>
      <c r="E21" s="79">
        <f>E50</f>
        <v>11134.69994</v>
      </c>
      <c r="F21" s="78">
        <f t="shared" si="4"/>
        <v>11267.624750000001</v>
      </c>
      <c r="G21" s="79"/>
      <c r="H21" s="79"/>
      <c r="I21" s="80"/>
      <c r="J21" s="80">
        <f t="shared" si="2"/>
        <v>11267.624750000001</v>
      </c>
      <c r="K21" s="75" t="s">
        <v>402</v>
      </c>
      <c r="L21" s="562">
        <f t="shared" si="1"/>
        <v>10</v>
      </c>
      <c r="N21" s="601"/>
    </row>
    <row r="22" spans="1:14" x14ac:dyDescent="0.25">
      <c r="A22" s="562">
        <f t="shared" si="0"/>
        <v>11</v>
      </c>
      <c r="B22" s="585">
        <v>929</v>
      </c>
      <c r="C22" s="593" t="s">
        <v>403</v>
      </c>
      <c r="D22" s="78">
        <v>-2181.0840200000002</v>
      </c>
      <c r="E22" s="79">
        <v>0</v>
      </c>
      <c r="F22" s="78">
        <f t="shared" si="4"/>
        <v>-2181.0840200000002</v>
      </c>
      <c r="G22" s="79"/>
      <c r="H22" s="79"/>
      <c r="I22" s="89"/>
      <c r="J22" s="80">
        <f t="shared" si="2"/>
        <v>-2181.0840200000002</v>
      </c>
      <c r="K22" s="75" t="s">
        <v>404</v>
      </c>
      <c r="L22" s="562">
        <f t="shared" si="1"/>
        <v>11</v>
      </c>
      <c r="N22" s="596"/>
    </row>
    <row r="23" spans="1:14" x14ac:dyDescent="0.25">
      <c r="A23" s="562">
        <f t="shared" si="0"/>
        <v>12</v>
      </c>
      <c r="B23" s="603">
        <v>930.1</v>
      </c>
      <c r="C23" s="593" t="s">
        <v>405</v>
      </c>
      <c r="D23" s="78">
        <v>112.52861999999999</v>
      </c>
      <c r="E23" s="79">
        <f>E51</f>
        <v>112.52861999999999</v>
      </c>
      <c r="F23" s="78">
        <f>D23-E23</f>
        <v>0</v>
      </c>
      <c r="G23" s="79"/>
      <c r="H23" s="79"/>
      <c r="I23" s="80"/>
      <c r="J23" s="80">
        <f t="shared" si="2"/>
        <v>0</v>
      </c>
      <c r="K23" s="75" t="s">
        <v>406</v>
      </c>
      <c r="L23" s="562">
        <f t="shared" si="1"/>
        <v>12</v>
      </c>
      <c r="N23" s="596"/>
    </row>
    <row r="24" spans="1:14" ht="19.5" x14ac:dyDescent="0.25">
      <c r="A24" s="562">
        <f t="shared" si="0"/>
        <v>13</v>
      </c>
      <c r="B24" s="604">
        <v>930.2</v>
      </c>
      <c r="C24" s="593" t="s">
        <v>407</v>
      </c>
      <c r="D24" s="78">
        <v>2206.68253</v>
      </c>
      <c r="E24" s="79">
        <f>E53</f>
        <v>576.97162999999989</v>
      </c>
      <c r="F24" s="78">
        <f t="shared" ref="F24" si="5">D24-E24</f>
        <v>1629.7109</v>
      </c>
      <c r="G24" s="27" t="s">
        <v>16</v>
      </c>
      <c r="H24" s="597">
        <v>-1483.3869999999999</v>
      </c>
      <c r="I24" s="594">
        <v>4</v>
      </c>
      <c r="J24" s="598">
        <f t="shared" si="2"/>
        <v>146.32390000000009</v>
      </c>
      <c r="K24" s="75" t="s">
        <v>408</v>
      </c>
      <c r="L24" s="562">
        <f t="shared" si="1"/>
        <v>13</v>
      </c>
      <c r="N24" s="605"/>
    </row>
    <row r="25" spans="1:14" x14ac:dyDescent="0.25">
      <c r="A25" s="562">
        <f t="shared" si="0"/>
        <v>14</v>
      </c>
      <c r="B25" s="585">
        <v>931</v>
      </c>
      <c r="C25" s="593" t="s">
        <v>63</v>
      </c>
      <c r="D25" s="78">
        <v>8564.2415499999988</v>
      </c>
      <c r="E25" s="79">
        <v>0</v>
      </c>
      <c r="F25" s="78">
        <f>D25-E25</f>
        <v>8564.2415499999988</v>
      </c>
      <c r="G25" s="79"/>
      <c r="H25" s="79"/>
      <c r="I25" s="80"/>
      <c r="J25" s="80">
        <f t="shared" si="2"/>
        <v>8564.2415499999988</v>
      </c>
      <c r="K25" s="75" t="s">
        <v>409</v>
      </c>
      <c r="L25" s="562">
        <f t="shared" si="1"/>
        <v>14</v>
      </c>
      <c r="N25" s="596"/>
    </row>
    <row r="26" spans="1:14" x14ac:dyDescent="0.25">
      <c r="A26" s="562">
        <f t="shared" si="0"/>
        <v>15</v>
      </c>
      <c r="B26" s="585">
        <v>935</v>
      </c>
      <c r="C26" s="593" t="s">
        <v>410</v>
      </c>
      <c r="D26" s="502">
        <v>12341.892099999999</v>
      </c>
      <c r="E26" s="314">
        <f>E55</f>
        <v>1502.526687415</v>
      </c>
      <c r="F26" s="502">
        <f>D26-E26</f>
        <v>10839.365412584999</v>
      </c>
      <c r="G26" s="503"/>
      <c r="H26" s="314"/>
      <c r="I26" s="339"/>
      <c r="J26" s="339">
        <f>F26+H26</f>
        <v>10839.365412584999</v>
      </c>
      <c r="K26" s="75" t="s">
        <v>411</v>
      </c>
      <c r="L26" s="562">
        <f t="shared" si="1"/>
        <v>15</v>
      </c>
      <c r="M26" s="563" t="s">
        <v>11</v>
      </c>
      <c r="N26" s="596"/>
    </row>
    <row r="27" spans="1:14" x14ac:dyDescent="0.25">
      <c r="A27" s="562">
        <f t="shared" si="0"/>
        <v>16</v>
      </c>
      <c r="B27" s="585"/>
      <c r="D27" s="606"/>
      <c r="F27" s="606"/>
      <c r="I27" s="602"/>
      <c r="J27" s="602"/>
      <c r="K27" s="607"/>
      <c r="L27" s="562">
        <f t="shared" si="1"/>
        <v>16</v>
      </c>
    </row>
    <row r="28" spans="1:14" ht="16.5" thickBot="1" x14ac:dyDescent="0.3">
      <c r="A28" s="562">
        <f t="shared" si="0"/>
        <v>17</v>
      </c>
      <c r="B28" s="585"/>
      <c r="C28" s="572" t="s">
        <v>412</v>
      </c>
      <c r="D28" s="608">
        <f>SUM(D12:D26)</f>
        <v>498352.98056</v>
      </c>
      <c r="E28" s="85">
        <f>SUM(E12:E26)</f>
        <v>142435.51745866297</v>
      </c>
      <c r="F28" s="83">
        <f>SUM(F12:F26)</f>
        <v>355917.46310133697</v>
      </c>
      <c r="G28" s="84" t="s">
        <v>16</v>
      </c>
      <c r="H28" s="609">
        <f>SUM(H12:H26)</f>
        <v>-1040.0990000000002</v>
      </c>
      <c r="I28" s="85"/>
      <c r="J28" s="85">
        <f>SUM(J12:J27)</f>
        <v>354877.36410133692</v>
      </c>
      <c r="K28" s="90" t="str">
        <f>"Sum Lines "&amp;A12&amp;" thru "&amp;A26</f>
        <v>Sum Lines 1 thru 15</v>
      </c>
      <c r="L28" s="562">
        <f t="shared" si="1"/>
        <v>17</v>
      </c>
    </row>
    <row r="29" spans="1:14" ht="16.5" thickTop="1" x14ac:dyDescent="0.25">
      <c r="A29" s="562">
        <f t="shared" si="0"/>
        <v>18</v>
      </c>
      <c r="B29" s="585"/>
      <c r="C29" s="572"/>
      <c r="D29" s="610"/>
      <c r="E29" s="595"/>
      <c r="F29" s="82"/>
      <c r="G29" s="81"/>
      <c r="H29" s="81"/>
      <c r="I29" s="595"/>
      <c r="J29" s="595"/>
      <c r="K29" s="90"/>
      <c r="L29" s="562">
        <f t="shared" si="1"/>
        <v>18</v>
      </c>
    </row>
    <row r="30" spans="1:14" ht="18.75" x14ac:dyDescent="0.25">
      <c r="A30" s="562">
        <f t="shared" si="0"/>
        <v>19</v>
      </c>
      <c r="B30" s="585">
        <v>413</v>
      </c>
      <c r="C30" s="563" t="s">
        <v>413</v>
      </c>
      <c r="D30" s="502">
        <v>528.72711000000004</v>
      </c>
      <c r="E30" s="339">
        <v>0</v>
      </c>
      <c r="F30" s="502">
        <f>D30-E30</f>
        <v>528.72711000000004</v>
      </c>
      <c r="G30" s="503"/>
      <c r="H30" s="314"/>
      <c r="I30" s="339"/>
      <c r="J30" s="339">
        <f>F30+H30</f>
        <v>528.72711000000004</v>
      </c>
      <c r="K30" s="90"/>
      <c r="L30" s="562">
        <f t="shared" si="1"/>
        <v>19</v>
      </c>
    </row>
    <row r="31" spans="1:14" x14ac:dyDescent="0.25">
      <c r="A31" s="562">
        <f t="shared" si="0"/>
        <v>20</v>
      </c>
      <c r="B31" s="585"/>
      <c r="C31" s="572"/>
      <c r="D31" s="610"/>
      <c r="E31" s="595"/>
      <c r="F31" s="82"/>
      <c r="G31" s="81"/>
      <c r="H31" s="81"/>
      <c r="I31" s="595"/>
      <c r="J31" s="595"/>
      <c r="K31" s="90"/>
      <c r="L31" s="562">
        <f t="shared" si="1"/>
        <v>20</v>
      </c>
    </row>
    <row r="32" spans="1:14" ht="16.5" thickBot="1" x14ac:dyDescent="0.3">
      <c r="A32" s="562">
        <f t="shared" si="0"/>
        <v>21</v>
      </c>
      <c r="B32" s="585"/>
      <c r="C32" s="572" t="s">
        <v>414</v>
      </c>
      <c r="D32" s="608">
        <f>D28+D30</f>
        <v>498881.70766999997</v>
      </c>
      <c r="E32" s="595">
        <f>E28+E30</f>
        <v>142435.51745866297</v>
      </c>
      <c r="F32" s="82">
        <f>F28+F30</f>
        <v>356446.19021133694</v>
      </c>
      <c r="G32" s="84" t="s">
        <v>16</v>
      </c>
      <c r="H32" s="609">
        <f>H28+H30</f>
        <v>-1040.0990000000002</v>
      </c>
      <c r="I32" s="85"/>
      <c r="J32" s="85">
        <f>J28+J30</f>
        <v>355406.0912113369</v>
      </c>
      <c r="K32" s="90" t="str">
        <f>"Line "&amp;A28&amp;" + Line "&amp;A30</f>
        <v>Line 17 + Line 19</v>
      </c>
      <c r="L32" s="562">
        <f t="shared" si="1"/>
        <v>21</v>
      </c>
    </row>
    <row r="33" spans="1:14" ht="17.25" thickTop="1" thickBot="1" x14ac:dyDescent="0.3">
      <c r="A33" s="562">
        <f t="shared" si="0"/>
        <v>22</v>
      </c>
      <c r="B33" s="611"/>
      <c r="C33" s="565"/>
      <c r="D33" s="612"/>
      <c r="E33" s="613"/>
      <c r="F33" s="613"/>
      <c r="G33" s="581"/>
      <c r="H33" s="614"/>
      <c r="I33" s="582"/>
      <c r="J33" s="582"/>
      <c r="K33" s="615"/>
      <c r="L33" s="562">
        <f t="shared" si="1"/>
        <v>22</v>
      </c>
    </row>
    <row r="34" spans="1:14" x14ac:dyDescent="0.25">
      <c r="A34" s="562">
        <f t="shared" si="0"/>
        <v>23</v>
      </c>
      <c r="B34" s="616"/>
      <c r="D34" s="617"/>
      <c r="E34" s="618"/>
      <c r="F34" s="617"/>
      <c r="G34" s="617"/>
      <c r="H34" s="617"/>
      <c r="I34" s="617"/>
      <c r="J34" s="617"/>
      <c r="K34" s="607"/>
      <c r="L34" s="562">
        <f t="shared" si="1"/>
        <v>23</v>
      </c>
    </row>
    <row r="35" spans="1:14" x14ac:dyDescent="0.25">
      <c r="A35" s="562">
        <f t="shared" si="0"/>
        <v>24</v>
      </c>
      <c r="B35" s="619" t="s">
        <v>415</v>
      </c>
      <c r="C35" s="562"/>
      <c r="D35" s="562"/>
      <c r="E35" s="562"/>
      <c r="F35" s="562"/>
      <c r="G35" s="562"/>
      <c r="H35" s="562"/>
      <c r="I35" s="562"/>
      <c r="J35" s="562"/>
      <c r="K35" s="607"/>
      <c r="L35" s="562">
        <f t="shared" si="1"/>
        <v>24</v>
      </c>
    </row>
    <row r="36" spans="1:14" x14ac:dyDescent="0.25">
      <c r="A36" s="562">
        <f t="shared" si="0"/>
        <v>25</v>
      </c>
      <c r="B36" s="620">
        <v>920</v>
      </c>
      <c r="C36" s="21" t="s">
        <v>416</v>
      </c>
      <c r="D36" s="562"/>
      <c r="E36" s="621">
        <v>91.867089999999976</v>
      </c>
      <c r="F36" s="562"/>
      <c r="G36" s="562"/>
      <c r="H36" s="562"/>
      <c r="I36" s="562"/>
      <c r="J36" s="562"/>
      <c r="K36" s="607"/>
      <c r="L36" s="562">
        <f t="shared" si="1"/>
        <v>25</v>
      </c>
    </row>
    <row r="37" spans="1:14" x14ac:dyDescent="0.25">
      <c r="A37" s="562">
        <f t="shared" si="0"/>
        <v>26</v>
      </c>
      <c r="B37" s="620">
        <v>921</v>
      </c>
      <c r="C37" s="21" t="s">
        <v>416</v>
      </c>
      <c r="D37" s="622"/>
      <c r="E37" s="30">
        <v>-1.33857</v>
      </c>
      <c r="F37" s="562"/>
      <c r="G37" s="562"/>
      <c r="H37" s="562"/>
      <c r="I37" s="562"/>
      <c r="J37" s="562"/>
      <c r="K37" s="607"/>
      <c r="L37" s="562">
        <f t="shared" si="1"/>
        <v>26</v>
      </c>
    </row>
    <row r="38" spans="1:14" x14ac:dyDescent="0.25">
      <c r="A38" s="562">
        <f t="shared" si="0"/>
        <v>27</v>
      </c>
      <c r="B38" s="620">
        <v>923</v>
      </c>
      <c r="C38" s="21" t="s">
        <v>417</v>
      </c>
      <c r="D38" s="623">
        <v>74.15849</v>
      </c>
      <c r="E38" s="30"/>
      <c r="K38" s="607"/>
      <c r="L38" s="562">
        <f t="shared" si="1"/>
        <v>27</v>
      </c>
      <c r="N38" s="593"/>
    </row>
    <row r="39" spans="1:14" x14ac:dyDescent="0.25">
      <c r="A39" s="562">
        <f t="shared" si="0"/>
        <v>28</v>
      </c>
      <c r="B39" s="620"/>
      <c r="C39" s="21" t="s">
        <v>416</v>
      </c>
      <c r="D39" s="624">
        <v>78.949559999999991</v>
      </c>
      <c r="E39" s="30">
        <f>SUM(D38:D39)</f>
        <v>153.10804999999999</v>
      </c>
      <c r="K39" s="607"/>
      <c r="L39" s="562">
        <f t="shared" si="1"/>
        <v>28</v>
      </c>
      <c r="N39" s="593"/>
    </row>
    <row r="40" spans="1:14" x14ac:dyDescent="0.25">
      <c r="A40" s="562">
        <f t="shared" si="0"/>
        <v>29</v>
      </c>
      <c r="B40" s="620">
        <v>925</v>
      </c>
      <c r="C40" s="625" t="s">
        <v>416</v>
      </c>
      <c r="D40" s="30">
        <v>268.99521833499995</v>
      </c>
      <c r="K40" s="607"/>
      <c r="L40" s="562">
        <f t="shared" si="1"/>
        <v>29</v>
      </c>
    </row>
    <row r="41" spans="1:14" x14ac:dyDescent="0.25">
      <c r="A41" s="562">
        <f t="shared" si="0"/>
        <v>30</v>
      </c>
      <c r="B41" s="620"/>
      <c r="C41" s="625" t="s">
        <v>395</v>
      </c>
      <c r="D41" s="30">
        <v>0</v>
      </c>
      <c r="K41" s="607"/>
      <c r="L41" s="562">
        <f t="shared" si="1"/>
        <v>30</v>
      </c>
    </row>
    <row r="42" spans="1:14" x14ac:dyDescent="0.25">
      <c r="A42" s="562">
        <f t="shared" si="0"/>
        <v>31</v>
      </c>
      <c r="B42" s="620"/>
      <c r="C42" s="625" t="s">
        <v>418</v>
      </c>
      <c r="D42" s="340">
        <v>66.983239999999995</v>
      </c>
      <c r="E42" s="30">
        <f>SUM(D40:D42)</f>
        <v>335.97845833499991</v>
      </c>
      <c r="K42" s="607"/>
      <c r="L42" s="562">
        <f t="shared" si="1"/>
        <v>31</v>
      </c>
    </row>
    <row r="43" spans="1:14" x14ac:dyDescent="0.25">
      <c r="A43" s="562">
        <f t="shared" si="0"/>
        <v>32</v>
      </c>
      <c r="B43" s="620">
        <v>926</v>
      </c>
      <c r="C43" s="625" t="s">
        <v>416</v>
      </c>
      <c r="D43" s="30">
        <v>730.03415291299996</v>
      </c>
      <c r="E43" s="30"/>
      <c r="K43" s="607"/>
      <c r="L43" s="562">
        <f t="shared" si="1"/>
        <v>32</v>
      </c>
    </row>
    <row r="44" spans="1:14" x14ac:dyDescent="0.25">
      <c r="A44" s="562">
        <f t="shared" si="0"/>
        <v>33</v>
      </c>
      <c r="B44" s="620"/>
      <c r="C44" s="625" t="s">
        <v>418</v>
      </c>
      <c r="D44" s="340">
        <v>183.35011</v>
      </c>
      <c r="E44" s="30">
        <f>SUM(D43:D44)</f>
        <v>913.38426291299993</v>
      </c>
      <c r="K44" s="607"/>
      <c r="L44" s="562">
        <f t="shared" si="1"/>
        <v>33</v>
      </c>
    </row>
    <row r="45" spans="1:14" x14ac:dyDescent="0.25">
      <c r="A45" s="562">
        <f t="shared" si="0"/>
        <v>34</v>
      </c>
      <c r="B45" s="620">
        <v>927</v>
      </c>
      <c r="C45" s="625" t="s">
        <v>399</v>
      </c>
      <c r="D45" s="626"/>
      <c r="E45" s="30">
        <v>127615.79129000001</v>
      </c>
      <c r="F45" s="627"/>
      <c r="G45" s="627"/>
      <c r="H45" s="627"/>
      <c r="I45" s="627"/>
      <c r="J45" s="627"/>
      <c r="K45" s="628"/>
      <c r="L45" s="562">
        <f t="shared" si="1"/>
        <v>34</v>
      </c>
    </row>
    <row r="46" spans="1:14" x14ac:dyDescent="0.25">
      <c r="A46" s="562">
        <f t="shared" si="0"/>
        <v>35</v>
      </c>
      <c r="B46" s="620">
        <v>928</v>
      </c>
      <c r="C46" s="625" t="s">
        <v>416</v>
      </c>
      <c r="D46" s="30">
        <v>0</v>
      </c>
      <c r="E46" s="30"/>
      <c r="K46" s="607"/>
      <c r="L46" s="562">
        <f t="shared" si="1"/>
        <v>35</v>
      </c>
    </row>
    <row r="47" spans="1:14" x14ac:dyDescent="0.25">
      <c r="A47" s="562">
        <f t="shared" si="0"/>
        <v>36</v>
      </c>
      <c r="B47" s="620"/>
      <c r="C47" s="21" t="s">
        <v>419</v>
      </c>
      <c r="D47" s="30">
        <v>0</v>
      </c>
      <c r="E47" s="30"/>
      <c r="K47" s="607"/>
      <c r="L47" s="562">
        <f t="shared" si="1"/>
        <v>36</v>
      </c>
    </row>
    <row r="48" spans="1:14" x14ac:dyDescent="0.25">
      <c r="A48" s="562">
        <f t="shared" si="0"/>
        <v>37</v>
      </c>
      <c r="B48" s="620"/>
      <c r="C48" s="21" t="s">
        <v>420</v>
      </c>
      <c r="D48" s="30">
        <v>1212.49029</v>
      </c>
      <c r="E48" s="629"/>
      <c r="F48" s="627"/>
      <c r="G48" s="627"/>
      <c r="H48" s="627"/>
      <c r="I48" s="627"/>
      <c r="J48" s="627"/>
      <c r="K48" s="628"/>
      <c r="L48" s="562">
        <f t="shared" si="1"/>
        <v>37</v>
      </c>
    </row>
    <row r="49" spans="1:12" x14ac:dyDescent="0.25">
      <c r="A49" s="562">
        <f t="shared" si="0"/>
        <v>38</v>
      </c>
      <c r="B49" s="620"/>
      <c r="C49" s="21" t="s">
        <v>421</v>
      </c>
      <c r="D49" s="30">
        <v>9790.5481500000005</v>
      </c>
      <c r="E49" s="630"/>
      <c r="K49" s="607"/>
      <c r="L49" s="562">
        <f t="shared" si="1"/>
        <v>38</v>
      </c>
    </row>
    <row r="50" spans="1:12" x14ac:dyDescent="0.25">
      <c r="A50" s="562">
        <f t="shared" si="0"/>
        <v>39</v>
      </c>
      <c r="B50" s="631"/>
      <c r="C50" s="625" t="s">
        <v>422</v>
      </c>
      <c r="D50" s="632">
        <v>131.66149999999999</v>
      </c>
      <c r="E50" s="633">
        <f>SUM(D46:D50)</f>
        <v>11134.69994</v>
      </c>
      <c r="K50" s="607"/>
      <c r="L50" s="562">
        <f t="shared" si="1"/>
        <v>39</v>
      </c>
    </row>
    <row r="51" spans="1:12" x14ac:dyDescent="0.25">
      <c r="A51" s="562">
        <f t="shared" si="0"/>
        <v>40</v>
      </c>
      <c r="B51" s="634">
        <v>930.1</v>
      </c>
      <c r="C51" s="21" t="s">
        <v>405</v>
      </c>
      <c r="D51" s="626"/>
      <c r="E51" s="30">
        <v>112.52861999999999</v>
      </c>
      <c r="K51" s="607"/>
      <c r="L51" s="562">
        <f t="shared" si="1"/>
        <v>40</v>
      </c>
    </row>
    <row r="52" spans="1:12" x14ac:dyDescent="0.25">
      <c r="A52" s="562">
        <f t="shared" si="0"/>
        <v>41</v>
      </c>
      <c r="B52" s="634">
        <v>930.2</v>
      </c>
      <c r="C52" s="625" t="s">
        <v>423</v>
      </c>
      <c r="D52" s="635">
        <v>0</v>
      </c>
      <c r="E52" s="636"/>
      <c r="K52" s="607"/>
      <c r="L52" s="562">
        <f t="shared" si="1"/>
        <v>41</v>
      </c>
    </row>
    <row r="53" spans="1:12" x14ac:dyDescent="0.25">
      <c r="A53" s="562">
        <f t="shared" si="0"/>
        <v>42</v>
      </c>
      <c r="B53" s="634"/>
      <c r="C53" s="625" t="s">
        <v>424</v>
      </c>
      <c r="D53" s="637">
        <v>576.97162999999989</v>
      </c>
      <c r="E53" s="635">
        <f>SUM(D52:D53)</f>
        <v>576.97162999999989</v>
      </c>
      <c r="F53" s="57"/>
      <c r="G53" s="57"/>
      <c r="H53" s="57"/>
      <c r="I53" s="57"/>
      <c r="J53" s="57"/>
      <c r="K53" s="607"/>
      <c r="L53" s="562">
        <f t="shared" si="1"/>
        <v>42</v>
      </c>
    </row>
    <row r="54" spans="1:12" x14ac:dyDescent="0.25">
      <c r="A54" s="562">
        <f t="shared" si="0"/>
        <v>43</v>
      </c>
      <c r="B54" s="620">
        <v>935</v>
      </c>
      <c r="C54" s="638" t="s">
        <v>425</v>
      </c>
      <c r="D54" s="635">
        <v>39.414587415</v>
      </c>
      <c r="E54" s="30"/>
      <c r="F54" s="57"/>
      <c r="G54" s="57"/>
      <c r="H54" s="57"/>
      <c r="I54" s="57"/>
      <c r="J54" s="57"/>
      <c r="K54" s="607"/>
      <c r="L54" s="562">
        <f t="shared" si="1"/>
        <v>43</v>
      </c>
    </row>
    <row r="55" spans="1:12" x14ac:dyDescent="0.25">
      <c r="A55" s="562">
        <f t="shared" si="0"/>
        <v>44</v>
      </c>
      <c r="B55" s="620"/>
      <c r="C55" s="638" t="s">
        <v>416</v>
      </c>
      <c r="D55" s="637">
        <v>1463.1121000000001</v>
      </c>
      <c r="E55" s="340">
        <f>SUM(D54:D55)</f>
        <v>1502.526687415</v>
      </c>
      <c r="F55" s="57"/>
      <c r="G55" s="57"/>
      <c r="H55" s="57"/>
      <c r="I55" s="57"/>
      <c r="J55" s="57"/>
      <c r="K55" s="607"/>
      <c r="L55" s="562">
        <f t="shared" si="1"/>
        <v>44</v>
      </c>
    </row>
    <row r="56" spans="1:12" x14ac:dyDescent="0.25">
      <c r="A56" s="562">
        <f t="shared" si="0"/>
        <v>45</v>
      </c>
      <c r="B56" s="639"/>
      <c r="C56" s="593"/>
      <c r="D56" s="640"/>
      <c r="E56" s="30"/>
      <c r="F56" s="57"/>
      <c r="G56" s="57"/>
      <c r="H56" s="57"/>
      <c r="I56" s="57"/>
      <c r="J56" s="57"/>
      <c r="K56" s="607"/>
      <c r="L56" s="562">
        <f t="shared" si="1"/>
        <v>45</v>
      </c>
    </row>
    <row r="57" spans="1:12" ht="16.5" thickBot="1" x14ac:dyDescent="0.3">
      <c r="A57" s="562">
        <f t="shared" si="0"/>
        <v>46</v>
      </c>
      <c r="B57" s="616"/>
      <c r="C57" s="641" t="s">
        <v>64</v>
      </c>
      <c r="D57" s="642"/>
      <c r="E57" s="22">
        <f>SUM(E36:E55)</f>
        <v>142435.51745866297</v>
      </c>
      <c r="F57" s="388"/>
      <c r="G57" s="388"/>
      <c r="H57" s="388"/>
      <c r="I57" s="388"/>
      <c r="J57" s="388"/>
      <c r="K57" s="607"/>
      <c r="L57" s="562">
        <f t="shared" si="1"/>
        <v>46</v>
      </c>
    </row>
    <row r="58" spans="1:12" ht="16.5" thickTop="1" x14ac:dyDescent="0.25">
      <c r="A58" s="562">
        <f t="shared" si="0"/>
        <v>47</v>
      </c>
      <c r="B58" s="616"/>
      <c r="C58" s="641"/>
      <c r="E58" s="643"/>
      <c r="F58" s="388"/>
      <c r="G58" s="388"/>
      <c r="H58" s="388"/>
      <c r="I58" s="388"/>
      <c r="J58" s="388"/>
      <c r="K58" s="607"/>
      <c r="L58" s="562">
        <f t="shared" si="1"/>
        <v>47</v>
      </c>
    </row>
    <row r="59" spans="1:12" x14ac:dyDescent="0.25">
      <c r="A59" s="562">
        <f t="shared" si="0"/>
        <v>48</v>
      </c>
      <c r="B59" s="70" t="s">
        <v>16</v>
      </c>
      <c r="C59" s="25" t="s">
        <v>278</v>
      </c>
      <c r="E59" s="643"/>
      <c r="F59" s="388"/>
      <c r="G59" s="388"/>
      <c r="H59" s="388"/>
      <c r="I59" s="388"/>
      <c r="J59" s="388"/>
      <c r="K59" s="607"/>
      <c r="L59" s="562">
        <f t="shared" si="1"/>
        <v>48</v>
      </c>
    </row>
    <row r="60" spans="1:12" ht="18.75" x14ac:dyDescent="0.25">
      <c r="A60" s="562">
        <f t="shared" si="0"/>
        <v>49</v>
      </c>
      <c r="B60" s="342">
        <v>1</v>
      </c>
      <c r="C60" s="341" t="s">
        <v>560</v>
      </c>
      <c r="E60" s="643"/>
      <c r="F60" s="388"/>
      <c r="G60" s="388"/>
      <c r="H60" s="388"/>
      <c r="I60" s="388"/>
      <c r="J60" s="388"/>
      <c r="K60" s="607"/>
      <c r="L60" s="562">
        <f t="shared" si="1"/>
        <v>49</v>
      </c>
    </row>
    <row r="61" spans="1:12" ht="18.75" x14ac:dyDescent="0.25">
      <c r="A61" s="562">
        <f t="shared" si="0"/>
        <v>50</v>
      </c>
      <c r="B61" s="644"/>
      <c r="C61" s="20" t="s">
        <v>426</v>
      </c>
      <c r="E61" s="643"/>
      <c r="F61" s="388"/>
      <c r="G61" s="388"/>
      <c r="H61" s="388"/>
      <c r="I61" s="388"/>
      <c r="J61" s="388"/>
      <c r="K61" s="607"/>
      <c r="L61" s="562">
        <f t="shared" si="1"/>
        <v>50</v>
      </c>
    </row>
    <row r="62" spans="1:12" ht="18.75" x14ac:dyDescent="0.25">
      <c r="A62" s="562">
        <f t="shared" si="0"/>
        <v>51</v>
      </c>
      <c r="B62" s="645">
        <v>2</v>
      </c>
      <c r="C62" s="593" t="s">
        <v>577</v>
      </c>
      <c r="E62" s="643"/>
      <c r="F62" s="388"/>
      <c r="G62" s="388"/>
      <c r="H62" s="388"/>
      <c r="I62" s="388"/>
      <c r="J62" s="388"/>
      <c r="K62" s="607"/>
      <c r="L62" s="562">
        <f t="shared" si="1"/>
        <v>51</v>
      </c>
    </row>
    <row r="63" spans="1:12" ht="18.75" x14ac:dyDescent="0.25">
      <c r="A63" s="562">
        <f t="shared" si="0"/>
        <v>52</v>
      </c>
      <c r="B63" s="645">
        <v>3</v>
      </c>
      <c r="C63" s="40" t="s">
        <v>575</v>
      </c>
      <c r="E63" s="643"/>
      <c r="F63" s="388"/>
      <c r="G63" s="388"/>
      <c r="H63" s="388"/>
      <c r="I63" s="388"/>
      <c r="J63" s="388"/>
      <c r="K63" s="607"/>
      <c r="L63" s="562">
        <f t="shared" si="1"/>
        <v>52</v>
      </c>
    </row>
    <row r="64" spans="1:12" ht="18.75" x14ac:dyDescent="0.25">
      <c r="A64" s="562">
        <f t="shared" si="0"/>
        <v>53</v>
      </c>
      <c r="B64" s="645"/>
      <c r="C64" s="40" t="s">
        <v>578</v>
      </c>
      <c r="E64" s="643"/>
      <c r="F64" s="388"/>
      <c r="G64" s="388"/>
      <c r="H64" s="388"/>
      <c r="I64" s="388"/>
      <c r="J64" s="388"/>
      <c r="K64" s="607"/>
      <c r="L64" s="562">
        <f t="shared" si="1"/>
        <v>53</v>
      </c>
    </row>
    <row r="65" spans="1:12" ht="18.75" x14ac:dyDescent="0.25">
      <c r="A65" s="562">
        <f t="shared" si="0"/>
        <v>54</v>
      </c>
      <c r="B65" s="645">
        <v>4</v>
      </c>
      <c r="C65" s="40" t="s">
        <v>576</v>
      </c>
      <c r="E65" s="643"/>
      <c r="F65" s="388"/>
      <c r="G65" s="388"/>
      <c r="H65" s="388"/>
      <c r="I65" s="388"/>
      <c r="J65" s="388"/>
      <c r="K65" s="607"/>
      <c r="L65" s="562">
        <f t="shared" si="1"/>
        <v>54</v>
      </c>
    </row>
    <row r="66" spans="1:12" ht="18.75" x14ac:dyDescent="0.25">
      <c r="A66" s="562">
        <f t="shared" si="0"/>
        <v>55</v>
      </c>
      <c r="B66" s="645"/>
      <c r="C66" s="40" t="s">
        <v>579</v>
      </c>
      <c r="E66" s="643"/>
      <c r="F66" s="388"/>
      <c r="G66" s="388"/>
      <c r="H66" s="388"/>
      <c r="I66" s="388"/>
      <c r="J66" s="388"/>
      <c r="K66" s="607"/>
      <c r="L66" s="562">
        <f t="shared" si="1"/>
        <v>55</v>
      </c>
    </row>
    <row r="67" spans="1:12" ht="16.5" thickBot="1" x14ac:dyDescent="0.3">
      <c r="A67" s="562">
        <f t="shared" si="0"/>
        <v>56</v>
      </c>
      <c r="B67" s="646"/>
      <c r="C67" s="647"/>
      <c r="D67" s="565"/>
      <c r="E67" s="565"/>
      <c r="F67" s="565"/>
      <c r="G67" s="565"/>
      <c r="H67" s="565"/>
      <c r="I67" s="565"/>
      <c r="J67" s="565"/>
      <c r="K67" s="615"/>
      <c r="L67" s="562">
        <f t="shared" si="1"/>
        <v>56</v>
      </c>
    </row>
    <row r="68" spans="1:12" x14ac:dyDescent="0.25">
      <c r="C68" s="593"/>
    </row>
    <row r="69" spans="1:12" x14ac:dyDescent="0.25">
      <c r="A69" s="564"/>
      <c r="C69" s="593"/>
      <c r="D69" s="648"/>
      <c r="E69" s="648"/>
    </row>
    <row r="70" spans="1:12" ht="18.75" x14ac:dyDescent="0.25">
      <c r="A70" s="649"/>
      <c r="B70" s="343"/>
      <c r="C70" s="20"/>
      <c r="D70" s="168"/>
      <c r="E70" s="168"/>
      <c r="F70" s="168"/>
      <c r="G70" s="168"/>
      <c r="H70" s="168"/>
      <c r="I70" s="168"/>
      <c r="J70" s="168"/>
    </row>
    <row r="71" spans="1:12" ht="18.75" x14ac:dyDescent="0.25">
      <c r="A71" s="649"/>
      <c r="B71" s="343"/>
      <c r="C71" s="275"/>
      <c r="D71" s="168"/>
      <c r="E71" s="168"/>
      <c r="F71" s="168"/>
      <c r="G71" s="168"/>
      <c r="H71" s="168"/>
      <c r="I71" s="168"/>
      <c r="J71" s="168"/>
    </row>
    <row r="72" spans="1:12" ht="18.75" x14ac:dyDescent="0.25">
      <c r="A72" s="649"/>
      <c r="B72" s="39"/>
      <c r="C72" s="20"/>
      <c r="D72" s="20"/>
      <c r="E72" s="20"/>
      <c r="F72" s="20"/>
      <c r="G72" s="20"/>
      <c r="H72" s="20"/>
      <c r="I72" s="20"/>
      <c r="J72" s="20"/>
    </row>
    <row r="73" spans="1:12" ht="18.75" x14ac:dyDescent="0.25">
      <c r="A73" s="649"/>
      <c r="C73" s="593"/>
    </row>
    <row r="74" spans="1:12" ht="18.75" x14ac:dyDescent="0.25">
      <c r="A74" s="649"/>
      <c r="C74" s="593"/>
    </row>
    <row r="75" spans="1:12" ht="18.75" x14ac:dyDescent="0.25">
      <c r="A75" s="649"/>
      <c r="C75" s="593"/>
    </row>
    <row r="76" spans="1:12" x14ac:dyDescent="0.25">
      <c r="A76" s="564"/>
      <c r="C76" s="593"/>
    </row>
    <row r="77" spans="1:12" ht="18.75" x14ac:dyDescent="0.25">
      <c r="A77" s="649"/>
      <c r="C77" s="593"/>
    </row>
    <row r="78" spans="1:12" x14ac:dyDescent="0.25">
      <c r="A78" s="564"/>
      <c r="C78" s="593"/>
    </row>
    <row r="79" spans="1:12" ht="18.75" x14ac:dyDescent="0.25">
      <c r="A79" s="649"/>
      <c r="C79" s="593"/>
    </row>
    <row r="80" spans="1:12" x14ac:dyDescent="0.25">
      <c r="A80" s="564"/>
      <c r="C80" s="593"/>
    </row>
    <row r="81" spans="1:3" ht="18.75" x14ac:dyDescent="0.25">
      <c r="A81" s="649"/>
      <c r="C81" s="593"/>
    </row>
    <row r="82" spans="1:3" ht="18.75" x14ac:dyDescent="0.25">
      <c r="A82" s="649"/>
      <c r="B82" s="593"/>
    </row>
    <row r="83" spans="1:3" ht="18.75" x14ac:dyDescent="0.25">
      <c r="A83" s="649"/>
      <c r="B83" s="593"/>
    </row>
    <row r="84" spans="1:3" x14ac:dyDescent="0.25">
      <c r="B84" s="593"/>
    </row>
    <row r="85" spans="1:3" ht="18.75" x14ac:dyDescent="0.25">
      <c r="A85" s="649"/>
      <c r="B85" s="593"/>
    </row>
    <row r="86" spans="1:3" x14ac:dyDescent="0.25">
      <c r="A86" s="650"/>
      <c r="B86" s="651"/>
    </row>
    <row r="87" spans="1:3" x14ac:dyDescent="0.25">
      <c r="B87" s="593"/>
    </row>
  </sheetData>
  <mergeCells count="4"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49" orientation="portrait" r:id="rId1"/>
  <headerFooter scaleWithDoc="0" alignWithMargins="0">
    <oddHeader>&amp;C&amp;"Times New Roman,Bold"&amp;7AS FILED AH-3 WITH COST ADJ INCL. IN APPENDIX X CYCLE 10 (ER22-139)</oddHeader>
    <oddFooter>&amp;L&amp;F&amp;CPage 8.3&amp;R&amp;A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02B8-C425-4218-B168-BE5E64484201}">
  <sheetPr>
    <pageSetUpPr fitToPage="1"/>
  </sheetPr>
  <dimension ref="A1:J35"/>
  <sheetViews>
    <sheetView zoomScale="80" zoomScaleNormal="80" workbookViewId="0"/>
  </sheetViews>
  <sheetFormatPr defaultColWidth="8.85546875" defaultRowHeight="15.75" x14ac:dyDescent="0.25"/>
  <cols>
    <col min="1" max="1" width="5.28515625" style="164" bestFit="1" customWidth="1"/>
    <col min="2" max="2" width="71.140625" style="91" customWidth="1"/>
    <col min="3" max="3" width="24" style="92" customWidth="1"/>
    <col min="4" max="4" width="1.5703125" style="91" customWidth="1"/>
    <col min="5" max="5" width="16.85546875" style="91" customWidth="1"/>
    <col min="6" max="6" width="1.5703125" style="91" customWidth="1"/>
    <col min="7" max="7" width="16.85546875" style="91" customWidth="1"/>
    <col min="8" max="8" width="1.5703125" style="91" customWidth="1"/>
    <col min="9" max="9" width="41.42578125" style="91" customWidth="1"/>
    <col min="10" max="10" width="5.28515625" style="91" customWidth="1"/>
    <col min="11" max="16384" width="8.85546875" style="91"/>
  </cols>
  <sheetData>
    <row r="1" spans="1:10" x14ac:dyDescent="0.25">
      <c r="H1" s="164"/>
      <c r="I1" s="404"/>
      <c r="J1" s="164"/>
    </row>
    <row r="2" spans="1:10" x14ac:dyDescent="0.25">
      <c r="B2" s="779" t="s">
        <v>21</v>
      </c>
      <c r="C2" s="780"/>
      <c r="D2" s="780"/>
      <c r="E2" s="780"/>
      <c r="F2" s="780"/>
      <c r="G2" s="780"/>
      <c r="H2" s="780"/>
      <c r="I2" s="780"/>
      <c r="J2" s="163"/>
    </row>
    <row r="3" spans="1:10" x14ac:dyDescent="0.25">
      <c r="B3" s="779" t="s">
        <v>65</v>
      </c>
      <c r="C3" s="780"/>
      <c r="D3" s="780"/>
      <c r="E3" s="780"/>
      <c r="F3" s="780"/>
      <c r="G3" s="780"/>
      <c r="H3" s="780"/>
      <c r="I3" s="780"/>
      <c r="J3" s="163"/>
    </row>
    <row r="4" spans="1:10" x14ac:dyDescent="0.25">
      <c r="B4" s="779" t="s">
        <v>66</v>
      </c>
      <c r="C4" s="780"/>
      <c r="D4" s="780"/>
      <c r="E4" s="780"/>
      <c r="F4" s="780"/>
      <c r="G4" s="780"/>
      <c r="H4" s="780"/>
      <c r="I4" s="780"/>
      <c r="J4" s="163"/>
    </row>
    <row r="5" spans="1:10" x14ac:dyDescent="0.25">
      <c r="B5" s="781" t="s">
        <v>457</v>
      </c>
      <c r="C5" s="781"/>
      <c r="D5" s="781"/>
      <c r="E5" s="781"/>
      <c r="F5" s="781"/>
      <c r="G5" s="781"/>
      <c r="H5" s="781"/>
      <c r="I5" s="781"/>
      <c r="J5" s="163"/>
    </row>
    <row r="6" spans="1:10" x14ac:dyDescent="0.25">
      <c r="B6" s="782" t="s">
        <v>1</v>
      </c>
      <c r="C6" s="782"/>
      <c r="D6" s="782"/>
      <c r="E6" s="782"/>
      <c r="F6" s="782"/>
      <c r="G6" s="782"/>
      <c r="H6" s="782"/>
      <c r="I6" s="782"/>
      <c r="J6" s="93"/>
    </row>
    <row r="7" spans="1:10" x14ac:dyDescent="0.25">
      <c r="B7" s="164"/>
      <c r="D7" s="164"/>
      <c r="E7" s="164"/>
      <c r="F7" s="164"/>
      <c r="G7" s="164"/>
      <c r="H7" s="163"/>
      <c r="I7" s="163"/>
      <c r="J7" s="163"/>
    </row>
    <row r="8" spans="1:10" x14ac:dyDescent="0.25">
      <c r="A8" s="164" t="s">
        <v>2</v>
      </c>
      <c r="B8" s="163"/>
      <c r="C8" s="39" t="s">
        <v>24</v>
      </c>
      <c r="D8" s="164"/>
      <c r="E8" s="164" t="s">
        <v>67</v>
      </c>
      <c r="F8" s="164"/>
      <c r="G8" s="164" t="s">
        <v>68</v>
      </c>
      <c r="H8" s="163"/>
      <c r="I8" s="163"/>
      <c r="J8" s="164" t="s">
        <v>2</v>
      </c>
    </row>
    <row r="9" spans="1:10" x14ac:dyDescent="0.25">
      <c r="A9" s="164" t="s">
        <v>6</v>
      </c>
      <c r="B9" s="163"/>
      <c r="C9" s="328" t="s">
        <v>25</v>
      </c>
      <c r="D9" s="163"/>
      <c r="E9" s="344" t="s">
        <v>69</v>
      </c>
      <c r="F9" s="163"/>
      <c r="G9" s="344" t="s">
        <v>70</v>
      </c>
      <c r="H9" s="163"/>
      <c r="I9" s="345" t="s">
        <v>5</v>
      </c>
      <c r="J9" s="164" t="s">
        <v>6</v>
      </c>
    </row>
    <row r="10" spans="1:10" x14ac:dyDescent="0.25">
      <c r="B10" s="164"/>
      <c r="D10" s="164"/>
      <c r="E10" s="164"/>
      <c r="F10" s="164"/>
      <c r="G10" s="164"/>
      <c r="H10" s="164"/>
      <c r="I10" s="164"/>
      <c r="J10" s="164"/>
    </row>
    <row r="11" spans="1:10" ht="18.75" x14ac:dyDescent="0.25">
      <c r="A11" s="164">
        <v>1</v>
      </c>
      <c r="B11" s="91" t="s">
        <v>71</v>
      </c>
      <c r="C11" s="164" t="s">
        <v>72</v>
      </c>
      <c r="E11" s="346"/>
      <c r="F11" s="94"/>
      <c r="G11" s="298">
        <v>128028.38738461537</v>
      </c>
      <c r="H11" s="94"/>
      <c r="I11" s="65" t="s">
        <v>516</v>
      </c>
      <c r="J11" s="164">
        <f>A11</f>
        <v>1</v>
      </c>
    </row>
    <row r="12" spans="1:10" x14ac:dyDescent="0.25">
      <c r="A12" s="164">
        <f>+A11+1</f>
        <v>2</v>
      </c>
      <c r="C12" s="164"/>
      <c r="E12" s="95"/>
      <c r="F12" s="96"/>
      <c r="G12" s="96"/>
      <c r="H12" s="96"/>
      <c r="I12" s="65"/>
      <c r="J12" s="164">
        <f>+J11+1</f>
        <v>2</v>
      </c>
    </row>
    <row r="13" spans="1:10" x14ac:dyDescent="0.25">
      <c r="A13" s="164">
        <f t="shared" ref="A13:A29" si="0">+A12+1</f>
        <v>3</v>
      </c>
      <c r="B13" s="91" t="s">
        <v>73</v>
      </c>
      <c r="C13" s="164"/>
      <c r="E13" s="97"/>
      <c r="F13" s="98"/>
      <c r="G13" s="347">
        <v>0.3978803636816387</v>
      </c>
      <c r="H13" s="94"/>
      <c r="I13" s="65" t="s">
        <v>517</v>
      </c>
      <c r="J13" s="164">
        <f t="shared" ref="J13:J29" si="1">+J12+1</f>
        <v>3</v>
      </c>
    </row>
    <row r="14" spans="1:10" x14ac:dyDescent="0.25">
      <c r="A14" s="164">
        <f t="shared" si="0"/>
        <v>4</v>
      </c>
      <c r="C14" s="164"/>
      <c r="E14" s="95"/>
      <c r="F14" s="96"/>
      <c r="G14" s="95"/>
      <c r="H14" s="96"/>
      <c r="I14" s="65"/>
      <c r="J14" s="164">
        <f t="shared" si="1"/>
        <v>4</v>
      </c>
    </row>
    <row r="15" spans="1:10" ht="16.5" thickBot="1" x14ac:dyDescent="0.3">
      <c r="A15" s="164">
        <f t="shared" si="0"/>
        <v>5</v>
      </c>
      <c r="B15" s="91" t="s">
        <v>74</v>
      </c>
      <c r="C15" s="164"/>
      <c r="E15" s="348"/>
      <c r="F15" s="96"/>
      <c r="G15" s="349">
        <f>G11*G13</f>
        <v>50939.981334164491</v>
      </c>
      <c r="H15" s="94"/>
      <c r="I15" s="65" t="s">
        <v>518</v>
      </c>
      <c r="J15" s="164">
        <f t="shared" si="1"/>
        <v>5</v>
      </c>
    </row>
    <row r="16" spans="1:10" ht="16.5" thickTop="1" x14ac:dyDescent="0.25">
      <c r="A16" s="164">
        <f t="shared" si="0"/>
        <v>6</v>
      </c>
      <c r="C16" s="164"/>
      <c r="E16" s="350"/>
      <c r="F16" s="164"/>
      <c r="G16" s="164"/>
      <c r="H16" s="164"/>
      <c r="I16" s="65"/>
      <c r="J16" s="164">
        <f t="shared" si="1"/>
        <v>6</v>
      </c>
    </row>
    <row r="17" spans="1:10" ht="18.75" x14ac:dyDescent="0.25">
      <c r="A17" s="164">
        <f t="shared" si="0"/>
        <v>7</v>
      </c>
      <c r="B17" s="91" t="s">
        <v>75</v>
      </c>
      <c r="C17" s="164" t="s">
        <v>76</v>
      </c>
      <c r="D17" s="351"/>
      <c r="E17" s="346"/>
      <c r="F17" s="96"/>
      <c r="G17" s="352">
        <v>64127.97638461538</v>
      </c>
      <c r="H17" s="94"/>
      <c r="I17" s="65" t="s">
        <v>519</v>
      </c>
      <c r="J17" s="164">
        <f t="shared" si="1"/>
        <v>7</v>
      </c>
    </row>
    <row r="18" spans="1:10" x14ac:dyDescent="0.25">
      <c r="A18" s="164">
        <f t="shared" si="0"/>
        <v>8</v>
      </c>
      <c r="C18" s="164"/>
      <c r="E18" s="353"/>
      <c r="F18" s="96"/>
      <c r="G18" s="96"/>
      <c r="H18" s="96"/>
      <c r="I18" s="65"/>
      <c r="J18" s="164">
        <f t="shared" si="1"/>
        <v>8</v>
      </c>
    </row>
    <row r="19" spans="1:10" ht="16.5" thickBot="1" x14ac:dyDescent="0.3">
      <c r="A19" s="164">
        <f t="shared" si="0"/>
        <v>9</v>
      </c>
      <c r="B19" s="91" t="s">
        <v>77</v>
      </c>
      <c r="E19" s="346"/>
      <c r="F19" s="96"/>
      <c r="G19" s="349">
        <f>G13*G17</f>
        <v>25515.262566078305</v>
      </c>
      <c r="H19" s="94"/>
      <c r="I19" s="65" t="s">
        <v>520</v>
      </c>
      <c r="J19" s="164">
        <f t="shared" si="1"/>
        <v>9</v>
      </c>
    </row>
    <row r="20" spans="1:10" ht="16.5" thickTop="1" x14ac:dyDescent="0.25">
      <c r="A20" s="164">
        <f t="shared" si="0"/>
        <v>10</v>
      </c>
      <c r="E20" s="354"/>
      <c r="F20" s="96"/>
      <c r="G20" s="96"/>
      <c r="H20" s="96"/>
      <c r="I20" s="65"/>
      <c r="J20" s="164">
        <f t="shared" si="1"/>
        <v>10</v>
      </c>
    </row>
    <row r="21" spans="1:10" x14ac:dyDescent="0.25">
      <c r="A21" s="164">
        <f t="shared" si="0"/>
        <v>11</v>
      </c>
      <c r="B21" s="99" t="s">
        <v>78</v>
      </c>
      <c r="E21" s="354"/>
      <c r="F21" s="96"/>
      <c r="G21" s="96"/>
      <c r="H21" s="96"/>
      <c r="I21" s="65"/>
      <c r="J21" s="164">
        <f t="shared" si="1"/>
        <v>11</v>
      </c>
    </row>
    <row r="22" spans="1:10" x14ac:dyDescent="0.25">
      <c r="A22" s="164">
        <f t="shared" si="0"/>
        <v>12</v>
      </c>
      <c r="B22" s="91" t="s">
        <v>79</v>
      </c>
      <c r="E22" s="735">
        <f>'Pg8 Rev Stmt AH'!E28</f>
        <v>42749.708679999996</v>
      </c>
      <c r="F22" s="27"/>
      <c r="G22" s="299"/>
      <c r="H22" s="96"/>
      <c r="I22" s="65" t="s">
        <v>621</v>
      </c>
      <c r="J22" s="164">
        <f t="shared" si="1"/>
        <v>12</v>
      </c>
    </row>
    <row r="23" spans="1:10" x14ac:dyDescent="0.25">
      <c r="A23" s="164">
        <f t="shared" si="0"/>
        <v>13</v>
      </c>
      <c r="B23" s="91" t="s">
        <v>80</v>
      </c>
      <c r="E23" s="356">
        <f>'Pg8 Rev Stmt AH'!E52</f>
        <v>39846.157540206259</v>
      </c>
      <c r="F23" s="27" t="s">
        <v>16</v>
      </c>
      <c r="G23" s="357"/>
      <c r="H23" s="96"/>
      <c r="I23" s="65" t="s">
        <v>622</v>
      </c>
      <c r="J23" s="164">
        <f t="shared" si="1"/>
        <v>13</v>
      </c>
    </row>
    <row r="24" spans="1:10" x14ac:dyDescent="0.25">
      <c r="A24" s="164">
        <f t="shared" si="0"/>
        <v>14</v>
      </c>
      <c r="B24" s="91" t="s">
        <v>81</v>
      </c>
      <c r="E24" s="403">
        <f>-'Pg8 Rev Stmt AH'!E35</f>
        <v>0</v>
      </c>
      <c r="F24" s="96"/>
      <c r="G24" s="357"/>
      <c r="H24" s="96"/>
      <c r="I24" s="65" t="s">
        <v>521</v>
      </c>
      <c r="J24" s="164">
        <f t="shared" si="1"/>
        <v>14</v>
      </c>
    </row>
    <row r="25" spans="1:10" x14ac:dyDescent="0.25">
      <c r="A25" s="164">
        <f t="shared" si="0"/>
        <v>15</v>
      </c>
      <c r="B25" s="91" t="s">
        <v>82</v>
      </c>
      <c r="E25" s="358">
        <f>SUM(E22:E24)</f>
        <v>82595.866220206255</v>
      </c>
      <c r="F25" s="27" t="s">
        <v>16</v>
      </c>
      <c r="G25" s="351"/>
      <c r="H25" s="65"/>
      <c r="I25" s="65" t="s">
        <v>522</v>
      </c>
      <c r="J25" s="164">
        <f t="shared" si="1"/>
        <v>15</v>
      </c>
    </row>
    <row r="26" spans="1:10" x14ac:dyDescent="0.25">
      <c r="A26" s="164">
        <f t="shared" si="0"/>
        <v>16</v>
      </c>
      <c r="F26" s="164"/>
      <c r="H26" s="164"/>
      <c r="I26" s="65"/>
      <c r="J26" s="164">
        <f t="shared" si="1"/>
        <v>16</v>
      </c>
    </row>
    <row r="27" spans="1:10" x14ac:dyDescent="0.25">
      <c r="A27" s="164">
        <f t="shared" si="0"/>
        <v>17</v>
      </c>
      <c r="B27" s="91" t="s">
        <v>83</v>
      </c>
      <c r="E27" s="359">
        <f>1/8</f>
        <v>0.125</v>
      </c>
      <c r="F27" s="164"/>
      <c r="G27" s="360"/>
      <c r="H27" s="164"/>
      <c r="I27" s="65" t="s">
        <v>84</v>
      </c>
      <c r="J27" s="164">
        <f t="shared" si="1"/>
        <v>17</v>
      </c>
    </row>
    <row r="28" spans="1:10" x14ac:dyDescent="0.25">
      <c r="A28" s="164">
        <f t="shared" si="0"/>
        <v>18</v>
      </c>
      <c r="E28" s="95" t="s">
        <v>11</v>
      </c>
      <c r="F28" s="96"/>
      <c r="G28" s="95"/>
      <c r="H28" s="96"/>
      <c r="I28" s="65"/>
      <c r="J28" s="164">
        <f t="shared" si="1"/>
        <v>18</v>
      </c>
    </row>
    <row r="29" spans="1:10" ht="16.5" thickBot="1" x14ac:dyDescent="0.3">
      <c r="A29" s="164">
        <f t="shared" si="0"/>
        <v>19</v>
      </c>
      <c r="B29" s="91" t="s">
        <v>85</v>
      </c>
      <c r="E29" s="361">
        <f>E25*E27</f>
        <v>10324.483277525782</v>
      </c>
      <c r="F29" s="27" t="s">
        <v>16</v>
      </c>
      <c r="G29" s="348"/>
      <c r="H29" s="96"/>
      <c r="I29" s="164" t="s">
        <v>523</v>
      </c>
      <c r="J29" s="164">
        <f t="shared" si="1"/>
        <v>19</v>
      </c>
    </row>
    <row r="30" spans="1:10" ht="16.5" thickTop="1" x14ac:dyDescent="0.25">
      <c r="B30" s="362"/>
    </row>
    <row r="31" spans="1:10" x14ac:dyDescent="0.25">
      <c r="A31" s="27" t="s">
        <v>16</v>
      </c>
      <c r="B31" s="25" t="s">
        <v>632</v>
      </c>
    </row>
    <row r="32" spans="1:10" x14ac:dyDescent="0.25">
      <c r="A32" s="27"/>
      <c r="B32" s="25" t="s">
        <v>633</v>
      </c>
    </row>
    <row r="33" spans="1:2" ht="18.75" x14ac:dyDescent="0.25">
      <c r="A33" s="102">
        <v>1</v>
      </c>
      <c r="B33" s="91" t="s">
        <v>86</v>
      </c>
    </row>
    <row r="34" spans="1:2" ht="18.75" x14ac:dyDescent="0.25">
      <c r="A34" s="102"/>
    </row>
    <row r="35" spans="1:2" x14ac:dyDescent="0.25">
      <c r="A35" s="163"/>
      <c r="B35" s="93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9&amp;R&amp;A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J35"/>
  <sheetViews>
    <sheetView zoomScale="80" zoomScaleNormal="80" workbookViewId="0"/>
  </sheetViews>
  <sheetFormatPr defaultColWidth="8.85546875" defaultRowHeight="15.75" x14ac:dyDescent="0.25"/>
  <cols>
    <col min="1" max="1" width="5.28515625" style="164" bestFit="1" customWidth="1"/>
    <col min="2" max="2" width="68.85546875" style="91" customWidth="1"/>
    <col min="3" max="3" width="24" style="92" customWidth="1"/>
    <col min="4" max="4" width="1.5703125" style="91" customWidth="1"/>
    <col min="5" max="5" width="16.85546875" style="91" customWidth="1"/>
    <col min="6" max="6" width="1.5703125" style="91" customWidth="1"/>
    <col min="7" max="7" width="16.85546875" style="91" customWidth="1"/>
    <col min="8" max="8" width="1.5703125" style="91" customWidth="1"/>
    <col min="9" max="9" width="36.140625" style="91" customWidth="1"/>
    <col min="10" max="10" width="5.28515625" style="91" customWidth="1"/>
    <col min="11" max="16384" width="8.85546875" style="91"/>
  </cols>
  <sheetData>
    <row r="1" spans="1:10" x14ac:dyDescent="0.25">
      <c r="A1" s="702" t="s">
        <v>609</v>
      </c>
    </row>
    <row r="2" spans="1:10" x14ac:dyDescent="0.25">
      <c r="H2" s="164"/>
      <c r="I2" s="404"/>
      <c r="J2" s="164"/>
    </row>
    <row r="3" spans="1:10" x14ac:dyDescent="0.25">
      <c r="B3" s="779" t="s">
        <v>21</v>
      </c>
      <c r="C3" s="780"/>
      <c r="D3" s="780"/>
      <c r="E3" s="780"/>
      <c r="F3" s="780"/>
      <c r="G3" s="780"/>
      <c r="H3" s="780"/>
      <c r="I3" s="780"/>
      <c r="J3" s="163"/>
    </row>
    <row r="4" spans="1:10" x14ac:dyDescent="0.25">
      <c r="B4" s="779" t="s">
        <v>65</v>
      </c>
      <c r="C4" s="780"/>
      <c r="D4" s="780"/>
      <c r="E4" s="780"/>
      <c r="F4" s="780"/>
      <c r="G4" s="780"/>
      <c r="H4" s="780"/>
      <c r="I4" s="780"/>
      <c r="J4" s="163"/>
    </row>
    <row r="5" spans="1:10" x14ac:dyDescent="0.25">
      <c r="B5" s="779" t="s">
        <v>66</v>
      </c>
      <c r="C5" s="780"/>
      <c r="D5" s="780"/>
      <c r="E5" s="780"/>
      <c r="F5" s="780"/>
      <c r="G5" s="780"/>
      <c r="H5" s="780"/>
      <c r="I5" s="780"/>
      <c r="J5" s="163"/>
    </row>
    <row r="6" spans="1:10" x14ac:dyDescent="0.25">
      <c r="B6" s="781" t="s">
        <v>457</v>
      </c>
      <c r="C6" s="781"/>
      <c r="D6" s="781"/>
      <c r="E6" s="781"/>
      <c r="F6" s="781"/>
      <c r="G6" s="781"/>
      <c r="H6" s="781"/>
      <c r="I6" s="781"/>
      <c r="J6" s="163"/>
    </row>
    <row r="7" spans="1:10" x14ac:dyDescent="0.25">
      <c r="B7" s="782" t="s">
        <v>1</v>
      </c>
      <c r="C7" s="782"/>
      <c r="D7" s="782"/>
      <c r="E7" s="782"/>
      <c r="F7" s="782"/>
      <c r="G7" s="782"/>
      <c r="H7" s="782"/>
      <c r="I7" s="782"/>
      <c r="J7" s="93"/>
    </row>
    <row r="8" spans="1:10" x14ac:dyDescent="0.25">
      <c r="B8" s="164"/>
      <c r="D8" s="164"/>
      <c r="E8" s="164"/>
      <c r="F8" s="164"/>
      <c r="G8" s="164"/>
      <c r="H8" s="163"/>
      <c r="I8" s="163"/>
      <c r="J8" s="163"/>
    </row>
    <row r="9" spans="1:10" x14ac:dyDescent="0.25">
      <c r="A9" s="164" t="s">
        <v>2</v>
      </c>
      <c r="B9" s="163"/>
      <c r="C9" s="39" t="s">
        <v>24</v>
      </c>
      <c r="D9" s="164"/>
      <c r="E9" s="164" t="s">
        <v>67</v>
      </c>
      <c r="F9" s="164"/>
      <c r="G9" s="164" t="s">
        <v>68</v>
      </c>
      <c r="H9" s="163"/>
      <c r="I9" s="163"/>
      <c r="J9" s="164" t="s">
        <v>2</v>
      </c>
    </row>
    <row r="10" spans="1:10" x14ac:dyDescent="0.25">
      <c r="A10" s="164" t="s">
        <v>6</v>
      </c>
      <c r="B10" s="163"/>
      <c r="C10" s="328" t="s">
        <v>25</v>
      </c>
      <c r="D10" s="163"/>
      <c r="E10" s="344" t="s">
        <v>69</v>
      </c>
      <c r="F10" s="163"/>
      <c r="G10" s="344" t="s">
        <v>70</v>
      </c>
      <c r="H10" s="163"/>
      <c r="I10" s="345" t="s">
        <v>5</v>
      </c>
      <c r="J10" s="164" t="s">
        <v>6</v>
      </c>
    </row>
    <row r="11" spans="1:10" x14ac:dyDescent="0.25">
      <c r="B11" s="164"/>
      <c r="D11" s="164"/>
      <c r="E11" s="164"/>
      <c r="F11" s="164"/>
      <c r="G11" s="164"/>
      <c r="H11" s="164"/>
      <c r="I11" s="164"/>
      <c r="J11" s="164"/>
    </row>
    <row r="12" spans="1:10" ht="18.75" x14ac:dyDescent="0.25">
      <c r="A12" s="164">
        <v>1</v>
      </c>
      <c r="B12" s="91" t="s">
        <v>71</v>
      </c>
      <c r="C12" s="164" t="s">
        <v>72</v>
      </c>
      <c r="E12" s="346"/>
      <c r="F12" s="94"/>
      <c r="G12" s="298">
        <v>128028.38738461537</v>
      </c>
      <c r="H12" s="94"/>
      <c r="I12" s="65" t="s">
        <v>516</v>
      </c>
      <c r="J12" s="164">
        <f>A12</f>
        <v>1</v>
      </c>
    </row>
    <row r="13" spans="1:10" x14ac:dyDescent="0.25">
      <c r="A13" s="164">
        <f>+A12+1</f>
        <v>2</v>
      </c>
      <c r="C13" s="164"/>
      <c r="E13" s="95"/>
      <c r="F13" s="96"/>
      <c r="G13" s="96"/>
      <c r="H13" s="96"/>
      <c r="I13" s="65"/>
      <c r="J13" s="164">
        <f>+J12+1</f>
        <v>2</v>
      </c>
    </row>
    <row r="14" spans="1:10" x14ac:dyDescent="0.25">
      <c r="A14" s="164">
        <f t="shared" ref="A14:A30" si="0">+A13+1</f>
        <v>3</v>
      </c>
      <c r="B14" s="91" t="s">
        <v>73</v>
      </c>
      <c r="C14" s="164"/>
      <c r="E14" s="97"/>
      <c r="F14" s="98"/>
      <c r="G14" s="347">
        <v>0.3978803636816387</v>
      </c>
      <c r="H14" s="94"/>
      <c r="I14" s="65" t="s">
        <v>517</v>
      </c>
      <c r="J14" s="164">
        <f t="shared" ref="J14:J30" si="1">+J13+1</f>
        <v>3</v>
      </c>
    </row>
    <row r="15" spans="1:10" x14ac:dyDescent="0.25">
      <c r="A15" s="164">
        <f t="shared" si="0"/>
        <v>4</v>
      </c>
      <c r="C15" s="164"/>
      <c r="E15" s="95"/>
      <c r="F15" s="96"/>
      <c r="G15" s="95"/>
      <c r="H15" s="96"/>
      <c r="I15" s="65"/>
      <c r="J15" s="164">
        <f t="shared" si="1"/>
        <v>4</v>
      </c>
    </row>
    <row r="16" spans="1:10" ht="16.5" thickBot="1" x14ac:dyDescent="0.3">
      <c r="A16" s="164">
        <f t="shared" si="0"/>
        <v>5</v>
      </c>
      <c r="B16" s="91" t="s">
        <v>74</v>
      </c>
      <c r="C16" s="164"/>
      <c r="E16" s="348"/>
      <c r="F16" s="96"/>
      <c r="G16" s="349">
        <f>G12*G14</f>
        <v>50939.981334164491</v>
      </c>
      <c r="H16" s="94"/>
      <c r="I16" s="65" t="s">
        <v>518</v>
      </c>
      <c r="J16" s="164">
        <f t="shared" si="1"/>
        <v>5</v>
      </c>
    </row>
    <row r="17" spans="1:10" ht="16.5" thickTop="1" x14ac:dyDescent="0.25">
      <c r="A17" s="164">
        <f t="shared" si="0"/>
        <v>6</v>
      </c>
      <c r="C17" s="164"/>
      <c r="E17" s="350"/>
      <c r="F17" s="164"/>
      <c r="G17" s="164"/>
      <c r="H17" s="164"/>
      <c r="I17" s="65"/>
      <c r="J17" s="164">
        <f t="shared" si="1"/>
        <v>6</v>
      </c>
    </row>
    <row r="18" spans="1:10" ht="18.75" x14ac:dyDescent="0.25">
      <c r="A18" s="164">
        <f t="shared" si="0"/>
        <v>7</v>
      </c>
      <c r="B18" s="91" t="s">
        <v>75</v>
      </c>
      <c r="C18" s="164" t="s">
        <v>76</v>
      </c>
      <c r="D18" s="351"/>
      <c r="E18" s="346"/>
      <c r="F18" s="96"/>
      <c r="G18" s="352">
        <v>64127.97638461538</v>
      </c>
      <c r="H18" s="94"/>
      <c r="I18" s="65" t="s">
        <v>519</v>
      </c>
      <c r="J18" s="164">
        <f t="shared" si="1"/>
        <v>7</v>
      </c>
    </row>
    <row r="19" spans="1:10" x14ac:dyDescent="0.25">
      <c r="A19" s="164">
        <f t="shared" si="0"/>
        <v>8</v>
      </c>
      <c r="C19" s="164"/>
      <c r="E19" s="353"/>
      <c r="F19" s="96"/>
      <c r="G19" s="96"/>
      <c r="H19" s="96"/>
      <c r="I19" s="65"/>
      <c r="J19" s="164">
        <f t="shared" si="1"/>
        <v>8</v>
      </c>
    </row>
    <row r="20" spans="1:10" ht="16.5" thickBot="1" x14ac:dyDescent="0.3">
      <c r="A20" s="164">
        <f t="shared" si="0"/>
        <v>9</v>
      </c>
      <c r="B20" s="91" t="s">
        <v>77</v>
      </c>
      <c r="E20" s="346"/>
      <c r="F20" s="96"/>
      <c r="G20" s="349">
        <f>G14*G18</f>
        <v>25515.262566078305</v>
      </c>
      <c r="H20" s="94"/>
      <c r="I20" s="65" t="s">
        <v>520</v>
      </c>
      <c r="J20" s="164">
        <f t="shared" si="1"/>
        <v>9</v>
      </c>
    </row>
    <row r="21" spans="1:10" ht="16.5" thickTop="1" x14ac:dyDescent="0.25">
      <c r="A21" s="164">
        <f t="shared" si="0"/>
        <v>10</v>
      </c>
      <c r="E21" s="354"/>
      <c r="F21" s="96"/>
      <c r="G21" s="96"/>
      <c r="H21" s="96"/>
      <c r="I21" s="65"/>
      <c r="J21" s="164">
        <f t="shared" si="1"/>
        <v>10</v>
      </c>
    </row>
    <row r="22" spans="1:10" x14ac:dyDescent="0.25">
      <c r="A22" s="164">
        <f t="shared" si="0"/>
        <v>11</v>
      </c>
      <c r="B22" s="99" t="s">
        <v>78</v>
      </c>
      <c r="E22" s="354"/>
      <c r="F22" s="96"/>
      <c r="G22" s="96"/>
      <c r="H22" s="96"/>
      <c r="I22" s="65"/>
      <c r="J22" s="164">
        <f t="shared" si="1"/>
        <v>11</v>
      </c>
    </row>
    <row r="23" spans="1:10" x14ac:dyDescent="0.25">
      <c r="A23" s="164">
        <f t="shared" si="0"/>
        <v>12</v>
      </c>
      <c r="B23" s="91" t="s">
        <v>79</v>
      </c>
      <c r="E23" s="355">
        <f>'Pg8.1 As Filed Stmt AH-Cost Adj'!E29</f>
        <v>42749.708679999996</v>
      </c>
      <c r="F23" s="27" t="s">
        <v>16</v>
      </c>
      <c r="G23" s="299"/>
      <c r="H23" s="96"/>
      <c r="I23" s="65" t="s">
        <v>459</v>
      </c>
      <c r="J23" s="164">
        <f t="shared" si="1"/>
        <v>12</v>
      </c>
    </row>
    <row r="24" spans="1:10" x14ac:dyDescent="0.25">
      <c r="A24" s="164">
        <f t="shared" si="0"/>
        <v>13</v>
      </c>
      <c r="B24" s="91" t="s">
        <v>80</v>
      </c>
      <c r="E24" s="356">
        <f>'Pg8.1 As Filed Stmt AH-Cost Adj'!E52</f>
        <v>39645.708637133648</v>
      </c>
      <c r="F24" s="27" t="s">
        <v>16</v>
      </c>
      <c r="G24" s="357"/>
      <c r="H24" s="96"/>
      <c r="I24" s="65" t="s">
        <v>461</v>
      </c>
      <c r="J24" s="164">
        <f t="shared" si="1"/>
        <v>13</v>
      </c>
    </row>
    <row r="25" spans="1:10" x14ac:dyDescent="0.25">
      <c r="A25" s="164">
        <f t="shared" si="0"/>
        <v>14</v>
      </c>
      <c r="B25" s="91" t="s">
        <v>81</v>
      </c>
      <c r="E25" s="403">
        <f>-'Pg8 Rev Stmt AH'!E35</f>
        <v>0</v>
      </c>
      <c r="F25" s="96"/>
      <c r="G25" s="357"/>
      <c r="H25" s="96"/>
      <c r="I25" s="65" t="s">
        <v>521</v>
      </c>
      <c r="J25" s="164">
        <f t="shared" si="1"/>
        <v>14</v>
      </c>
    </row>
    <row r="26" spans="1:10" x14ac:dyDescent="0.25">
      <c r="A26" s="164">
        <f t="shared" si="0"/>
        <v>15</v>
      </c>
      <c r="B26" s="91" t="s">
        <v>82</v>
      </c>
      <c r="E26" s="358">
        <f>SUM(E23:E25)</f>
        <v>82395.417317133644</v>
      </c>
      <c r="F26" s="27" t="s">
        <v>16</v>
      </c>
      <c r="G26" s="351"/>
      <c r="H26" s="65"/>
      <c r="I26" s="65" t="s">
        <v>522</v>
      </c>
      <c r="J26" s="164">
        <f t="shared" si="1"/>
        <v>15</v>
      </c>
    </row>
    <row r="27" spans="1:10" x14ac:dyDescent="0.25">
      <c r="A27" s="164">
        <f t="shared" si="0"/>
        <v>16</v>
      </c>
      <c r="F27" s="164"/>
      <c r="H27" s="164"/>
      <c r="I27" s="65"/>
      <c r="J27" s="164">
        <f t="shared" si="1"/>
        <v>16</v>
      </c>
    </row>
    <row r="28" spans="1:10" x14ac:dyDescent="0.25">
      <c r="A28" s="164">
        <f t="shared" si="0"/>
        <v>17</v>
      </c>
      <c r="B28" s="91" t="s">
        <v>83</v>
      </c>
      <c r="E28" s="359">
        <f>1/8</f>
        <v>0.125</v>
      </c>
      <c r="F28" s="164"/>
      <c r="G28" s="360"/>
      <c r="H28" s="164"/>
      <c r="I28" s="65" t="s">
        <v>84</v>
      </c>
      <c r="J28" s="164">
        <f t="shared" si="1"/>
        <v>17</v>
      </c>
    </row>
    <row r="29" spans="1:10" x14ac:dyDescent="0.25">
      <c r="A29" s="164">
        <f t="shared" si="0"/>
        <v>18</v>
      </c>
      <c r="E29" s="95" t="s">
        <v>11</v>
      </c>
      <c r="F29" s="96"/>
      <c r="G29" s="95"/>
      <c r="H29" s="96"/>
      <c r="I29" s="65"/>
      <c r="J29" s="164">
        <f t="shared" si="1"/>
        <v>18</v>
      </c>
    </row>
    <row r="30" spans="1:10" ht="16.5" thickBot="1" x14ac:dyDescent="0.3">
      <c r="A30" s="164">
        <f t="shared" si="0"/>
        <v>19</v>
      </c>
      <c r="B30" s="91" t="s">
        <v>85</v>
      </c>
      <c r="E30" s="361">
        <f>E26*E28</f>
        <v>10299.427164641706</v>
      </c>
      <c r="F30" s="27" t="s">
        <v>16</v>
      </c>
      <c r="G30" s="348"/>
      <c r="H30" s="96"/>
      <c r="I30" s="164" t="s">
        <v>523</v>
      </c>
      <c r="J30" s="164">
        <f t="shared" si="1"/>
        <v>19</v>
      </c>
    </row>
    <row r="31" spans="1:10" ht="16.5" thickTop="1" x14ac:dyDescent="0.25">
      <c r="B31" s="362"/>
    </row>
    <row r="32" spans="1:10" x14ac:dyDescent="0.25">
      <c r="A32" s="27" t="s">
        <v>16</v>
      </c>
      <c r="B32" s="25" t="s">
        <v>278</v>
      </c>
    </row>
    <row r="33" spans="1:2" ht="18.75" x14ac:dyDescent="0.25">
      <c r="A33" s="102">
        <v>1</v>
      </c>
      <c r="B33" s="91" t="s">
        <v>86</v>
      </c>
    </row>
    <row r="34" spans="1:2" ht="18.75" x14ac:dyDescent="0.25">
      <c r="A34" s="102"/>
    </row>
    <row r="35" spans="1:2" x14ac:dyDescent="0.25">
      <c r="A35" s="163"/>
      <c r="B35" s="93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5" right="0.5" top="0.5" bottom="0.5" header="0.35" footer="0.25"/>
  <pageSetup scale="54" orientation="portrait" r:id="rId1"/>
  <headerFooter scaleWithDoc="0" alignWithMargins="0">
    <oddHeader>&amp;C&amp;"Times New Roman,Bold"&amp;7AS FILED STMT AL WITH COST ADJ INCL. IN APPENDIX X CYCLE 10 (ER22-139)</oddHeader>
    <oddFooter>&amp;L&amp;F&amp;CPage 9.1&amp;R&amp;A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662B-A758-4224-A5D7-A85FC3A20C1C}">
  <dimension ref="A1:M159"/>
  <sheetViews>
    <sheetView tabSelected="1" topLeftCell="A91" zoomScale="80" zoomScaleNormal="80" workbookViewId="0">
      <selection activeCell="B114" sqref="B114"/>
    </sheetView>
  </sheetViews>
  <sheetFormatPr defaultColWidth="8.85546875" defaultRowHeight="15.75" x14ac:dyDescent="0.25"/>
  <cols>
    <col min="1" max="1" width="5.28515625" style="39" customWidth="1"/>
    <col min="2" max="2" width="55.42578125" style="40" customWidth="1"/>
    <col min="3" max="5" width="15.5703125" style="40" customWidth="1"/>
    <col min="6" max="6" width="1.5703125" style="40" customWidth="1"/>
    <col min="7" max="7" width="16.85546875" style="40" customWidth="1"/>
    <col min="8" max="8" width="1.5703125" style="40" customWidth="1"/>
    <col min="9" max="9" width="41.140625" style="103" customWidth="1"/>
    <col min="10" max="10" width="5.28515625" style="40" customWidth="1"/>
    <col min="11" max="11" width="27" style="40" bestFit="1" customWidth="1"/>
    <col min="12" max="12" width="15" style="40" bestFit="1" customWidth="1"/>
    <col min="13" max="13" width="10.42578125" style="40" bestFit="1" customWidth="1"/>
    <col min="14" max="16384" width="8.85546875" style="40"/>
  </cols>
  <sheetData>
    <row r="1" spans="1:10" x14ac:dyDescent="0.25">
      <c r="A1" s="363"/>
      <c r="G1" s="67"/>
      <c r="H1" s="67"/>
      <c r="I1" s="127"/>
      <c r="J1" s="39"/>
    </row>
    <row r="2" spans="1:10" x14ac:dyDescent="0.25">
      <c r="B2" s="772" t="s">
        <v>267</v>
      </c>
      <c r="C2" s="772"/>
      <c r="D2" s="772"/>
      <c r="E2" s="772"/>
      <c r="F2" s="772"/>
      <c r="G2" s="772"/>
      <c r="H2" s="772"/>
      <c r="I2" s="772"/>
      <c r="J2" s="39"/>
    </row>
    <row r="3" spans="1:10" x14ac:dyDescent="0.25">
      <c r="B3" s="772" t="s">
        <v>87</v>
      </c>
      <c r="C3" s="772"/>
      <c r="D3" s="772"/>
      <c r="E3" s="772"/>
      <c r="F3" s="772"/>
      <c r="G3" s="772"/>
      <c r="H3" s="772"/>
      <c r="I3" s="772"/>
      <c r="J3" s="39"/>
    </row>
    <row r="4" spans="1:10" x14ac:dyDescent="0.25">
      <c r="B4" s="772" t="s">
        <v>88</v>
      </c>
      <c r="C4" s="772"/>
      <c r="D4" s="772"/>
      <c r="E4" s="772"/>
      <c r="F4" s="772"/>
      <c r="G4" s="772"/>
      <c r="H4" s="772"/>
      <c r="I4" s="772"/>
      <c r="J4" s="39"/>
    </row>
    <row r="5" spans="1:10" x14ac:dyDescent="0.25">
      <c r="B5" s="775" t="s">
        <v>457</v>
      </c>
      <c r="C5" s="775"/>
      <c r="D5" s="775"/>
      <c r="E5" s="775"/>
      <c r="F5" s="775"/>
      <c r="G5" s="775"/>
      <c r="H5" s="775"/>
      <c r="I5" s="775"/>
      <c r="J5" s="39"/>
    </row>
    <row r="6" spans="1:10" x14ac:dyDescent="0.25">
      <c r="B6" s="774" t="s">
        <v>1</v>
      </c>
      <c r="C6" s="776"/>
      <c r="D6" s="776"/>
      <c r="E6" s="776"/>
      <c r="F6" s="776"/>
      <c r="G6" s="776"/>
      <c r="H6" s="776"/>
      <c r="I6" s="776"/>
      <c r="J6" s="39"/>
    </row>
    <row r="7" spans="1:10" x14ac:dyDescent="0.25">
      <c r="B7" s="39"/>
      <c r="C7" s="39"/>
      <c r="D7" s="39"/>
      <c r="E7" s="39"/>
      <c r="F7" s="39"/>
      <c r="G7" s="39"/>
      <c r="H7" s="39"/>
      <c r="I7" s="52"/>
      <c r="J7" s="39"/>
    </row>
    <row r="8" spans="1:10" x14ac:dyDescent="0.25">
      <c r="A8" s="39" t="s">
        <v>2</v>
      </c>
      <c r="B8" s="387"/>
      <c r="C8" s="387"/>
      <c r="D8" s="387"/>
      <c r="E8" s="39" t="s">
        <v>24</v>
      </c>
      <c r="F8" s="387"/>
      <c r="G8" s="387"/>
      <c r="H8" s="387"/>
      <c r="I8" s="52"/>
      <c r="J8" s="39" t="s">
        <v>2</v>
      </c>
    </row>
    <row r="9" spans="1:10" x14ac:dyDescent="0.25">
      <c r="A9" s="39" t="s">
        <v>6</v>
      </c>
      <c r="B9" s="39"/>
      <c r="C9" s="39"/>
      <c r="D9" s="39"/>
      <c r="E9" s="328" t="s">
        <v>25</v>
      </c>
      <c r="F9" s="39"/>
      <c r="G9" s="329" t="s">
        <v>4</v>
      </c>
      <c r="H9" s="387"/>
      <c r="I9" s="364" t="s">
        <v>5</v>
      </c>
      <c r="J9" s="39" t="s">
        <v>6</v>
      </c>
    </row>
    <row r="10" spans="1:10" x14ac:dyDescent="0.25">
      <c r="B10" s="39"/>
      <c r="C10" s="39"/>
      <c r="D10" s="39"/>
      <c r="E10" s="39"/>
      <c r="F10" s="39"/>
      <c r="G10" s="39"/>
      <c r="H10" s="39"/>
      <c r="I10" s="52"/>
      <c r="J10" s="39"/>
    </row>
    <row r="11" spans="1:10" x14ac:dyDescent="0.25">
      <c r="A11" s="39">
        <v>1</v>
      </c>
      <c r="B11" s="44" t="s">
        <v>89</v>
      </c>
      <c r="I11" s="52"/>
      <c r="J11" s="39">
        <f>A11</f>
        <v>1</v>
      </c>
    </row>
    <row r="12" spans="1:10" x14ac:dyDescent="0.25">
      <c r="A12" s="39">
        <f>A11+1</f>
        <v>2</v>
      </c>
      <c r="B12" s="40" t="s">
        <v>90</v>
      </c>
      <c r="E12" s="39" t="s">
        <v>91</v>
      </c>
      <c r="G12" s="104">
        <v>5140552</v>
      </c>
      <c r="H12" s="387"/>
      <c r="I12" s="107"/>
      <c r="J12" s="39">
        <f>J11+1</f>
        <v>2</v>
      </c>
    </row>
    <row r="13" spans="1:10" x14ac:dyDescent="0.25">
      <c r="A13" s="39">
        <f t="shared" ref="A13:A65" si="0">A12+1</f>
        <v>3</v>
      </c>
      <c r="B13" s="40" t="s">
        <v>92</v>
      </c>
      <c r="E13" s="39" t="s">
        <v>93</v>
      </c>
      <c r="G13" s="105">
        <v>0</v>
      </c>
      <c r="H13" s="387"/>
      <c r="I13" s="107"/>
      <c r="J13" s="39">
        <f t="shared" ref="J13:J65" si="1">J12+1</f>
        <v>3</v>
      </c>
    </row>
    <row r="14" spans="1:10" x14ac:dyDescent="0.25">
      <c r="A14" s="39">
        <f t="shared" si="0"/>
        <v>4</v>
      </c>
      <c r="B14" s="40" t="s">
        <v>94</v>
      </c>
      <c r="E14" s="39" t="s">
        <v>95</v>
      </c>
      <c r="G14" s="105">
        <v>0</v>
      </c>
      <c r="H14" s="387"/>
      <c r="I14" s="107"/>
      <c r="J14" s="39">
        <f t="shared" si="1"/>
        <v>4</v>
      </c>
    </row>
    <row r="15" spans="1:10" x14ac:dyDescent="0.25">
      <c r="A15" s="39">
        <f t="shared" si="0"/>
        <v>5</v>
      </c>
      <c r="B15" s="40" t="s">
        <v>96</v>
      </c>
      <c r="E15" s="39" t="s">
        <v>97</v>
      </c>
      <c r="G15" s="105">
        <v>0</v>
      </c>
      <c r="H15" s="387"/>
      <c r="I15" s="107"/>
      <c r="J15" s="39">
        <f t="shared" si="1"/>
        <v>5</v>
      </c>
    </row>
    <row r="16" spans="1:10" x14ac:dyDescent="0.25">
      <c r="A16" s="39">
        <f t="shared" si="0"/>
        <v>6</v>
      </c>
      <c r="B16" s="40" t="s">
        <v>98</v>
      </c>
      <c r="E16" s="39" t="s">
        <v>99</v>
      </c>
      <c r="G16" s="105">
        <v>-12166.400009999999</v>
      </c>
      <c r="H16" s="387"/>
      <c r="I16" s="107"/>
      <c r="J16" s="39">
        <f t="shared" si="1"/>
        <v>6</v>
      </c>
    </row>
    <row r="17" spans="1:10" x14ac:dyDescent="0.25">
      <c r="A17" s="39">
        <f t="shared" si="0"/>
        <v>7</v>
      </c>
      <c r="B17" s="40" t="s">
        <v>100</v>
      </c>
      <c r="G17" s="106">
        <f>SUM(G12:G16)</f>
        <v>5128385.59999</v>
      </c>
      <c r="H17" s="100"/>
      <c r="I17" s="52" t="str">
        <f>"Sum Lines "&amp;A12&amp;" thru "&amp;A16</f>
        <v>Sum Lines 2 thru 6</v>
      </c>
      <c r="J17" s="39">
        <f t="shared" si="1"/>
        <v>7</v>
      </c>
    </row>
    <row r="18" spans="1:10" x14ac:dyDescent="0.25">
      <c r="A18" s="39">
        <f t="shared" si="0"/>
        <v>8</v>
      </c>
      <c r="I18" s="52"/>
      <c r="J18" s="39">
        <f t="shared" si="1"/>
        <v>8</v>
      </c>
    </row>
    <row r="19" spans="1:10" x14ac:dyDescent="0.25">
      <c r="A19" s="39">
        <f t="shared" si="0"/>
        <v>9</v>
      </c>
      <c r="B19" s="44" t="s">
        <v>101</v>
      </c>
      <c r="G19" s="38"/>
      <c r="H19" s="38"/>
      <c r="I19" s="52"/>
      <c r="J19" s="39">
        <f t="shared" si="1"/>
        <v>9</v>
      </c>
    </row>
    <row r="20" spans="1:10" x14ac:dyDescent="0.25">
      <c r="A20" s="39">
        <f t="shared" si="0"/>
        <v>10</v>
      </c>
      <c r="B20" s="40" t="s">
        <v>102</v>
      </c>
      <c r="E20" s="39" t="s">
        <v>103</v>
      </c>
      <c r="G20" s="104">
        <v>213846.54399999999</v>
      </c>
      <c r="H20" s="387"/>
      <c r="I20" s="107"/>
      <c r="J20" s="39">
        <f t="shared" si="1"/>
        <v>10</v>
      </c>
    </row>
    <row r="21" spans="1:10" x14ac:dyDescent="0.25">
      <c r="A21" s="39">
        <f t="shared" si="0"/>
        <v>11</v>
      </c>
      <c r="B21" s="40" t="s">
        <v>104</v>
      </c>
      <c r="E21" s="39" t="s">
        <v>105</v>
      </c>
      <c r="G21" s="105">
        <v>3709.4806400000002</v>
      </c>
      <c r="H21" s="387"/>
      <c r="I21" s="107"/>
      <c r="J21" s="39">
        <f t="shared" si="1"/>
        <v>11</v>
      </c>
    </row>
    <row r="22" spans="1:10" x14ac:dyDescent="0.25">
      <c r="A22" s="39">
        <f t="shared" si="0"/>
        <v>12</v>
      </c>
      <c r="B22" s="40" t="s">
        <v>106</v>
      </c>
      <c r="E22" s="39" t="s">
        <v>107</v>
      </c>
      <c r="G22" s="105">
        <v>1831.0913999999998</v>
      </c>
      <c r="H22" s="387"/>
      <c r="I22" s="107"/>
      <c r="J22" s="39">
        <f t="shared" si="1"/>
        <v>12</v>
      </c>
    </row>
    <row r="23" spans="1:10" x14ac:dyDescent="0.25">
      <c r="A23" s="39">
        <f t="shared" si="0"/>
        <v>13</v>
      </c>
      <c r="B23" s="40" t="s">
        <v>108</v>
      </c>
      <c r="E23" s="39" t="s">
        <v>109</v>
      </c>
      <c r="G23" s="105">
        <v>0</v>
      </c>
      <c r="H23" s="387"/>
      <c r="I23" s="107"/>
      <c r="J23" s="39">
        <f t="shared" si="1"/>
        <v>13</v>
      </c>
    </row>
    <row r="24" spans="1:10" x14ac:dyDescent="0.25">
      <c r="A24" s="39">
        <f t="shared" si="0"/>
        <v>14</v>
      </c>
      <c r="B24" s="40" t="s">
        <v>110</v>
      </c>
      <c r="E24" s="39" t="s">
        <v>111</v>
      </c>
      <c r="G24" s="105">
        <v>0</v>
      </c>
      <c r="H24" s="387"/>
      <c r="I24" s="107"/>
      <c r="J24" s="39">
        <f t="shared" si="1"/>
        <v>14</v>
      </c>
    </row>
    <row r="25" spans="1:10" x14ac:dyDescent="0.25">
      <c r="A25" s="39">
        <f t="shared" si="0"/>
        <v>15</v>
      </c>
      <c r="B25" s="40" t="s">
        <v>112</v>
      </c>
      <c r="G25" s="108">
        <f>SUM(G20:G24)</f>
        <v>219387.11603999999</v>
      </c>
      <c r="H25" s="109"/>
      <c r="I25" s="52" t="str">
        <f>"Sum Lines "&amp;A20&amp;" thru "&amp;A24</f>
        <v>Sum Lines 10 thru 14</v>
      </c>
      <c r="J25" s="39">
        <f t="shared" si="1"/>
        <v>15</v>
      </c>
    </row>
    <row r="26" spans="1:10" x14ac:dyDescent="0.25">
      <c r="A26" s="39">
        <f t="shared" si="0"/>
        <v>16</v>
      </c>
      <c r="I26" s="52"/>
      <c r="J26" s="39">
        <f t="shared" si="1"/>
        <v>16</v>
      </c>
    </row>
    <row r="27" spans="1:10" ht="16.5" thickBot="1" x14ac:dyDescent="0.3">
      <c r="A27" s="39">
        <f t="shared" si="0"/>
        <v>17</v>
      </c>
      <c r="B27" s="44" t="s">
        <v>113</v>
      </c>
      <c r="G27" s="110">
        <f>G25/G17</f>
        <v>4.2778982149943599E-2</v>
      </c>
      <c r="H27" s="111"/>
      <c r="I27" s="52" t="str">
        <f>"Line "&amp;A25&amp;" / Line "&amp;A17</f>
        <v>Line 15 / Line 7</v>
      </c>
      <c r="J27" s="39">
        <f t="shared" si="1"/>
        <v>17</v>
      </c>
    </row>
    <row r="28" spans="1:10" ht="16.5" thickTop="1" x14ac:dyDescent="0.25">
      <c r="A28" s="39">
        <f t="shared" si="0"/>
        <v>18</v>
      </c>
      <c r="I28" s="52"/>
      <c r="J28" s="39">
        <f t="shared" si="1"/>
        <v>18</v>
      </c>
    </row>
    <row r="29" spans="1:10" x14ac:dyDescent="0.25">
      <c r="A29" s="39">
        <f t="shared" si="0"/>
        <v>19</v>
      </c>
      <c r="B29" s="44" t="s">
        <v>114</v>
      </c>
      <c r="I29" s="52"/>
      <c r="J29" s="39">
        <f t="shared" si="1"/>
        <v>19</v>
      </c>
    </row>
    <row r="30" spans="1:10" x14ac:dyDescent="0.25">
      <c r="A30" s="39">
        <f t="shared" si="0"/>
        <v>20</v>
      </c>
      <c r="B30" s="40" t="s">
        <v>115</v>
      </c>
      <c r="E30" s="39" t="s">
        <v>116</v>
      </c>
      <c r="G30" s="104">
        <v>0</v>
      </c>
      <c r="H30" s="387"/>
      <c r="I30" s="107"/>
      <c r="J30" s="39">
        <f t="shared" si="1"/>
        <v>20</v>
      </c>
    </row>
    <row r="31" spans="1:10" x14ac:dyDescent="0.25">
      <c r="A31" s="39">
        <f t="shared" si="0"/>
        <v>21</v>
      </c>
      <c r="B31" s="40" t="s">
        <v>117</v>
      </c>
      <c r="E31" s="39" t="s">
        <v>118</v>
      </c>
      <c r="G31" s="365">
        <v>0</v>
      </c>
      <c r="H31" s="387"/>
      <c r="I31" s="107"/>
      <c r="J31" s="39">
        <f t="shared" si="1"/>
        <v>21</v>
      </c>
    </row>
    <row r="32" spans="1:10" ht="16.5" thickBot="1" x14ac:dyDescent="0.3">
      <c r="A32" s="39">
        <f t="shared" si="0"/>
        <v>22</v>
      </c>
      <c r="B32" s="40" t="s">
        <v>119</v>
      </c>
      <c r="G32" s="110">
        <f>IFERROR((G31/G30),0)</f>
        <v>0</v>
      </c>
      <c r="H32" s="111"/>
      <c r="I32" s="52" t="str">
        <f>"Line "&amp;A31&amp;" / Line "&amp;A30</f>
        <v>Line 21 / Line 20</v>
      </c>
      <c r="J32" s="39">
        <f t="shared" si="1"/>
        <v>22</v>
      </c>
    </row>
    <row r="33" spans="1:12" ht="16.5" thickTop="1" x14ac:dyDescent="0.25">
      <c r="A33" s="39">
        <f t="shared" si="0"/>
        <v>23</v>
      </c>
      <c r="I33" s="52"/>
      <c r="J33" s="39">
        <f t="shared" si="1"/>
        <v>23</v>
      </c>
    </row>
    <row r="34" spans="1:12" x14ac:dyDescent="0.25">
      <c r="A34" s="39">
        <f t="shared" si="0"/>
        <v>24</v>
      </c>
      <c r="B34" s="44" t="s">
        <v>120</v>
      </c>
      <c r="I34" s="52"/>
      <c r="J34" s="39">
        <f t="shared" si="1"/>
        <v>24</v>
      </c>
    </row>
    <row r="35" spans="1:12" x14ac:dyDescent="0.25">
      <c r="A35" s="39">
        <f t="shared" si="0"/>
        <v>25</v>
      </c>
      <c r="B35" s="40" t="s">
        <v>121</v>
      </c>
      <c r="E35" s="39" t="s">
        <v>122</v>
      </c>
      <c r="G35" s="104">
        <v>7099080.8731300002</v>
      </c>
      <c r="H35" s="387"/>
      <c r="I35" s="107"/>
      <c r="J35" s="39">
        <f t="shared" si="1"/>
        <v>25</v>
      </c>
      <c r="K35" s="47"/>
      <c r="L35" s="366"/>
    </row>
    <row r="36" spans="1:12" x14ac:dyDescent="0.25">
      <c r="A36" s="39">
        <f t="shared" si="0"/>
        <v>26</v>
      </c>
      <c r="B36" s="40" t="s">
        <v>123</v>
      </c>
      <c r="E36" s="39" t="s">
        <v>116</v>
      </c>
      <c r="G36" s="112">
        <v>0</v>
      </c>
      <c r="H36" s="112"/>
      <c r="I36" s="52" t="str">
        <f>"Negative of Line "&amp;A30&amp;" Above"</f>
        <v>Negative of Line 20 Above</v>
      </c>
      <c r="J36" s="39">
        <f t="shared" si="1"/>
        <v>26</v>
      </c>
    </row>
    <row r="37" spans="1:12" x14ac:dyDescent="0.25">
      <c r="A37" s="39">
        <f t="shared" si="0"/>
        <v>27</v>
      </c>
      <c r="B37" s="40" t="s">
        <v>124</v>
      </c>
      <c r="E37" s="39" t="s">
        <v>125</v>
      </c>
      <c r="G37" s="105">
        <v>0</v>
      </c>
      <c r="H37" s="387"/>
      <c r="I37" s="107"/>
      <c r="J37" s="39">
        <f t="shared" si="1"/>
        <v>27</v>
      </c>
    </row>
    <row r="38" spans="1:12" x14ac:dyDescent="0.25">
      <c r="A38" s="39">
        <f t="shared" si="0"/>
        <v>28</v>
      </c>
      <c r="B38" s="40" t="s">
        <v>126</v>
      </c>
      <c r="E38" s="39" t="s">
        <v>127</v>
      </c>
      <c r="G38" s="105">
        <v>15874.048050000001</v>
      </c>
      <c r="H38" s="387"/>
      <c r="I38" s="107"/>
      <c r="J38" s="39">
        <f t="shared" si="1"/>
        <v>28</v>
      </c>
    </row>
    <row r="39" spans="1:12" ht="16.5" thickBot="1" x14ac:dyDescent="0.3">
      <c r="A39" s="39">
        <f t="shared" si="0"/>
        <v>29</v>
      </c>
      <c r="B39" s="40" t="s">
        <v>128</v>
      </c>
      <c r="G39" s="113">
        <f>SUM(G35:G38)</f>
        <v>7114954.9211800005</v>
      </c>
      <c r="H39" s="114"/>
      <c r="I39" s="52" t="str">
        <f>"Sum Lines "&amp;A35&amp;" thru "&amp;A38</f>
        <v>Sum Lines 25 thru 28</v>
      </c>
      <c r="J39" s="39">
        <f t="shared" si="1"/>
        <v>29</v>
      </c>
    </row>
    <row r="40" spans="1:12" ht="17.25" thickTop="1" thickBot="1" x14ac:dyDescent="0.3">
      <c r="A40" s="115">
        <f t="shared" si="0"/>
        <v>30</v>
      </c>
      <c r="B40" s="86"/>
      <c r="C40" s="86"/>
      <c r="D40" s="86"/>
      <c r="E40" s="86"/>
      <c r="F40" s="86"/>
      <c r="G40" s="86"/>
      <c r="H40" s="86"/>
      <c r="I40" s="116"/>
      <c r="J40" s="115">
        <f t="shared" si="1"/>
        <v>30</v>
      </c>
    </row>
    <row r="41" spans="1:12" x14ac:dyDescent="0.25">
      <c r="A41" s="39">
        <f>A40+1</f>
        <v>31</v>
      </c>
      <c r="I41" s="52"/>
      <c r="J41" s="39">
        <f>J40+1</f>
        <v>31</v>
      </c>
    </row>
    <row r="42" spans="1:12" ht="16.5" thickBot="1" x14ac:dyDescent="0.3">
      <c r="A42" s="39">
        <f>A41+1</f>
        <v>32</v>
      </c>
      <c r="B42" s="44" t="s">
        <v>280</v>
      </c>
      <c r="G42" s="117">
        <v>0.106</v>
      </c>
      <c r="H42" s="387"/>
      <c r="I42" s="39" t="s">
        <v>129</v>
      </c>
      <c r="J42" s="39">
        <f>J41+1</f>
        <v>32</v>
      </c>
    </row>
    <row r="43" spans="1:12" ht="16.5" thickTop="1" x14ac:dyDescent="0.25">
      <c r="A43" s="39">
        <f t="shared" si="0"/>
        <v>33</v>
      </c>
      <c r="C43" s="72" t="s">
        <v>10</v>
      </c>
      <c r="D43" s="72" t="s">
        <v>53</v>
      </c>
      <c r="E43" s="72" t="s">
        <v>130</v>
      </c>
      <c r="F43" s="72"/>
      <c r="G43" s="72" t="s">
        <v>131</v>
      </c>
      <c r="H43" s="72"/>
      <c r="I43" s="52"/>
      <c r="J43" s="39">
        <f t="shared" si="1"/>
        <v>33</v>
      </c>
    </row>
    <row r="44" spans="1:12" x14ac:dyDescent="0.25">
      <c r="A44" s="39">
        <f t="shared" si="0"/>
        <v>34</v>
      </c>
      <c r="D44" s="39" t="s">
        <v>132</v>
      </c>
      <c r="E44" s="39" t="s">
        <v>133</v>
      </c>
      <c r="F44" s="39"/>
      <c r="G44" s="39" t="s">
        <v>134</v>
      </c>
      <c r="H44" s="39"/>
      <c r="I44" s="52"/>
      <c r="J44" s="39">
        <f t="shared" si="1"/>
        <v>34</v>
      </c>
    </row>
    <row r="45" spans="1:12" ht="18.75" x14ac:dyDescent="0.25">
      <c r="A45" s="39">
        <f t="shared" si="0"/>
        <v>35</v>
      </c>
      <c r="B45" s="44" t="s">
        <v>135</v>
      </c>
      <c r="C45" s="328" t="s">
        <v>136</v>
      </c>
      <c r="D45" s="328" t="s">
        <v>137</v>
      </c>
      <c r="E45" s="328" t="s">
        <v>138</v>
      </c>
      <c r="F45" s="328"/>
      <c r="G45" s="328" t="s">
        <v>139</v>
      </c>
      <c r="H45" s="39"/>
      <c r="I45" s="52"/>
      <c r="J45" s="39">
        <f t="shared" si="1"/>
        <v>35</v>
      </c>
    </row>
    <row r="46" spans="1:12" x14ac:dyDescent="0.25">
      <c r="A46" s="39">
        <f t="shared" si="0"/>
        <v>36</v>
      </c>
      <c r="I46" s="52"/>
      <c r="J46" s="39">
        <f t="shared" si="1"/>
        <v>36</v>
      </c>
    </row>
    <row r="47" spans="1:12" x14ac:dyDescent="0.25">
      <c r="A47" s="39">
        <f t="shared" si="0"/>
        <v>37</v>
      </c>
      <c r="B47" s="40" t="s">
        <v>140</v>
      </c>
      <c r="C47" s="64">
        <f>G17</f>
        <v>5128385.59999</v>
      </c>
      <c r="D47" s="118">
        <f>C47/C$50</f>
        <v>0.41887143391319476</v>
      </c>
      <c r="E47" s="119">
        <f>G27</f>
        <v>4.2778982149943599E-2</v>
      </c>
      <c r="G47" s="120">
        <f>D47*E47</f>
        <v>1.7918893594493838E-2</v>
      </c>
      <c r="H47" s="120"/>
      <c r="I47" s="52" t="str">
        <f>"Col. c = Line "&amp;A27&amp;" Above"</f>
        <v>Col. c = Line 17 Above</v>
      </c>
      <c r="J47" s="39">
        <f t="shared" si="1"/>
        <v>37</v>
      </c>
    </row>
    <row r="48" spans="1:12" x14ac:dyDescent="0.25">
      <c r="A48" s="39">
        <f t="shared" si="0"/>
        <v>38</v>
      </c>
      <c r="B48" s="40" t="s">
        <v>141</v>
      </c>
      <c r="C48" s="121">
        <f>G30</f>
        <v>0</v>
      </c>
      <c r="D48" s="118">
        <f>C48/C$50</f>
        <v>0</v>
      </c>
      <c r="E48" s="119">
        <f>G32</f>
        <v>0</v>
      </c>
      <c r="G48" s="120">
        <f>D48*E48</f>
        <v>0</v>
      </c>
      <c r="H48" s="120"/>
      <c r="I48" s="52" t="str">
        <f>"Col. c = Line "&amp;A32&amp;" Above"</f>
        <v>Col. c = Line 22 Above</v>
      </c>
      <c r="J48" s="39">
        <f t="shared" si="1"/>
        <v>38</v>
      </c>
    </row>
    <row r="49" spans="1:10" x14ac:dyDescent="0.25">
      <c r="A49" s="39">
        <f t="shared" si="0"/>
        <v>39</v>
      </c>
      <c r="B49" s="40" t="s">
        <v>142</v>
      </c>
      <c r="C49" s="121">
        <f>G39</f>
        <v>7114954.9211800005</v>
      </c>
      <c r="D49" s="367">
        <f>C49/C$50</f>
        <v>0.58112856608680519</v>
      </c>
      <c r="E49" s="122">
        <f>G42</f>
        <v>0.106</v>
      </c>
      <c r="G49" s="368">
        <f>D49*E49</f>
        <v>6.159962800520135E-2</v>
      </c>
      <c r="H49" s="111"/>
      <c r="I49" s="52" t="str">
        <f>"Col. c = Line "&amp;A42&amp;" Above"</f>
        <v>Col. c = Line 32 Above</v>
      </c>
      <c r="J49" s="39">
        <f t="shared" si="1"/>
        <v>39</v>
      </c>
    </row>
    <row r="50" spans="1:10" ht="16.5" thickBot="1" x14ac:dyDescent="0.3">
      <c r="A50" s="39">
        <f t="shared" si="0"/>
        <v>40</v>
      </c>
      <c r="B50" s="40" t="s">
        <v>143</v>
      </c>
      <c r="C50" s="123">
        <f>SUM(C47:C49)</f>
        <v>12243340.521170001</v>
      </c>
      <c r="D50" s="124">
        <f>SUM(D47:D49)</f>
        <v>1</v>
      </c>
      <c r="G50" s="110">
        <f>SUM(G47:G49)</f>
        <v>7.9518521599695191E-2</v>
      </c>
      <c r="H50" s="111"/>
      <c r="I50" s="52" t="str">
        <f>"Sum Lines "&amp;A47&amp;" thru "&amp;A49</f>
        <v>Sum Lines 37 thru 39</v>
      </c>
      <c r="J50" s="39">
        <f t="shared" si="1"/>
        <v>40</v>
      </c>
    </row>
    <row r="51" spans="1:10" ht="16.5" thickTop="1" x14ac:dyDescent="0.25">
      <c r="A51" s="39">
        <f t="shared" si="0"/>
        <v>41</v>
      </c>
      <c r="I51" s="52"/>
      <c r="J51" s="39">
        <f t="shared" si="1"/>
        <v>41</v>
      </c>
    </row>
    <row r="52" spans="1:10" ht="16.5" thickBot="1" x14ac:dyDescent="0.3">
      <c r="A52" s="39">
        <f t="shared" si="0"/>
        <v>42</v>
      </c>
      <c r="B52" s="44" t="s">
        <v>144</v>
      </c>
      <c r="G52" s="110">
        <f>G48+G49</f>
        <v>6.159962800520135E-2</v>
      </c>
      <c r="H52" s="111"/>
      <c r="I52" s="52" t="str">
        <f>"Line "&amp;A48&amp;" + Line "&amp;A49&amp;"; Col. d"</f>
        <v>Line 38 + Line 39; Col. d</v>
      </c>
      <c r="J52" s="39">
        <f t="shared" si="1"/>
        <v>42</v>
      </c>
    </row>
    <row r="53" spans="1:10" ht="17.25" thickTop="1" thickBot="1" x14ac:dyDescent="0.3">
      <c r="A53" s="115">
        <f t="shared" si="0"/>
        <v>43</v>
      </c>
      <c r="B53" s="128"/>
      <c r="C53" s="86"/>
      <c r="D53" s="86"/>
      <c r="E53" s="86"/>
      <c r="F53" s="86"/>
      <c r="G53" s="369"/>
      <c r="H53" s="369"/>
      <c r="I53" s="116"/>
      <c r="J53" s="115">
        <f t="shared" si="1"/>
        <v>43</v>
      </c>
    </row>
    <row r="54" spans="1:10" x14ac:dyDescent="0.25">
      <c r="A54" s="39">
        <f t="shared" si="0"/>
        <v>44</v>
      </c>
      <c r="B54" s="44"/>
      <c r="G54" s="122"/>
      <c r="H54" s="122"/>
      <c r="I54" s="52"/>
      <c r="J54" s="39">
        <f t="shared" si="1"/>
        <v>44</v>
      </c>
    </row>
    <row r="55" spans="1:10" ht="16.5" thickBot="1" x14ac:dyDescent="0.3">
      <c r="A55" s="39">
        <f t="shared" si="0"/>
        <v>45</v>
      </c>
      <c r="B55" s="44" t="s">
        <v>268</v>
      </c>
      <c r="G55" s="370">
        <v>0</v>
      </c>
      <c r="H55" s="122"/>
      <c r="I55" s="52" t="s">
        <v>17</v>
      </c>
      <c r="J55" s="39">
        <f t="shared" si="1"/>
        <v>45</v>
      </c>
    </row>
    <row r="56" spans="1:10" ht="16.5" thickTop="1" x14ac:dyDescent="0.25">
      <c r="A56" s="39">
        <f t="shared" si="0"/>
        <v>46</v>
      </c>
      <c r="C56" s="72" t="s">
        <v>10</v>
      </c>
      <c r="D56" s="72" t="s">
        <v>53</v>
      </c>
      <c r="E56" s="72" t="s">
        <v>130</v>
      </c>
      <c r="F56" s="72"/>
      <c r="G56" s="72" t="s">
        <v>131</v>
      </c>
      <c r="H56" s="122"/>
      <c r="I56" s="52"/>
      <c r="J56" s="39">
        <f t="shared" si="1"/>
        <v>46</v>
      </c>
    </row>
    <row r="57" spans="1:10" x14ac:dyDescent="0.25">
      <c r="A57" s="39">
        <f t="shared" si="0"/>
        <v>47</v>
      </c>
      <c r="D57" s="39" t="s">
        <v>132</v>
      </c>
      <c r="E57" s="39" t="s">
        <v>133</v>
      </c>
      <c r="F57" s="39"/>
      <c r="G57" s="39" t="s">
        <v>134</v>
      </c>
      <c r="H57" s="122"/>
      <c r="I57" s="52"/>
      <c r="J57" s="39">
        <f t="shared" si="1"/>
        <v>47</v>
      </c>
    </row>
    <row r="58" spans="1:10" ht="18.75" x14ac:dyDescent="0.25">
      <c r="A58" s="39">
        <f t="shared" si="0"/>
        <v>48</v>
      </c>
      <c r="B58" s="44" t="s">
        <v>146</v>
      </c>
      <c r="C58" s="328" t="s">
        <v>136</v>
      </c>
      <c r="D58" s="328" t="s">
        <v>137</v>
      </c>
      <c r="E58" s="328" t="s">
        <v>138</v>
      </c>
      <c r="F58" s="328"/>
      <c r="G58" s="328" t="s">
        <v>139</v>
      </c>
      <c r="H58" s="122"/>
      <c r="I58" s="52"/>
      <c r="J58" s="39">
        <f t="shared" si="1"/>
        <v>48</v>
      </c>
    </row>
    <row r="59" spans="1:10" x14ac:dyDescent="0.25">
      <c r="A59" s="39">
        <f t="shared" si="0"/>
        <v>49</v>
      </c>
      <c r="G59" s="122"/>
      <c r="H59" s="122"/>
      <c r="I59" s="52"/>
      <c r="J59" s="39">
        <f t="shared" si="1"/>
        <v>49</v>
      </c>
    </row>
    <row r="60" spans="1:10" x14ac:dyDescent="0.25">
      <c r="A60" s="39">
        <f t="shared" si="0"/>
        <v>50</v>
      </c>
      <c r="B60" s="40" t="s">
        <v>140</v>
      </c>
      <c r="C60" s="371">
        <v>0</v>
      </c>
      <c r="D60" s="372">
        <v>0</v>
      </c>
      <c r="E60" s="125">
        <v>0</v>
      </c>
      <c r="G60" s="120">
        <f>D60*E60</f>
        <v>0</v>
      </c>
      <c r="H60" s="122"/>
      <c r="I60" s="52" t="s">
        <v>17</v>
      </c>
      <c r="J60" s="39">
        <f t="shared" si="1"/>
        <v>50</v>
      </c>
    </row>
    <row r="61" spans="1:10" x14ac:dyDescent="0.25">
      <c r="A61" s="39">
        <f t="shared" si="0"/>
        <v>51</v>
      </c>
      <c r="B61" s="40" t="s">
        <v>141</v>
      </c>
      <c r="C61" s="373">
        <v>0</v>
      </c>
      <c r="D61" s="372">
        <v>0</v>
      </c>
      <c r="E61" s="125">
        <v>0</v>
      </c>
      <c r="G61" s="120">
        <f>D61*E61</f>
        <v>0</v>
      </c>
      <c r="H61" s="122"/>
      <c r="I61" s="52" t="s">
        <v>17</v>
      </c>
      <c r="J61" s="39">
        <f t="shared" si="1"/>
        <v>51</v>
      </c>
    </row>
    <row r="62" spans="1:10" x14ac:dyDescent="0.25">
      <c r="A62" s="39">
        <f t="shared" si="0"/>
        <v>52</v>
      </c>
      <c r="B62" s="40" t="s">
        <v>142</v>
      </c>
      <c r="C62" s="373">
        <v>0</v>
      </c>
      <c r="D62" s="374">
        <v>0</v>
      </c>
      <c r="E62" s="375">
        <v>0</v>
      </c>
      <c r="G62" s="368">
        <f>D62*E62</f>
        <v>0</v>
      </c>
      <c r="H62" s="122"/>
      <c r="I62" s="52" t="s">
        <v>17</v>
      </c>
      <c r="J62" s="39">
        <f t="shared" si="1"/>
        <v>52</v>
      </c>
    </row>
    <row r="63" spans="1:10" ht="16.5" thickBot="1" x14ac:dyDescent="0.3">
      <c r="A63" s="39">
        <f t="shared" si="0"/>
        <v>53</v>
      </c>
      <c r="B63" s="40" t="s">
        <v>143</v>
      </c>
      <c r="C63" s="123">
        <f>SUM(C60:C62)</f>
        <v>0</v>
      </c>
      <c r="D63" s="110">
        <f>SUM(D60:D62)</f>
        <v>0</v>
      </c>
      <c r="G63" s="110">
        <f>SUM(G60:G62)</f>
        <v>0</v>
      </c>
      <c r="H63" s="122"/>
      <c r="I63" s="52" t="str">
        <f>"Sum Lines "&amp;A60&amp;" thru "&amp;A62</f>
        <v>Sum Lines 50 thru 52</v>
      </c>
      <c r="J63" s="39">
        <f t="shared" si="1"/>
        <v>53</v>
      </c>
    </row>
    <row r="64" spans="1:10" ht="16.5" thickTop="1" x14ac:dyDescent="0.25">
      <c r="A64" s="39">
        <f t="shared" si="0"/>
        <v>54</v>
      </c>
      <c r="H64" s="122"/>
      <c r="I64" s="52"/>
      <c r="J64" s="39">
        <f t="shared" si="1"/>
        <v>54</v>
      </c>
    </row>
    <row r="65" spans="1:10" ht="16.5" thickBot="1" x14ac:dyDescent="0.3">
      <c r="A65" s="39">
        <f t="shared" si="0"/>
        <v>55</v>
      </c>
      <c r="B65" s="44" t="s">
        <v>147</v>
      </c>
      <c r="G65" s="110">
        <f>G61+G62</f>
        <v>0</v>
      </c>
      <c r="H65" s="122"/>
      <c r="I65" s="52" t="str">
        <f>"Line "&amp;A61&amp;" + Line "&amp;A62&amp;"; Col. d"</f>
        <v>Line 51 + Line 52; Col. d</v>
      </c>
      <c r="J65" s="39">
        <f t="shared" si="1"/>
        <v>55</v>
      </c>
    </row>
    <row r="66" spans="1:10" ht="16.5" thickTop="1" x14ac:dyDescent="0.25">
      <c r="B66" s="44"/>
      <c r="G66" s="122"/>
      <c r="H66" s="122"/>
      <c r="I66" s="52"/>
      <c r="J66" s="39"/>
    </row>
    <row r="67" spans="1:10" x14ac:dyDescent="0.25">
      <c r="B67" s="44"/>
      <c r="G67" s="122"/>
      <c r="H67" s="122"/>
      <c r="I67" s="52"/>
      <c r="J67" s="39"/>
    </row>
    <row r="68" spans="1:10" ht="18.75" x14ac:dyDescent="0.25">
      <c r="A68" s="71">
        <v>1</v>
      </c>
      <c r="B68" s="20" t="s">
        <v>145</v>
      </c>
      <c r="G68" s="67"/>
      <c r="H68" s="67"/>
      <c r="J68" s="39" t="s">
        <v>11</v>
      </c>
    </row>
    <row r="69" spans="1:10" ht="18.75" x14ac:dyDescent="0.25">
      <c r="A69" s="71"/>
      <c r="B69" s="20"/>
      <c r="G69" s="67"/>
      <c r="H69" s="67"/>
      <c r="J69" s="39"/>
    </row>
    <row r="70" spans="1:10" ht="18.75" x14ac:dyDescent="0.25">
      <c r="A70" s="71"/>
      <c r="B70" s="20"/>
      <c r="D70" s="39"/>
      <c r="G70" s="67"/>
      <c r="H70" s="67"/>
      <c r="J70" s="39"/>
    </row>
    <row r="71" spans="1:10" x14ac:dyDescent="0.25">
      <c r="B71" s="772" t="s">
        <v>267</v>
      </c>
      <c r="C71" s="772"/>
      <c r="D71" s="772"/>
      <c r="E71" s="772"/>
      <c r="F71" s="772"/>
      <c r="G71" s="772"/>
      <c r="H71" s="772"/>
      <c r="I71" s="772"/>
      <c r="J71" s="39"/>
    </row>
    <row r="72" spans="1:10" x14ac:dyDescent="0.25">
      <c r="B72" s="772" t="s">
        <v>87</v>
      </c>
      <c r="C72" s="772"/>
      <c r="D72" s="772"/>
      <c r="E72" s="772"/>
      <c r="F72" s="772"/>
      <c r="G72" s="772"/>
      <c r="H72" s="772"/>
      <c r="I72" s="772"/>
      <c r="J72" s="39"/>
    </row>
    <row r="73" spans="1:10" x14ac:dyDescent="0.25">
      <c r="B73" s="772" t="s">
        <v>88</v>
      </c>
      <c r="C73" s="772"/>
      <c r="D73" s="772"/>
      <c r="E73" s="772"/>
      <c r="F73" s="772"/>
      <c r="G73" s="772"/>
      <c r="H73" s="772"/>
      <c r="I73" s="772"/>
      <c r="J73" s="39"/>
    </row>
    <row r="74" spans="1:10" x14ac:dyDescent="0.25">
      <c r="B74" s="775" t="str">
        <f>B5</f>
        <v>Base Period &amp; True-Up Period 12 - Months Ending December 31, 2019</v>
      </c>
      <c r="C74" s="775"/>
      <c r="D74" s="775"/>
      <c r="E74" s="775"/>
      <c r="F74" s="775"/>
      <c r="G74" s="775"/>
      <c r="H74" s="775"/>
      <c r="I74" s="775"/>
      <c r="J74" s="39"/>
    </row>
    <row r="75" spans="1:10" x14ac:dyDescent="0.25">
      <c r="B75" s="774" t="s">
        <v>1</v>
      </c>
      <c r="C75" s="776"/>
      <c r="D75" s="776"/>
      <c r="E75" s="776"/>
      <c r="F75" s="776"/>
      <c r="G75" s="776"/>
      <c r="H75" s="776"/>
      <c r="I75" s="776"/>
      <c r="J75" s="39"/>
    </row>
    <row r="76" spans="1:10" x14ac:dyDescent="0.25">
      <c r="B76" s="39"/>
      <c r="C76" s="39"/>
      <c r="D76" s="39"/>
      <c r="E76" s="39"/>
      <c r="F76" s="39"/>
      <c r="G76" s="39"/>
      <c r="H76" s="39"/>
      <c r="I76" s="52"/>
      <c r="J76" s="39"/>
    </row>
    <row r="77" spans="1:10" x14ac:dyDescent="0.25">
      <c r="A77" s="39" t="s">
        <v>2</v>
      </c>
      <c r="B77" s="387"/>
      <c r="C77" s="387"/>
      <c r="D77" s="387"/>
      <c r="E77" s="387"/>
      <c r="F77" s="387"/>
      <c r="G77" s="387"/>
      <c r="H77" s="387"/>
      <c r="I77" s="52"/>
      <c r="J77" s="39" t="s">
        <v>2</v>
      </c>
    </row>
    <row r="78" spans="1:10" x14ac:dyDescent="0.25">
      <c r="A78" s="39" t="s">
        <v>6</v>
      </c>
      <c r="B78" s="39"/>
      <c r="C78" s="39"/>
      <c r="D78" s="39"/>
      <c r="E78" s="39"/>
      <c r="F78" s="39"/>
      <c r="G78" s="328" t="s">
        <v>4</v>
      </c>
      <c r="H78" s="387"/>
      <c r="I78" s="364" t="s">
        <v>5</v>
      </c>
      <c r="J78" s="39" t="s">
        <v>6</v>
      </c>
    </row>
    <row r="79" spans="1:10" x14ac:dyDescent="0.25">
      <c r="G79" s="39"/>
      <c r="H79" s="39"/>
      <c r="I79" s="52"/>
      <c r="J79" s="39"/>
    </row>
    <row r="80" spans="1:10" ht="18.75" x14ac:dyDescent="0.25">
      <c r="A80" s="39">
        <v>1</v>
      </c>
      <c r="B80" s="44" t="s">
        <v>269</v>
      </c>
      <c r="E80" s="387"/>
      <c r="F80" s="387"/>
      <c r="G80" s="129"/>
      <c r="H80" s="129"/>
      <c r="I80" s="52"/>
      <c r="J80" s="39">
        <v>1</v>
      </c>
    </row>
    <row r="81" spans="1:13" x14ac:dyDescent="0.25">
      <c r="A81" s="39">
        <f>A80+1</f>
        <v>2</v>
      </c>
      <c r="B81" s="130"/>
      <c r="E81" s="387"/>
      <c r="F81" s="387"/>
      <c r="G81" s="129"/>
      <c r="H81" s="129"/>
      <c r="I81" s="52"/>
      <c r="J81" s="39">
        <f>J80+1</f>
        <v>2</v>
      </c>
    </row>
    <row r="82" spans="1:13" x14ac:dyDescent="0.25">
      <c r="A82" s="39">
        <f>A81+1</f>
        <v>3</v>
      </c>
      <c r="B82" s="44" t="s">
        <v>270</v>
      </c>
      <c r="E82" s="387"/>
      <c r="F82" s="387"/>
      <c r="G82" s="129"/>
      <c r="H82" s="129"/>
      <c r="I82" s="52"/>
      <c r="J82" s="39">
        <f>J81+1</f>
        <v>3</v>
      </c>
    </row>
    <row r="83" spans="1:13" x14ac:dyDescent="0.25">
      <c r="A83" s="39">
        <f>A82+1</f>
        <v>4</v>
      </c>
      <c r="B83" s="387"/>
      <c r="C83" s="387"/>
      <c r="D83" s="387"/>
      <c r="E83" s="387"/>
      <c r="F83" s="387"/>
      <c r="G83" s="129"/>
      <c r="H83" s="129"/>
      <c r="I83" s="52"/>
      <c r="J83" s="39">
        <f>J82+1</f>
        <v>4</v>
      </c>
    </row>
    <row r="84" spans="1:13" x14ac:dyDescent="0.25">
      <c r="A84" s="39">
        <f t="shared" ref="A84:A110" si="2">A83+1</f>
        <v>5</v>
      </c>
      <c r="B84" s="46" t="s">
        <v>148</v>
      </c>
      <c r="C84" s="387"/>
      <c r="D84" s="387"/>
      <c r="E84" s="387"/>
      <c r="F84" s="387"/>
      <c r="G84" s="129"/>
      <c r="H84" s="129"/>
      <c r="I84" s="131"/>
      <c r="J84" s="39">
        <f t="shared" ref="J84:J110" si="3">J83+1</f>
        <v>5</v>
      </c>
    </row>
    <row r="85" spans="1:13" x14ac:dyDescent="0.25">
      <c r="A85" s="39">
        <f t="shared" si="2"/>
        <v>6</v>
      </c>
      <c r="B85" s="40" t="s">
        <v>149</v>
      </c>
      <c r="D85" s="387"/>
      <c r="E85" s="387"/>
      <c r="F85" s="387"/>
      <c r="G85" s="132">
        <f>G52</f>
        <v>6.159962800520135E-2</v>
      </c>
      <c r="H85" s="387"/>
      <c r="I85" s="52" t="s">
        <v>524</v>
      </c>
      <c r="J85" s="39">
        <f t="shared" si="3"/>
        <v>6</v>
      </c>
      <c r="L85" s="39"/>
    </row>
    <row r="86" spans="1:13" x14ac:dyDescent="0.25">
      <c r="A86" s="39">
        <f t="shared" si="2"/>
        <v>7</v>
      </c>
      <c r="B86" s="40" t="s">
        <v>150</v>
      </c>
      <c r="D86" s="387"/>
      <c r="E86" s="387"/>
      <c r="F86" s="387"/>
      <c r="G86" s="133">
        <v>3720.7176518702354</v>
      </c>
      <c r="H86" s="387"/>
      <c r="I86" s="52" t="s">
        <v>525</v>
      </c>
      <c r="J86" s="39">
        <f t="shared" si="3"/>
        <v>7</v>
      </c>
      <c r="L86" s="39"/>
    </row>
    <row r="87" spans="1:13" ht="18.75" x14ac:dyDescent="0.25">
      <c r="A87" s="39">
        <f t="shared" si="2"/>
        <v>8</v>
      </c>
      <c r="B87" s="40" t="s">
        <v>271</v>
      </c>
      <c r="D87" s="387"/>
      <c r="E87" s="387"/>
      <c r="F87" s="387"/>
      <c r="G87" s="134">
        <v>7491.7360400000025</v>
      </c>
      <c r="H87" s="387"/>
      <c r="I87" s="127" t="s">
        <v>526</v>
      </c>
      <c r="J87" s="39">
        <f t="shared" si="3"/>
        <v>8</v>
      </c>
      <c r="L87" s="387"/>
    </row>
    <row r="88" spans="1:13" x14ac:dyDescent="0.25">
      <c r="A88" s="39">
        <f t="shared" si="2"/>
        <v>9</v>
      </c>
      <c r="B88" s="40" t="s">
        <v>152</v>
      </c>
      <c r="D88" s="387"/>
      <c r="E88" s="135"/>
      <c r="F88" s="387"/>
      <c r="G88" s="136">
        <f>'Pg12 Rev AV-4 '!C36</f>
        <v>4318209.952196016</v>
      </c>
      <c r="H88" s="27" t="s">
        <v>16</v>
      </c>
      <c r="I88" s="127" t="s">
        <v>626</v>
      </c>
      <c r="J88" s="39">
        <f t="shared" si="3"/>
        <v>9</v>
      </c>
    </row>
    <row r="89" spans="1:13" x14ac:dyDescent="0.25">
      <c r="A89" s="39">
        <f t="shared" si="2"/>
        <v>10</v>
      </c>
      <c r="B89" s="40" t="s">
        <v>153</v>
      </c>
      <c r="D89" s="137"/>
      <c r="E89" s="387"/>
      <c r="F89" s="387"/>
      <c r="G89" s="376">
        <v>0.21</v>
      </c>
      <c r="H89" s="387"/>
      <c r="I89" s="52" t="s">
        <v>154</v>
      </c>
      <c r="J89" s="39">
        <f t="shared" si="3"/>
        <v>10</v>
      </c>
      <c r="M89" s="138"/>
    </row>
    <row r="90" spans="1:13" x14ac:dyDescent="0.25">
      <c r="A90" s="39">
        <f t="shared" si="2"/>
        <v>11</v>
      </c>
      <c r="G90" s="39"/>
      <c r="H90" s="39"/>
      <c r="J90" s="39">
        <f t="shared" si="3"/>
        <v>11</v>
      </c>
    </row>
    <row r="91" spans="1:13" x14ac:dyDescent="0.25">
      <c r="A91" s="39">
        <f t="shared" si="2"/>
        <v>12</v>
      </c>
      <c r="B91" s="40" t="s">
        <v>155</v>
      </c>
      <c r="D91" s="387"/>
      <c r="E91" s="387"/>
      <c r="F91" s="387"/>
      <c r="G91" s="139">
        <f>(((G85)+(G87/G88))*G89-(G86/G88))/(1-G89)</f>
        <v>1.5745088856381879E-2</v>
      </c>
      <c r="H91" s="139"/>
      <c r="I91" s="52" t="s">
        <v>156</v>
      </c>
      <c r="J91" s="39">
        <f t="shared" si="3"/>
        <v>12</v>
      </c>
      <c r="M91" s="140"/>
    </row>
    <row r="92" spans="1:13" x14ac:dyDescent="0.25">
      <c r="A92" s="39">
        <f t="shared" si="2"/>
        <v>13</v>
      </c>
      <c r="B92" s="141" t="s">
        <v>157</v>
      </c>
      <c r="G92" s="39"/>
      <c r="H92" s="39"/>
      <c r="J92" s="39">
        <f t="shared" si="3"/>
        <v>13</v>
      </c>
    </row>
    <row r="93" spans="1:13" x14ac:dyDescent="0.25">
      <c r="A93" s="39">
        <f t="shared" si="2"/>
        <v>14</v>
      </c>
      <c r="G93" s="39"/>
      <c r="H93" s="39"/>
      <c r="J93" s="39">
        <f t="shared" si="3"/>
        <v>14</v>
      </c>
    </row>
    <row r="94" spans="1:13" x14ac:dyDescent="0.25">
      <c r="A94" s="39">
        <f t="shared" si="2"/>
        <v>15</v>
      </c>
      <c r="B94" s="44" t="s">
        <v>158</v>
      </c>
      <c r="C94" s="387"/>
      <c r="D94" s="387"/>
      <c r="E94" s="387"/>
      <c r="F94" s="387"/>
      <c r="G94" s="142"/>
      <c r="H94" s="142"/>
      <c r="I94" s="143"/>
      <c r="J94" s="39">
        <f t="shared" si="3"/>
        <v>15</v>
      </c>
      <c r="L94" s="144"/>
    </row>
    <row r="95" spans="1:13" x14ac:dyDescent="0.25">
      <c r="A95" s="39">
        <f t="shared" si="2"/>
        <v>16</v>
      </c>
      <c r="B95" s="57"/>
      <c r="C95" s="387"/>
      <c r="D95" s="387"/>
      <c r="E95" s="387"/>
      <c r="F95" s="387"/>
      <c r="G95" s="142"/>
      <c r="H95" s="142"/>
      <c r="I95" s="145"/>
      <c r="J95" s="39">
        <f t="shared" si="3"/>
        <v>16</v>
      </c>
      <c r="L95" s="387"/>
    </row>
    <row r="96" spans="1:13" x14ac:dyDescent="0.25">
      <c r="A96" s="39">
        <f t="shared" si="2"/>
        <v>17</v>
      </c>
      <c r="B96" s="46" t="s">
        <v>148</v>
      </c>
      <c r="C96" s="387"/>
      <c r="D96" s="387"/>
      <c r="E96" s="387"/>
      <c r="F96" s="387"/>
      <c r="G96" s="142"/>
      <c r="H96" s="142"/>
      <c r="I96" s="145"/>
      <c r="J96" s="39">
        <f t="shared" si="3"/>
        <v>17</v>
      </c>
      <c r="L96" s="387"/>
    </row>
    <row r="97" spans="1:13" x14ac:dyDescent="0.25">
      <c r="A97" s="39">
        <f t="shared" si="2"/>
        <v>18</v>
      </c>
      <c r="B97" s="40" t="s">
        <v>149</v>
      </c>
      <c r="D97" s="387"/>
      <c r="E97" s="387"/>
      <c r="F97" s="387"/>
      <c r="G97" s="118">
        <f>G85</f>
        <v>6.159962800520135E-2</v>
      </c>
      <c r="H97" s="118"/>
      <c r="I97" s="52" t="str">
        <f>"Line "&amp;A85&amp;" Above"</f>
        <v>Line 6 Above</v>
      </c>
      <c r="J97" s="39">
        <f t="shared" si="3"/>
        <v>18</v>
      </c>
      <c r="L97" s="39"/>
    </row>
    <row r="98" spans="1:13" x14ac:dyDescent="0.25">
      <c r="A98" s="39">
        <f t="shared" si="2"/>
        <v>19</v>
      </c>
      <c r="B98" s="40" t="s">
        <v>159</v>
      </c>
      <c r="D98" s="387"/>
      <c r="E98" s="387"/>
      <c r="F98" s="387"/>
      <c r="G98" s="146">
        <f>G87</f>
        <v>7491.7360400000025</v>
      </c>
      <c r="H98" s="146"/>
      <c r="I98" s="52" t="str">
        <f>"Line "&amp;A87&amp;" Above"</f>
        <v>Line 8 Above</v>
      </c>
      <c r="J98" s="39">
        <f t="shared" si="3"/>
        <v>19</v>
      </c>
      <c r="L98" s="39"/>
    </row>
    <row r="99" spans="1:13" x14ac:dyDescent="0.25">
      <c r="A99" s="39">
        <f t="shared" si="2"/>
        <v>20</v>
      </c>
      <c r="B99" s="40" t="s">
        <v>160</v>
      </c>
      <c r="D99" s="387"/>
      <c r="E99" s="387"/>
      <c r="F99" s="387"/>
      <c r="G99" s="147">
        <f>G88</f>
        <v>4318209.952196016</v>
      </c>
      <c r="H99" s="27" t="s">
        <v>16</v>
      </c>
      <c r="I99" s="52" t="str">
        <f>"Line "&amp;A88&amp;" Above"</f>
        <v>Line 9 Above</v>
      </c>
      <c r="J99" s="39">
        <f t="shared" si="3"/>
        <v>20</v>
      </c>
      <c r="L99" s="39"/>
    </row>
    <row r="100" spans="1:13" x14ac:dyDescent="0.25">
      <c r="A100" s="39">
        <f t="shared" si="2"/>
        <v>21</v>
      </c>
      <c r="B100" s="40" t="s">
        <v>161</v>
      </c>
      <c r="D100" s="387"/>
      <c r="E100" s="387"/>
      <c r="F100" s="387"/>
      <c r="G100" s="148">
        <f>G91</f>
        <v>1.5745088856381879E-2</v>
      </c>
      <c r="H100" s="148"/>
      <c r="I100" s="52" t="str">
        <f>"Line "&amp;A91&amp;" Above"</f>
        <v>Line 12 Above</v>
      </c>
      <c r="J100" s="39">
        <f t="shared" si="3"/>
        <v>21</v>
      </c>
    </row>
    <row r="101" spans="1:13" x14ac:dyDescent="0.25">
      <c r="A101" s="39">
        <f t="shared" si="2"/>
        <v>22</v>
      </c>
      <c r="B101" s="40" t="s">
        <v>162</v>
      </c>
      <c r="D101" s="387"/>
      <c r="E101" s="387"/>
      <c r="F101" s="387"/>
      <c r="G101" s="405">
        <v>8.8400000000000006E-2</v>
      </c>
      <c r="H101" s="387"/>
      <c r="I101" s="52" t="s">
        <v>163</v>
      </c>
      <c r="J101" s="39">
        <f t="shared" si="3"/>
        <v>22</v>
      </c>
    </row>
    <row r="102" spans="1:13" x14ac:dyDescent="0.25">
      <c r="A102" s="39">
        <f t="shared" si="2"/>
        <v>23</v>
      </c>
      <c r="B102" s="388"/>
      <c r="D102" s="387"/>
      <c r="E102" s="387"/>
      <c r="F102" s="387"/>
      <c r="G102" s="149"/>
      <c r="H102" s="149"/>
      <c r="I102" s="145"/>
      <c r="J102" s="39">
        <f t="shared" si="3"/>
        <v>23</v>
      </c>
    </row>
    <row r="103" spans="1:13" x14ac:dyDescent="0.25">
      <c r="A103" s="39">
        <f t="shared" si="2"/>
        <v>24</v>
      </c>
      <c r="B103" s="40" t="s">
        <v>164</v>
      </c>
      <c r="C103" s="39"/>
      <c r="D103" s="39"/>
      <c r="E103" s="387"/>
      <c r="F103" s="387"/>
      <c r="G103" s="377">
        <f>((G97)+(G98/G99)+G91)*G101/(1-G101)</f>
        <v>7.6685384347720447E-3</v>
      </c>
      <c r="H103" s="150"/>
      <c r="I103" s="52" t="s">
        <v>165</v>
      </c>
      <c r="J103" s="39">
        <f t="shared" si="3"/>
        <v>24</v>
      </c>
    </row>
    <row r="104" spans="1:13" x14ac:dyDescent="0.25">
      <c r="A104" s="39">
        <f t="shared" si="2"/>
        <v>25</v>
      </c>
      <c r="B104" s="141" t="s">
        <v>166</v>
      </c>
      <c r="G104" s="39"/>
      <c r="H104" s="39"/>
      <c r="I104" s="52"/>
      <c r="J104" s="39">
        <f t="shared" si="3"/>
        <v>25</v>
      </c>
      <c r="L104" s="39"/>
    </row>
    <row r="105" spans="1:13" x14ac:dyDescent="0.25">
      <c r="A105" s="39">
        <f t="shared" si="2"/>
        <v>26</v>
      </c>
      <c r="G105" s="39"/>
      <c r="H105" s="39"/>
      <c r="I105" s="52"/>
      <c r="J105" s="39">
        <f t="shared" si="3"/>
        <v>26</v>
      </c>
      <c r="L105" s="39"/>
    </row>
    <row r="106" spans="1:13" x14ac:dyDescent="0.25">
      <c r="A106" s="39">
        <f t="shared" si="2"/>
        <v>27</v>
      </c>
      <c r="B106" s="44" t="s">
        <v>167</v>
      </c>
      <c r="G106" s="139">
        <f>G103+G91</f>
        <v>2.3413627291153923E-2</v>
      </c>
      <c r="H106" s="139"/>
      <c r="I106" s="52" t="str">
        <f>"Line "&amp;A91&amp;" + Line "&amp;A103</f>
        <v>Line 12 + Line 24</v>
      </c>
      <c r="J106" s="39">
        <f t="shared" si="3"/>
        <v>27</v>
      </c>
      <c r="L106" s="39"/>
    </row>
    <row r="107" spans="1:13" x14ac:dyDescent="0.25">
      <c r="A107" s="39">
        <f t="shared" si="2"/>
        <v>28</v>
      </c>
      <c r="G107" s="39"/>
      <c r="H107" s="39"/>
      <c r="I107" s="52"/>
      <c r="J107" s="39">
        <f t="shared" si="3"/>
        <v>28</v>
      </c>
      <c r="L107" s="39"/>
    </row>
    <row r="108" spans="1:13" x14ac:dyDescent="0.25">
      <c r="A108" s="39">
        <f t="shared" si="2"/>
        <v>29</v>
      </c>
      <c r="B108" s="44" t="s">
        <v>168</v>
      </c>
      <c r="G108" s="378">
        <f>G50</f>
        <v>7.9518521599695191E-2</v>
      </c>
      <c r="H108" s="387"/>
      <c r="I108" s="52" t="str">
        <f>"AV1; Line "&amp;A50</f>
        <v>AV1; Line 40</v>
      </c>
      <c r="J108" s="39">
        <f t="shared" si="3"/>
        <v>29</v>
      </c>
      <c r="L108" s="39"/>
    </row>
    <row r="109" spans="1:13" x14ac:dyDescent="0.25">
      <c r="A109" s="39">
        <f t="shared" si="2"/>
        <v>30</v>
      </c>
      <c r="G109" s="118"/>
      <c r="H109" s="118"/>
      <c r="I109" s="52"/>
      <c r="J109" s="39">
        <f t="shared" si="3"/>
        <v>30</v>
      </c>
      <c r="L109" s="39"/>
    </row>
    <row r="110" spans="1:13" ht="19.5" thickBot="1" x14ac:dyDescent="0.3">
      <c r="A110" s="39">
        <f t="shared" si="2"/>
        <v>31</v>
      </c>
      <c r="B110" s="44" t="s">
        <v>272</v>
      </c>
      <c r="G110" s="151">
        <f>G106+G108</f>
        <v>0.10293214889084912</v>
      </c>
      <c r="H110" s="150"/>
      <c r="I110" s="52" t="str">
        <f>"Line "&amp;A106&amp;" + Line "&amp;A108</f>
        <v>Line 27 + Line 29</v>
      </c>
      <c r="J110" s="39">
        <f t="shared" si="3"/>
        <v>31</v>
      </c>
      <c r="L110" s="152"/>
      <c r="M110" s="140"/>
    </row>
    <row r="111" spans="1:13" ht="16.5" thickTop="1" x14ac:dyDescent="0.25">
      <c r="B111" s="44"/>
      <c r="G111" s="154"/>
      <c r="H111" s="154"/>
      <c r="I111" s="52"/>
      <c r="J111" s="39"/>
      <c r="L111" s="152"/>
      <c r="M111" s="140"/>
    </row>
    <row r="112" spans="1:13" x14ac:dyDescent="0.25">
      <c r="A112" s="27" t="s">
        <v>16</v>
      </c>
      <c r="B112" s="25" t="s">
        <v>636</v>
      </c>
      <c r="G112" s="154"/>
      <c r="H112" s="154"/>
      <c r="I112" s="52"/>
      <c r="J112" s="39"/>
      <c r="L112" s="152"/>
      <c r="M112" s="140"/>
    </row>
    <row r="113" spans="1:13" x14ac:dyDescent="0.25">
      <c r="A113" s="27"/>
      <c r="B113" s="25" t="s">
        <v>629</v>
      </c>
      <c r="G113" s="154"/>
      <c r="H113" s="154"/>
      <c r="I113" s="52"/>
      <c r="J113" s="39"/>
      <c r="L113" s="152"/>
      <c r="M113" s="140"/>
    </row>
    <row r="114" spans="1:13" ht="18.75" x14ac:dyDescent="0.25">
      <c r="A114" s="379">
        <v>1</v>
      </c>
      <c r="B114" s="20" t="s">
        <v>281</v>
      </c>
      <c r="G114" s="154"/>
      <c r="H114" s="154"/>
      <c r="I114" s="52"/>
      <c r="J114" s="39"/>
      <c r="L114" s="152"/>
      <c r="M114" s="140"/>
    </row>
    <row r="115" spans="1:13" ht="18.75" x14ac:dyDescent="0.25">
      <c r="A115" s="379"/>
      <c r="B115" s="20"/>
      <c r="G115" s="154"/>
      <c r="H115" s="154"/>
      <c r="I115" s="52"/>
      <c r="J115" s="39"/>
      <c r="L115" s="152"/>
      <c r="M115" s="140"/>
    </row>
    <row r="116" spans="1:13" x14ac:dyDescent="0.25">
      <c r="A116" s="155"/>
      <c r="B116" s="388"/>
      <c r="C116" s="41"/>
      <c r="D116" s="41"/>
      <c r="E116" s="41"/>
      <c r="F116" s="41"/>
      <c r="G116" s="156"/>
      <c r="H116" s="156"/>
      <c r="I116" s="380"/>
      <c r="J116" s="39"/>
    </row>
    <row r="117" spans="1:13" x14ac:dyDescent="0.25">
      <c r="B117" s="772" t="s">
        <v>21</v>
      </c>
      <c r="C117" s="772"/>
      <c r="D117" s="772"/>
      <c r="E117" s="772"/>
      <c r="F117" s="772"/>
      <c r="G117" s="772"/>
      <c r="H117" s="772"/>
      <c r="I117" s="772"/>
    </row>
    <row r="118" spans="1:13" x14ac:dyDescent="0.25">
      <c r="B118" s="772" t="s">
        <v>87</v>
      </c>
      <c r="C118" s="772"/>
      <c r="D118" s="772"/>
      <c r="E118" s="772"/>
      <c r="F118" s="772"/>
      <c r="G118" s="772"/>
      <c r="H118" s="772"/>
      <c r="I118" s="772"/>
    </row>
    <row r="119" spans="1:13" x14ac:dyDescent="0.25">
      <c r="B119" s="772" t="s">
        <v>88</v>
      </c>
      <c r="C119" s="772"/>
      <c r="D119" s="772"/>
      <c r="E119" s="772"/>
      <c r="F119" s="772"/>
      <c r="G119" s="772"/>
      <c r="H119" s="772"/>
      <c r="I119" s="772"/>
    </row>
    <row r="120" spans="1:13" x14ac:dyDescent="0.25">
      <c r="B120" s="775" t="str">
        <f>B5</f>
        <v>Base Period &amp; True-Up Period 12 - Months Ending December 31, 2019</v>
      </c>
      <c r="C120" s="775"/>
      <c r="D120" s="775"/>
      <c r="E120" s="775"/>
      <c r="F120" s="775"/>
      <c r="G120" s="775"/>
      <c r="H120" s="775"/>
      <c r="I120" s="775"/>
    </row>
    <row r="121" spans="1:13" x14ac:dyDescent="0.25">
      <c r="B121" s="774" t="s">
        <v>1</v>
      </c>
      <c r="C121" s="776"/>
      <c r="D121" s="776"/>
      <c r="E121" s="776"/>
      <c r="F121" s="776"/>
      <c r="G121" s="776"/>
      <c r="H121" s="776"/>
      <c r="I121" s="776"/>
    </row>
    <row r="123" spans="1:13" x14ac:dyDescent="0.25">
      <c r="A123" s="39" t="s">
        <v>2</v>
      </c>
      <c r="B123" s="387"/>
      <c r="C123" s="387"/>
      <c r="D123" s="387"/>
      <c r="E123" s="387"/>
      <c r="F123" s="387"/>
      <c r="G123" s="387"/>
      <c r="H123" s="387"/>
      <c r="I123" s="52"/>
      <c r="J123" s="39" t="s">
        <v>2</v>
      </c>
    </row>
    <row r="124" spans="1:13" x14ac:dyDescent="0.25">
      <c r="A124" s="39" t="s">
        <v>6</v>
      </c>
      <c r="B124" s="39"/>
      <c r="C124" s="39"/>
      <c r="D124" s="39"/>
      <c r="E124" s="39"/>
      <c r="F124" s="39"/>
      <c r="G124" s="328" t="s">
        <v>4</v>
      </c>
      <c r="H124" s="387"/>
      <c r="I124" s="364" t="s">
        <v>5</v>
      </c>
      <c r="J124" s="39" t="s">
        <v>6</v>
      </c>
    </row>
    <row r="126" spans="1:13" ht="18.75" x14ac:dyDescent="0.25">
      <c r="A126" s="39">
        <v>1</v>
      </c>
      <c r="B126" s="44" t="s">
        <v>273</v>
      </c>
      <c r="J126" s="39">
        <v>1</v>
      </c>
    </row>
    <row r="127" spans="1:13" x14ac:dyDescent="0.25">
      <c r="A127" s="39">
        <f>A126+1</f>
        <v>2</v>
      </c>
      <c r="B127" s="130"/>
      <c r="J127" s="39">
        <f>J126+1</f>
        <v>2</v>
      </c>
    </row>
    <row r="128" spans="1:13" x14ac:dyDescent="0.25">
      <c r="A128" s="39">
        <f>A127+1</f>
        <v>3</v>
      </c>
      <c r="B128" s="44" t="s">
        <v>270</v>
      </c>
      <c r="J128" s="39">
        <f>J127+1</f>
        <v>3</v>
      </c>
    </row>
    <row r="129" spans="1:10" x14ac:dyDescent="0.25">
      <c r="A129" s="39">
        <f>A128+1</f>
        <v>4</v>
      </c>
      <c r="B129" s="387"/>
      <c r="J129" s="39">
        <f>J128+1</f>
        <v>4</v>
      </c>
    </row>
    <row r="130" spans="1:10" x14ac:dyDescent="0.25">
      <c r="A130" s="39">
        <f t="shared" ref="A130:A156" si="4">A129+1</f>
        <v>5</v>
      </c>
      <c r="B130" s="46" t="s">
        <v>148</v>
      </c>
      <c r="J130" s="39">
        <f t="shared" ref="J130:J156" si="5">J129+1</f>
        <v>5</v>
      </c>
    </row>
    <row r="131" spans="1:10" x14ac:dyDescent="0.25">
      <c r="A131" s="39">
        <f t="shared" si="4"/>
        <v>6</v>
      </c>
      <c r="B131" s="40" t="str">
        <f>B85</f>
        <v xml:space="preserve">     A = Sum of Preferred Stock and Return on Equity Component</v>
      </c>
      <c r="G131" s="132">
        <f>G65</f>
        <v>0</v>
      </c>
      <c r="I131" s="52" t="str">
        <f>"AV1; Line "&amp;A65</f>
        <v>AV1; Line 55</v>
      </c>
      <c r="J131" s="39">
        <f t="shared" si="5"/>
        <v>6</v>
      </c>
    </row>
    <row r="132" spans="1:10" x14ac:dyDescent="0.25">
      <c r="A132" s="39">
        <f t="shared" si="4"/>
        <v>7</v>
      </c>
      <c r="B132" s="40" t="str">
        <f>B86</f>
        <v xml:space="preserve">     B = Transmission Total Federal Tax Adjustments</v>
      </c>
      <c r="G132" s="153">
        <v>0</v>
      </c>
      <c r="I132" s="127" t="s">
        <v>17</v>
      </c>
      <c r="J132" s="39">
        <f t="shared" si="5"/>
        <v>7</v>
      </c>
    </row>
    <row r="133" spans="1:10" x14ac:dyDescent="0.25">
      <c r="A133" s="39">
        <f t="shared" si="4"/>
        <v>8</v>
      </c>
      <c r="B133" s="40" t="s">
        <v>151</v>
      </c>
      <c r="G133" s="381">
        <v>0</v>
      </c>
      <c r="I133" s="127" t="s">
        <v>17</v>
      </c>
      <c r="J133" s="39">
        <f t="shared" si="5"/>
        <v>8</v>
      </c>
    </row>
    <row r="134" spans="1:10" x14ac:dyDescent="0.25">
      <c r="A134" s="39">
        <f t="shared" si="4"/>
        <v>9</v>
      </c>
      <c r="B134" s="40" t="s">
        <v>169</v>
      </c>
      <c r="G134" s="381">
        <v>0</v>
      </c>
      <c r="I134" s="127" t="s">
        <v>17</v>
      </c>
      <c r="J134" s="39">
        <f t="shared" si="5"/>
        <v>9</v>
      </c>
    </row>
    <row r="135" spans="1:10" x14ac:dyDescent="0.25">
      <c r="A135" s="39">
        <f t="shared" si="4"/>
        <v>10</v>
      </c>
      <c r="B135" s="40" t="str">
        <f>B89</f>
        <v xml:space="preserve">     FT = Federal Income Tax Rate for Rate Effective Period</v>
      </c>
      <c r="G135" s="382">
        <f>G89</f>
        <v>0.21</v>
      </c>
      <c r="I135" s="52" t="str">
        <f>"AV2; Line "&amp;A89</f>
        <v>AV2; Line 10</v>
      </c>
      <c r="J135" s="39">
        <f t="shared" si="5"/>
        <v>10</v>
      </c>
    </row>
    <row r="136" spans="1:10" x14ac:dyDescent="0.25">
      <c r="A136" s="39">
        <f t="shared" si="4"/>
        <v>11</v>
      </c>
      <c r="G136" s="39"/>
      <c r="J136" s="39">
        <f t="shared" si="5"/>
        <v>11</v>
      </c>
    </row>
    <row r="137" spans="1:10" x14ac:dyDescent="0.25">
      <c r="A137" s="39">
        <f t="shared" si="4"/>
        <v>12</v>
      </c>
      <c r="B137" s="40" t="s">
        <v>170</v>
      </c>
      <c r="G137" s="139">
        <f>IFERROR((((G131)+(G133/G134))*G135-(G132/G134))/(1-G135),0)</f>
        <v>0</v>
      </c>
      <c r="I137" s="52" t="s">
        <v>171</v>
      </c>
      <c r="J137" s="39">
        <f t="shared" si="5"/>
        <v>12</v>
      </c>
    </row>
    <row r="138" spans="1:10" x14ac:dyDescent="0.25">
      <c r="A138" s="39">
        <f t="shared" si="4"/>
        <v>13</v>
      </c>
      <c r="B138" s="141" t="s">
        <v>157</v>
      </c>
      <c r="G138" s="126"/>
      <c r="J138" s="39">
        <f t="shared" si="5"/>
        <v>13</v>
      </c>
    </row>
    <row r="139" spans="1:10" x14ac:dyDescent="0.25">
      <c r="A139" s="39">
        <f t="shared" si="4"/>
        <v>14</v>
      </c>
      <c r="G139" s="39"/>
      <c r="J139" s="39">
        <f t="shared" si="5"/>
        <v>14</v>
      </c>
    </row>
    <row r="140" spans="1:10" x14ac:dyDescent="0.25">
      <c r="A140" s="39">
        <f t="shared" si="4"/>
        <v>15</v>
      </c>
      <c r="B140" s="44" t="s">
        <v>158</v>
      </c>
      <c r="G140" s="142"/>
      <c r="I140" s="143"/>
      <c r="J140" s="39">
        <f t="shared" si="5"/>
        <v>15</v>
      </c>
    </row>
    <row r="141" spans="1:10" x14ac:dyDescent="0.25">
      <c r="A141" s="39">
        <f t="shared" si="4"/>
        <v>16</v>
      </c>
      <c r="B141" s="57"/>
      <c r="G141" s="142"/>
      <c r="I141" s="131"/>
      <c r="J141" s="39">
        <f t="shared" si="5"/>
        <v>16</v>
      </c>
    </row>
    <row r="142" spans="1:10" x14ac:dyDescent="0.25">
      <c r="A142" s="39">
        <f t="shared" si="4"/>
        <v>17</v>
      </c>
      <c r="B142" s="46" t="s">
        <v>148</v>
      </c>
      <c r="G142" s="142"/>
      <c r="I142" s="131"/>
      <c r="J142" s="39">
        <f t="shared" si="5"/>
        <v>17</v>
      </c>
    </row>
    <row r="143" spans="1:10" x14ac:dyDescent="0.25">
      <c r="A143" s="39">
        <f t="shared" si="4"/>
        <v>18</v>
      </c>
      <c r="B143" s="40" t="str">
        <f>B97</f>
        <v xml:space="preserve">     A = Sum of Preferred Stock and Return on Equity Component</v>
      </c>
      <c r="G143" s="118">
        <f>G131</f>
        <v>0</v>
      </c>
      <c r="I143" s="52" t="str">
        <f>"Line "&amp;A131&amp;" Above"</f>
        <v>Line 6 Above</v>
      </c>
      <c r="J143" s="39">
        <f t="shared" si="5"/>
        <v>18</v>
      </c>
    </row>
    <row r="144" spans="1:10" x14ac:dyDescent="0.25">
      <c r="A144" s="39">
        <f t="shared" si="4"/>
        <v>19</v>
      </c>
      <c r="B144" s="40" t="str">
        <f>B98</f>
        <v xml:space="preserve">     B = Equity AFUDC Component of Transmission Depreciation Expense</v>
      </c>
      <c r="G144" s="146">
        <f>G133</f>
        <v>0</v>
      </c>
      <c r="I144" s="52" t="str">
        <f>"Line "&amp;A133&amp;" Above"</f>
        <v>Line 8 Above</v>
      </c>
      <c r="J144" s="39">
        <f t="shared" si="5"/>
        <v>19</v>
      </c>
    </row>
    <row r="145" spans="1:10" x14ac:dyDescent="0.25">
      <c r="A145" s="39">
        <f t="shared" si="4"/>
        <v>20</v>
      </c>
      <c r="B145" s="40" t="s">
        <v>172</v>
      </c>
      <c r="G145" s="146">
        <f>G134</f>
        <v>0</v>
      </c>
      <c r="I145" s="52" t="str">
        <f>"Line "&amp;A134&amp;" Above"</f>
        <v>Line 9 Above</v>
      </c>
      <c r="J145" s="39">
        <f t="shared" si="5"/>
        <v>20</v>
      </c>
    </row>
    <row r="146" spans="1:10" x14ac:dyDescent="0.25">
      <c r="A146" s="39">
        <f t="shared" si="4"/>
        <v>21</v>
      </c>
      <c r="B146" s="40" t="str">
        <f>B100</f>
        <v xml:space="preserve">     FT = Federal Income Tax Expense</v>
      </c>
      <c r="G146" s="148">
        <f>G137</f>
        <v>0</v>
      </c>
      <c r="I146" s="52" t="str">
        <f>"Line "&amp;A137&amp;" Above"</f>
        <v>Line 12 Above</v>
      </c>
      <c r="J146" s="39">
        <f t="shared" si="5"/>
        <v>21</v>
      </c>
    </row>
    <row r="147" spans="1:10" x14ac:dyDescent="0.25">
      <c r="A147" s="39">
        <f t="shared" si="4"/>
        <v>22</v>
      </c>
      <c r="B147" s="40" t="str">
        <f>B101</f>
        <v xml:space="preserve">     ST = State Income Tax Rate for Rate Effective Period</v>
      </c>
      <c r="G147" s="383">
        <f>G101</f>
        <v>8.8400000000000006E-2</v>
      </c>
      <c r="I147" s="52" t="str">
        <f>"AV2; Line "&amp;A101</f>
        <v>AV2; Line 22</v>
      </c>
      <c r="J147" s="39">
        <f t="shared" si="5"/>
        <v>22</v>
      </c>
    </row>
    <row r="148" spans="1:10" x14ac:dyDescent="0.25">
      <c r="A148" s="39">
        <f t="shared" si="4"/>
        <v>23</v>
      </c>
      <c r="B148" s="388"/>
      <c r="G148" s="149"/>
      <c r="I148" s="145"/>
      <c r="J148" s="39">
        <f t="shared" si="5"/>
        <v>23</v>
      </c>
    </row>
    <row r="149" spans="1:10" x14ac:dyDescent="0.25">
      <c r="A149" s="39">
        <f t="shared" si="4"/>
        <v>24</v>
      </c>
      <c r="B149" s="40" t="s">
        <v>164</v>
      </c>
      <c r="G149" s="377">
        <f>IFERROR(((G143)+(G144/G145)+G137)*G147/(1-G147),0)</f>
        <v>0</v>
      </c>
      <c r="I149" s="52" t="s">
        <v>165</v>
      </c>
      <c r="J149" s="39">
        <f t="shared" si="5"/>
        <v>24</v>
      </c>
    </row>
    <row r="150" spans="1:10" x14ac:dyDescent="0.25">
      <c r="A150" s="39">
        <f t="shared" si="4"/>
        <v>25</v>
      </c>
      <c r="B150" s="141" t="s">
        <v>166</v>
      </c>
      <c r="G150" s="39"/>
      <c r="I150" s="52"/>
      <c r="J150" s="39">
        <f t="shared" si="5"/>
        <v>25</v>
      </c>
    </row>
    <row r="151" spans="1:10" x14ac:dyDescent="0.25">
      <c r="A151" s="39">
        <f t="shared" si="4"/>
        <v>26</v>
      </c>
      <c r="G151" s="39"/>
      <c r="I151" s="52"/>
      <c r="J151" s="39">
        <f t="shared" si="5"/>
        <v>26</v>
      </c>
    </row>
    <row r="152" spans="1:10" x14ac:dyDescent="0.25">
      <c r="A152" s="39">
        <f t="shared" si="4"/>
        <v>27</v>
      </c>
      <c r="B152" s="44" t="s">
        <v>167</v>
      </c>
      <c r="G152" s="139">
        <f>G149+G137</f>
        <v>0</v>
      </c>
      <c r="I152" s="52" t="str">
        <f>"Line "&amp;A137&amp;" + Line "&amp;A149</f>
        <v>Line 12 + Line 24</v>
      </c>
      <c r="J152" s="39">
        <f t="shared" si="5"/>
        <v>27</v>
      </c>
    </row>
    <row r="153" spans="1:10" x14ac:dyDescent="0.25">
      <c r="A153" s="39">
        <f t="shared" si="4"/>
        <v>28</v>
      </c>
      <c r="G153" s="39"/>
      <c r="I153" s="52"/>
      <c r="J153" s="39">
        <f t="shared" si="5"/>
        <v>28</v>
      </c>
    </row>
    <row r="154" spans="1:10" x14ac:dyDescent="0.25">
      <c r="A154" s="39">
        <f t="shared" si="4"/>
        <v>29</v>
      </c>
      <c r="B154" s="44" t="s">
        <v>173</v>
      </c>
      <c r="G154" s="384">
        <f>G63</f>
        <v>0</v>
      </c>
      <c r="I154" s="52" t="str">
        <f>"AV1; Line "&amp;A63</f>
        <v>AV1; Line 53</v>
      </c>
      <c r="J154" s="39">
        <f t="shared" si="5"/>
        <v>29</v>
      </c>
    </row>
    <row r="155" spans="1:10" x14ac:dyDescent="0.25">
      <c r="A155" s="39">
        <f t="shared" si="4"/>
        <v>30</v>
      </c>
      <c r="G155" s="39"/>
      <c r="I155" s="52"/>
      <c r="J155" s="39">
        <f t="shared" si="5"/>
        <v>30</v>
      </c>
    </row>
    <row r="156" spans="1:10" ht="19.5" thickBot="1" x14ac:dyDescent="0.3">
      <c r="A156" s="39">
        <f t="shared" si="4"/>
        <v>31</v>
      </c>
      <c r="B156" s="44" t="s">
        <v>274</v>
      </c>
      <c r="G156" s="157">
        <f>G152+G154</f>
        <v>0</v>
      </c>
      <c r="I156" s="52" t="str">
        <f>"Line "&amp;A152&amp;" + Line "&amp;A154</f>
        <v>Line 27 + Line 29</v>
      </c>
      <c r="J156" s="39">
        <f t="shared" si="5"/>
        <v>31</v>
      </c>
    </row>
    <row r="157" spans="1:10" ht="16.5" thickTop="1" x14ac:dyDescent="0.25"/>
    <row r="159" spans="1:10" ht="18.75" x14ac:dyDescent="0.25">
      <c r="A159" s="71"/>
      <c r="B159" s="20"/>
    </row>
  </sheetData>
  <mergeCells count="15">
    <mergeCell ref="B71:I71"/>
    <mergeCell ref="B2:I2"/>
    <mergeCell ref="B3:I3"/>
    <mergeCell ref="B4:I4"/>
    <mergeCell ref="B5:I5"/>
    <mergeCell ref="B6:I6"/>
    <mergeCell ref="B119:I119"/>
    <mergeCell ref="B120:I120"/>
    <mergeCell ref="B121:I121"/>
    <mergeCell ref="B72:I72"/>
    <mergeCell ref="B73:I73"/>
    <mergeCell ref="B74:I74"/>
    <mergeCell ref="B75:I75"/>
    <mergeCell ref="B117:I117"/>
    <mergeCell ref="B118:I118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10.&amp;P&amp;R&amp;A</oddFooter>
  </headerFooter>
  <rowBreaks count="2" manualBreakCount="2">
    <brk id="69" max="16383" man="1"/>
    <brk id="115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59"/>
  <sheetViews>
    <sheetView zoomScale="80" zoomScaleNormal="80" workbookViewId="0"/>
  </sheetViews>
  <sheetFormatPr defaultColWidth="8.85546875" defaultRowHeight="15.75" x14ac:dyDescent="0.25"/>
  <cols>
    <col min="1" max="1" width="5.28515625" style="39" customWidth="1"/>
    <col min="2" max="2" width="55.42578125" style="40" customWidth="1"/>
    <col min="3" max="5" width="15.5703125" style="40" customWidth="1"/>
    <col min="6" max="6" width="1.5703125" style="40" customWidth="1"/>
    <col min="7" max="7" width="16.85546875" style="40" customWidth="1"/>
    <col min="8" max="8" width="1.5703125" style="40" customWidth="1"/>
    <col min="9" max="9" width="38.7109375" style="103" customWidth="1"/>
    <col min="10" max="10" width="5.28515625" style="40" customWidth="1"/>
    <col min="11" max="11" width="27" style="40" bestFit="1" customWidth="1"/>
    <col min="12" max="12" width="15" style="40" bestFit="1" customWidth="1"/>
    <col min="13" max="13" width="10.42578125" style="40" bestFit="1" customWidth="1"/>
    <col min="14" max="16384" width="8.85546875" style="40"/>
  </cols>
  <sheetData>
    <row r="1" spans="1:10" x14ac:dyDescent="0.25">
      <c r="A1" s="702" t="s">
        <v>610</v>
      </c>
    </row>
    <row r="2" spans="1:10" x14ac:dyDescent="0.25">
      <c r="A2" s="363"/>
      <c r="G2" s="67"/>
      <c r="H2" s="67"/>
      <c r="I2" s="127"/>
      <c r="J2" s="39"/>
    </row>
    <row r="3" spans="1:10" x14ac:dyDescent="0.25">
      <c r="B3" s="772" t="s">
        <v>267</v>
      </c>
      <c r="C3" s="772"/>
      <c r="D3" s="772"/>
      <c r="E3" s="772"/>
      <c r="F3" s="772"/>
      <c r="G3" s="772"/>
      <c r="H3" s="772"/>
      <c r="I3" s="772"/>
      <c r="J3" s="39"/>
    </row>
    <row r="4" spans="1:10" x14ac:dyDescent="0.25">
      <c r="B4" s="772" t="s">
        <v>87</v>
      </c>
      <c r="C4" s="772"/>
      <c r="D4" s="772"/>
      <c r="E4" s="772"/>
      <c r="F4" s="772"/>
      <c r="G4" s="772"/>
      <c r="H4" s="772"/>
      <c r="I4" s="772"/>
      <c r="J4" s="39"/>
    </row>
    <row r="5" spans="1:10" x14ac:dyDescent="0.25">
      <c r="B5" s="772" t="s">
        <v>88</v>
      </c>
      <c r="C5" s="772"/>
      <c r="D5" s="772"/>
      <c r="E5" s="772"/>
      <c r="F5" s="772"/>
      <c r="G5" s="772"/>
      <c r="H5" s="772"/>
      <c r="I5" s="772"/>
      <c r="J5" s="39"/>
    </row>
    <row r="6" spans="1:10" x14ac:dyDescent="0.25">
      <c r="B6" s="775" t="s">
        <v>457</v>
      </c>
      <c r="C6" s="775"/>
      <c r="D6" s="775"/>
      <c r="E6" s="775"/>
      <c r="F6" s="775"/>
      <c r="G6" s="775"/>
      <c r="H6" s="775"/>
      <c r="I6" s="775"/>
      <c r="J6" s="39"/>
    </row>
    <row r="7" spans="1:10" x14ac:dyDescent="0.25">
      <c r="B7" s="774" t="s">
        <v>1</v>
      </c>
      <c r="C7" s="776"/>
      <c r="D7" s="776"/>
      <c r="E7" s="776"/>
      <c r="F7" s="776"/>
      <c r="G7" s="776"/>
      <c r="H7" s="776"/>
      <c r="I7" s="776"/>
      <c r="J7" s="39"/>
    </row>
    <row r="8" spans="1:10" x14ac:dyDescent="0.25">
      <c r="B8" s="39"/>
      <c r="C8" s="39"/>
      <c r="D8" s="39"/>
      <c r="E8" s="39"/>
      <c r="F8" s="39"/>
      <c r="G8" s="39"/>
      <c r="H8" s="39"/>
      <c r="I8" s="52"/>
      <c r="J8" s="39"/>
    </row>
    <row r="9" spans="1:10" x14ac:dyDescent="0.25">
      <c r="A9" s="39" t="s">
        <v>2</v>
      </c>
      <c r="B9" s="387"/>
      <c r="C9" s="387"/>
      <c r="D9" s="387"/>
      <c r="E9" s="39" t="s">
        <v>24</v>
      </c>
      <c r="F9" s="387"/>
      <c r="G9" s="387"/>
      <c r="H9" s="387"/>
      <c r="I9" s="52"/>
      <c r="J9" s="39" t="s">
        <v>2</v>
      </c>
    </row>
    <row r="10" spans="1:10" x14ac:dyDescent="0.25">
      <c r="A10" s="39" t="s">
        <v>6</v>
      </c>
      <c r="B10" s="39"/>
      <c r="C10" s="39"/>
      <c r="D10" s="39"/>
      <c r="E10" s="328" t="s">
        <v>25</v>
      </c>
      <c r="F10" s="39"/>
      <c r="G10" s="329" t="s">
        <v>4</v>
      </c>
      <c r="H10" s="387"/>
      <c r="I10" s="364" t="s">
        <v>5</v>
      </c>
      <c r="J10" s="39" t="s">
        <v>6</v>
      </c>
    </row>
    <row r="11" spans="1:10" x14ac:dyDescent="0.25">
      <c r="B11" s="39"/>
      <c r="C11" s="39"/>
      <c r="D11" s="39"/>
      <c r="E11" s="39"/>
      <c r="F11" s="39"/>
      <c r="G11" s="39"/>
      <c r="H11" s="39"/>
      <c r="I11" s="52"/>
      <c r="J11" s="39"/>
    </row>
    <row r="12" spans="1:10" x14ac:dyDescent="0.25">
      <c r="A12" s="39">
        <v>1</v>
      </c>
      <c r="B12" s="44" t="s">
        <v>89</v>
      </c>
      <c r="I12" s="52"/>
      <c r="J12" s="39">
        <f>A12</f>
        <v>1</v>
      </c>
    </row>
    <row r="13" spans="1:10" x14ac:dyDescent="0.25">
      <c r="A13" s="39">
        <f>A12+1</f>
        <v>2</v>
      </c>
      <c r="B13" s="40" t="s">
        <v>90</v>
      </c>
      <c r="E13" s="39" t="s">
        <v>91</v>
      </c>
      <c r="G13" s="104">
        <v>5140552</v>
      </c>
      <c r="H13" s="387"/>
      <c r="I13" s="107"/>
      <c r="J13" s="39">
        <f>J12+1</f>
        <v>2</v>
      </c>
    </row>
    <row r="14" spans="1:10" x14ac:dyDescent="0.25">
      <c r="A14" s="39">
        <f t="shared" ref="A14:A66" si="0">A13+1</f>
        <v>3</v>
      </c>
      <c r="B14" s="40" t="s">
        <v>92</v>
      </c>
      <c r="E14" s="39" t="s">
        <v>93</v>
      </c>
      <c r="G14" s="105">
        <v>0</v>
      </c>
      <c r="H14" s="387"/>
      <c r="I14" s="107"/>
      <c r="J14" s="39">
        <f t="shared" ref="J14:J66" si="1">J13+1</f>
        <v>3</v>
      </c>
    </row>
    <row r="15" spans="1:10" x14ac:dyDescent="0.25">
      <c r="A15" s="39">
        <f t="shared" si="0"/>
        <v>4</v>
      </c>
      <c r="B15" s="40" t="s">
        <v>94</v>
      </c>
      <c r="E15" s="39" t="s">
        <v>95</v>
      </c>
      <c r="G15" s="105">
        <v>0</v>
      </c>
      <c r="H15" s="387"/>
      <c r="I15" s="107"/>
      <c r="J15" s="39">
        <f t="shared" si="1"/>
        <v>4</v>
      </c>
    </row>
    <row r="16" spans="1:10" x14ac:dyDescent="0.25">
      <c r="A16" s="39">
        <f t="shared" si="0"/>
        <v>5</v>
      </c>
      <c r="B16" s="40" t="s">
        <v>96</v>
      </c>
      <c r="E16" s="39" t="s">
        <v>97</v>
      </c>
      <c r="G16" s="105">
        <v>0</v>
      </c>
      <c r="H16" s="387"/>
      <c r="I16" s="107"/>
      <c r="J16" s="39">
        <f t="shared" si="1"/>
        <v>5</v>
      </c>
    </row>
    <row r="17" spans="1:10" x14ac:dyDescent="0.25">
      <c r="A17" s="39">
        <f t="shared" si="0"/>
        <v>6</v>
      </c>
      <c r="B17" s="40" t="s">
        <v>98</v>
      </c>
      <c r="E17" s="39" t="s">
        <v>99</v>
      </c>
      <c r="G17" s="105">
        <v>-12166.400009999999</v>
      </c>
      <c r="H17" s="387"/>
      <c r="I17" s="107"/>
      <c r="J17" s="39">
        <f t="shared" si="1"/>
        <v>6</v>
      </c>
    </row>
    <row r="18" spans="1:10" x14ac:dyDescent="0.25">
      <c r="A18" s="39">
        <f t="shared" si="0"/>
        <v>7</v>
      </c>
      <c r="B18" s="40" t="s">
        <v>100</v>
      </c>
      <c r="G18" s="106">
        <f>SUM(G13:G17)</f>
        <v>5128385.59999</v>
      </c>
      <c r="H18" s="100"/>
      <c r="I18" s="52" t="str">
        <f>"Sum Lines "&amp;A13&amp;" thru "&amp;A17</f>
        <v>Sum Lines 2 thru 6</v>
      </c>
      <c r="J18" s="39">
        <f t="shared" si="1"/>
        <v>7</v>
      </c>
    </row>
    <row r="19" spans="1:10" x14ac:dyDescent="0.25">
      <c r="A19" s="39">
        <f t="shared" si="0"/>
        <v>8</v>
      </c>
      <c r="I19" s="52"/>
      <c r="J19" s="39">
        <f t="shared" si="1"/>
        <v>8</v>
      </c>
    </row>
    <row r="20" spans="1:10" x14ac:dyDescent="0.25">
      <c r="A20" s="39">
        <f t="shared" si="0"/>
        <v>9</v>
      </c>
      <c r="B20" s="44" t="s">
        <v>101</v>
      </c>
      <c r="G20" s="38"/>
      <c r="H20" s="38"/>
      <c r="I20" s="52"/>
      <c r="J20" s="39">
        <f t="shared" si="1"/>
        <v>9</v>
      </c>
    </row>
    <row r="21" spans="1:10" x14ac:dyDescent="0.25">
      <c r="A21" s="39">
        <f t="shared" si="0"/>
        <v>10</v>
      </c>
      <c r="B21" s="40" t="s">
        <v>102</v>
      </c>
      <c r="E21" s="39" t="s">
        <v>103</v>
      </c>
      <c r="G21" s="104">
        <v>213846.54399999999</v>
      </c>
      <c r="H21" s="387"/>
      <c r="I21" s="107"/>
      <c r="J21" s="39">
        <f t="shared" si="1"/>
        <v>10</v>
      </c>
    </row>
    <row r="22" spans="1:10" x14ac:dyDescent="0.25">
      <c r="A22" s="39">
        <f t="shared" si="0"/>
        <v>11</v>
      </c>
      <c r="B22" s="40" t="s">
        <v>104</v>
      </c>
      <c r="E22" s="39" t="s">
        <v>105</v>
      </c>
      <c r="G22" s="105">
        <v>3709.4806400000002</v>
      </c>
      <c r="H22" s="387"/>
      <c r="I22" s="107"/>
      <c r="J22" s="39">
        <f t="shared" si="1"/>
        <v>11</v>
      </c>
    </row>
    <row r="23" spans="1:10" x14ac:dyDescent="0.25">
      <c r="A23" s="39">
        <f t="shared" si="0"/>
        <v>12</v>
      </c>
      <c r="B23" s="40" t="s">
        <v>106</v>
      </c>
      <c r="E23" s="39" t="s">
        <v>107</v>
      </c>
      <c r="G23" s="105">
        <v>1831.0913999999998</v>
      </c>
      <c r="H23" s="387"/>
      <c r="I23" s="107"/>
      <c r="J23" s="39">
        <f t="shared" si="1"/>
        <v>12</v>
      </c>
    </row>
    <row r="24" spans="1:10" x14ac:dyDescent="0.25">
      <c r="A24" s="39">
        <f t="shared" si="0"/>
        <v>13</v>
      </c>
      <c r="B24" s="40" t="s">
        <v>108</v>
      </c>
      <c r="E24" s="39" t="s">
        <v>109</v>
      </c>
      <c r="G24" s="105">
        <v>0</v>
      </c>
      <c r="H24" s="387"/>
      <c r="I24" s="107"/>
      <c r="J24" s="39">
        <f t="shared" si="1"/>
        <v>13</v>
      </c>
    </row>
    <row r="25" spans="1:10" x14ac:dyDescent="0.25">
      <c r="A25" s="39">
        <f t="shared" si="0"/>
        <v>14</v>
      </c>
      <c r="B25" s="40" t="s">
        <v>110</v>
      </c>
      <c r="E25" s="39" t="s">
        <v>111</v>
      </c>
      <c r="G25" s="105">
        <v>0</v>
      </c>
      <c r="H25" s="387"/>
      <c r="I25" s="107"/>
      <c r="J25" s="39">
        <f t="shared" si="1"/>
        <v>14</v>
      </c>
    </row>
    <row r="26" spans="1:10" x14ac:dyDescent="0.25">
      <c r="A26" s="39">
        <f t="shared" si="0"/>
        <v>15</v>
      </c>
      <c r="B26" s="40" t="s">
        <v>112</v>
      </c>
      <c r="G26" s="108">
        <f>SUM(G21:G25)</f>
        <v>219387.11603999999</v>
      </c>
      <c r="H26" s="109"/>
      <c r="I26" s="52" t="str">
        <f>"Sum Lines "&amp;A21&amp;" thru "&amp;A25</f>
        <v>Sum Lines 10 thru 14</v>
      </c>
      <c r="J26" s="39">
        <f t="shared" si="1"/>
        <v>15</v>
      </c>
    </row>
    <row r="27" spans="1:10" x14ac:dyDescent="0.25">
      <c r="A27" s="39">
        <f t="shared" si="0"/>
        <v>16</v>
      </c>
      <c r="I27" s="52"/>
      <c r="J27" s="39">
        <f t="shared" si="1"/>
        <v>16</v>
      </c>
    </row>
    <row r="28" spans="1:10" ht="16.5" thickBot="1" x14ac:dyDescent="0.3">
      <c r="A28" s="39">
        <f t="shared" si="0"/>
        <v>17</v>
      </c>
      <c r="B28" s="44" t="s">
        <v>113</v>
      </c>
      <c r="G28" s="110">
        <f>G26/G18</f>
        <v>4.2778982149943599E-2</v>
      </c>
      <c r="H28" s="111"/>
      <c r="I28" s="52" t="str">
        <f>"Line "&amp;A26&amp;" / Line "&amp;A18</f>
        <v>Line 15 / Line 7</v>
      </c>
      <c r="J28" s="39">
        <f t="shared" si="1"/>
        <v>17</v>
      </c>
    </row>
    <row r="29" spans="1:10" ht="16.5" thickTop="1" x14ac:dyDescent="0.25">
      <c r="A29" s="39">
        <f t="shared" si="0"/>
        <v>18</v>
      </c>
      <c r="I29" s="52"/>
      <c r="J29" s="39">
        <f t="shared" si="1"/>
        <v>18</v>
      </c>
    </row>
    <row r="30" spans="1:10" x14ac:dyDescent="0.25">
      <c r="A30" s="39">
        <f t="shared" si="0"/>
        <v>19</v>
      </c>
      <c r="B30" s="44" t="s">
        <v>114</v>
      </c>
      <c r="I30" s="52"/>
      <c r="J30" s="39">
        <f t="shared" si="1"/>
        <v>19</v>
      </c>
    </row>
    <row r="31" spans="1:10" x14ac:dyDescent="0.25">
      <c r="A31" s="39">
        <f t="shared" si="0"/>
        <v>20</v>
      </c>
      <c r="B31" s="40" t="s">
        <v>115</v>
      </c>
      <c r="E31" s="39" t="s">
        <v>116</v>
      </c>
      <c r="G31" s="104">
        <v>0</v>
      </c>
      <c r="H31" s="387"/>
      <c r="I31" s="107"/>
      <c r="J31" s="39">
        <f t="shared" si="1"/>
        <v>20</v>
      </c>
    </row>
    <row r="32" spans="1:10" x14ac:dyDescent="0.25">
      <c r="A32" s="39">
        <f t="shared" si="0"/>
        <v>21</v>
      </c>
      <c r="B32" s="40" t="s">
        <v>117</v>
      </c>
      <c r="E32" s="39" t="s">
        <v>118</v>
      </c>
      <c r="G32" s="365">
        <v>0</v>
      </c>
      <c r="H32" s="387"/>
      <c r="I32" s="107"/>
      <c r="J32" s="39">
        <f t="shared" si="1"/>
        <v>21</v>
      </c>
    </row>
    <row r="33" spans="1:12" ht="16.5" thickBot="1" x14ac:dyDescent="0.3">
      <c r="A33" s="39">
        <f t="shared" si="0"/>
        <v>22</v>
      </c>
      <c r="B33" s="40" t="s">
        <v>119</v>
      </c>
      <c r="G33" s="110">
        <f>IFERROR((G32/G31),0)</f>
        <v>0</v>
      </c>
      <c r="H33" s="111"/>
      <c r="I33" s="52" t="str">
        <f>"Line "&amp;A32&amp;" / Line "&amp;A31</f>
        <v>Line 21 / Line 20</v>
      </c>
      <c r="J33" s="39">
        <f t="shared" si="1"/>
        <v>22</v>
      </c>
    </row>
    <row r="34" spans="1:12" ht="16.5" thickTop="1" x14ac:dyDescent="0.25">
      <c r="A34" s="39">
        <f t="shared" si="0"/>
        <v>23</v>
      </c>
      <c r="I34" s="52"/>
      <c r="J34" s="39">
        <f t="shared" si="1"/>
        <v>23</v>
      </c>
    </row>
    <row r="35" spans="1:12" x14ac:dyDescent="0.25">
      <c r="A35" s="39">
        <f t="shared" si="0"/>
        <v>24</v>
      </c>
      <c r="B35" s="44" t="s">
        <v>120</v>
      </c>
      <c r="I35" s="52"/>
      <c r="J35" s="39">
        <f t="shared" si="1"/>
        <v>24</v>
      </c>
    </row>
    <row r="36" spans="1:12" x14ac:dyDescent="0.25">
      <c r="A36" s="39">
        <f t="shared" si="0"/>
        <v>25</v>
      </c>
      <c r="B36" s="40" t="s">
        <v>121</v>
      </c>
      <c r="E36" s="39" t="s">
        <v>122</v>
      </c>
      <c r="G36" s="104">
        <v>7099080.8731300002</v>
      </c>
      <c r="H36" s="387"/>
      <c r="I36" s="107"/>
      <c r="J36" s="39">
        <f t="shared" si="1"/>
        <v>25</v>
      </c>
      <c r="K36" s="47"/>
      <c r="L36" s="366"/>
    </row>
    <row r="37" spans="1:12" x14ac:dyDescent="0.25">
      <c r="A37" s="39">
        <f t="shared" si="0"/>
        <v>26</v>
      </c>
      <c r="B37" s="40" t="s">
        <v>123</v>
      </c>
      <c r="E37" s="39" t="s">
        <v>116</v>
      </c>
      <c r="G37" s="112">
        <v>0</v>
      </c>
      <c r="H37" s="112"/>
      <c r="I37" s="52" t="str">
        <f>"Negative of Line "&amp;A31&amp;" Above"</f>
        <v>Negative of Line 20 Above</v>
      </c>
      <c r="J37" s="39">
        <f t="shared" si="1"/>
        <v>26</v>
      </c>
    </row>
    <row r="38" spans="1:12" x14ac:dyDescent="0.25">
      <c r="A38" s="39">
        <f t="shared" si="0"/>
        <v>27</v>
      </c>
      <c r="B38" s="40" t="s">
        <v>124</v>
      </c>
      <c r="E38" s="39" t="s">
        <v>125</v>
      </c>
      <c r="G38" s="105">
        <v>0</v>
      </c>
      <c r="H38" s="387"/>
      <c r="I38" s="107"/>
      <c r="J38" s="39">
        <f t="shared" si="1"/>
        <v>27</v>
      </c>
    </row>
    <row r="39" spans="1:12" x14ac:dyDescent="0.25">
      <c r="A39" s="39">
        <f t="shared" si="0"/>
        <v>28</v>
      </c>
      <c r="B39" s="40" t="s">
        <v>126</v>
      </c>
      <c r="E39" s="39" t="s">
        <v>127</v>
      </c>
      <c r="G39" s="105">
        <v>15874.048050000001</v>
      </c>
      <c r="H39" s="387"/>
      <c r="I39" s="107"/>
      <c r="J39" s="39">
        <f t="shared" si="1"/>
        <v>28</v>
      </c>
    </row>
    <row r="40" spans="1:12" ht="16.5" thickBot="1" x14ac:dyDescent="0.3">
      <c r="A40" s="39">
        <f t="shared" si="0"/>
        <v>29</v>
      </c>
      <c r="B40" s="40" t="s">
        <v>128</v>
      </c>
      <c r="G40" s="113">
        <f>SUM(G36:G39)</f>
        <v>7114954.9211800005</v>
      </c>
      <c r="H40" s="114"/>
      <c r="I40" s="52" t="str">
        <f>"Sum Lines "&amp;A36&amp;" thru "&amp;A39</f>
        <v>Sum Lines 25 thru 28</v>
      </c>
      <c r="J40" s="39">
        <f t="shared" si="1"/>
        <v>29</v>
      </c>
    </row>
    <row r="41" spans="1:12" ht="17.25" thickTop="1" thickBot="1" x14ac:dyDescent="0.3">
      <c r="A41" s="115">
        <f t="shared" si="0"/>
        <v>30</v>
      </c>
      <c r="B41" s="86"/>
      <c r="C41" s="86"/>
      <c r="D41" s="86"/>
      <c r="E41" s="86"/>
      <c r="F41" s="86"/>
      <c r="G41" s="86"/>
      <c r="H41" s="86"/>
      <c r="I41" s="116"/>
      <c r="J41" s="115">
        <f t="shared" si="1"/>
        <v>30</v>
      </c>
    </row>
    <row r="42" spans="1:12" x14ac:dyDescent="0.25">
      <c r="A42" s="39">
        <f>A41+1</f>
        <v>31</v>
      </c>
      <c r="I42" s="52"/>
      <c r="J42" s="39">
        <f>J41+1</f>
        <v>31</v>
      </c>
    </row>
    <row r="43" spans="1:12" ht="16.5" thickBot="1" x14ac:dyDescent="0.3">
      <c r="A43" s="39">
        <f>A42+1</f>
        <v>32</v>
      </c>
      <c r="B43" s="44" t="s">
        <v>280</v>
      </c>
      <c r="G43" s="117">
        <v>0.106</v>
      </c>
      <c r="H43" s="387"/>
      <c r="I43" s="39" t="s">
        <v>129</v>
      </c>
      <c r="J43" s="39">
        <f>J42+1</f>
        <v>32</v>
      </c>
    </row>
    <row r="44" spans="1:12" ht="16.5" thickTop="1" x14ac:dyDescent="0.25">
      <c r="A44" s="39">
        <f t="shared" si="0"/>
        <v>33</v>
      </c>
      <c r="C44" s="72" t="s">
        <v>10</v>
      </c>
      <c r="D44" s="72" t="s">
        <v>53</v>
      </c>
      <c r="E44" s="72" t="s">
        <v>130</v>
      </c>
      <c r="F44" s="72"/>
      <c r="G44" s="72" t="s">
        <v>131</v>
      </c>
      <c r="H44" s="72"/>
      <c r="I44" s="52"/>
      <c r="J44" s="39">
        <f t="shared" si="1"/>
        <v>33</v>
      </c>
    </row>
    <row r="45" spans="1:12" x14ac:dyDescent="0.25">
      <c r="A45" s="39">
        <f t="shared" si="0"/>
        <v>34</v>
      </c>
      <c r="D45" s="39" t="s">
        <v>132</v>
      </c>
      <c r="E45" s="39" t="s">
        <v>133</v>
      </c>
      <c r="F45" s="39"/>
      <c r="G45" s="39" t="s">
        <v>134</v>
      </c>
      <c r="H45" s="39"/>
      <c r="I45" s="52"/>
      <c r="J45" s="39">
        <f t="shared" si="1"/>
        <v>34</v>
      </c>
    </row>
    <row r="46" spans="1:12" ht="18.75" x14ac:dyDescent="0.25">
      <c r="A46" s="39">
        <f t="shared" si="0"/>
        <v>35</v>
      </c>
      <c r="B46" s="44" t="s">
        <v>135</v>
      </c>
      <c r="C46" s="328" t="s">
        <v>136</v>
      </c>
      <c r="D46" s="328" t="s">
        <v>137</v>
      </c>
      <c r="E46" s="328" t="s">
        <v>138</v>
      </c>
      <c r="F46" s="328"/>
      <c r="G46" s="328" t="s">
        <v>139</v>
      </c>
      <c r="H46" s="39"/>
      <c r="I46" s="52"/>
      <c r="J46" s="39">
        <f t="shared" si="1"/>
        <v>35</v>
      </c>
    </row>
    <row r="47" spans="1:12" x14ac:dyDescent="0.25">
      <c r="A47" s="39">
        <f t="shared" si="0"/>
        <v>36</v>
      </c>
      <c r="I47" s="52"/>
      <c r="J47" s="39">
        <f t="shared" si="1"/>
        <v>36</v>
      </c>
    </row>
    <row r="48" spans="1:12" x14ac:dyDescent="0.25">
      <c r="A48" s="39">
        <f t="shared" si="0"/>
        <v>37</v>
      </c>
      <c r="B48" s="40" t="s">
        <v>140</v>
      </c>
      <c r="C48" s="64">
        <f>G18</f>
        <v>5128385.59999</v>
      </c>
      <c r="D48" s="118">
        <f>C48/C$51</f>
        <v>0.41887143391319476</v>
      </c>
      <c r="E48" s="119">
        <f>G28</f>
        <v>4.2778982149943599E-2</v>
      </c>
      <c r="G48" s="120">
        <f>D48*E48</f>
        <v>1.7918893594493838E-2</v>
      </c>
      <c r="H48" s="120"/>
      <c r="I48" s="52" t="str">
        <f>"Col. c = Line "&amp;A28&amp;" Above"</f>
        <v>Col. c = Line 17 Above</v>
      </c>
      <c r="J48" s="39">
        <f t="shared" si="1"/>
        <v>37</v>
      </c>
    </row>
    <row r="49" spans="1:10" x14ac:dyDescent="0.25">
      <c r="A49" s="39">
        <f t="shared" si="0"/>
        <v>38</v>
      </c>
      <c r="B49" s="40" t="s">
        <v>141</v>
      </c>
      <c r="C49" s="121">
        <f>G31</f>
        <v>0</v>
      </c>
      <c r="D49" s="118">
        <f>C49/C$51</f>
        <v>0</v>
      </c>
      <c r="E49" s="119">
        <f>G33</f>
        <v>0</v>
      </c>
      <c r="G49" s="120">
        <f>D49*E49</f>
        <v>0</v>
      </c>
      <c r="H49" s="120"/>
      <c r="I49" s="52" t="str">
        <f>"Col. c = Line "&amp;A33&amp;" Above"</f>
        <v>Col. c = Line 22 Above</v>
      </c>
      <c r="J49" s="39">
        <f t="shared" si="1"/>
        <v>38</v>
      </c>
    </row>
    <row r="50" spans="1:10" x14ac:dyDescent="0.25">
      <c r="A50" s="39">
        <f t="shared" si="0"/>
        <v>39</v>
      </c>
      <c r="B50" s="40" t="s">
        <v>142</v>
      </c>
      <c r="C50" s="121">
        <f>G40</f>
        <v>7114954.9211800005</v>
      </c>
      <c r="D50" s="367">
        <f>C50/C$51</f>
        <v>0.58112856608680519</v>
      </c>
      <c r="E50" s="122">
        <f>G43</f>
        <v>0.106</v>
      </c>
      <c r="G50" s="368">
        <f>D50*E50</f>
        <v>6.159962800520135E-2</v>
      </c>
      <c r="H50" s="111"/>
      <c r="I50" s="52" t="str">
        <f>"Col. c = Line "&amp;A43&amp;" Above"</f>
        <v>Col. c = Line 32 Above</v>
      </c>
      <c r="J50" s="39">
        <f t="shared" si="1"/>
        <v>39</v>
      </c>
    </row>
    <row r="51" spans="1:10" ht="16.5" thickBot="1" x14ac:dyDescent="0.3">
      <c r="A51" s="39">
        <f t="shared" si="0"/>
        <v>40</v>
      </c>
      <c r="B51" s="40" t="s">
        <v>143</v>
      </c>
      <c r="C51" s="123">
        <f>SUM(C48:C50)</f>
        <v>12243340.521170001</v>
      </c>
      <c r="D51" s="124">
        <f>SUM(D48:D50)</f>
        <v>1</v>
      </c>
      <c r="G51" s="110">
        <f>SUM(G48:G50)</f>
        <v>7.9518521599695191E-2</v>
      </c>
      <c r="H51" s="111"/>
      <c r="I51" s="52" t="str">
        <f>"Sum Lines "&amp;A48&amp;" thru "&amp;A50</f>
        <v>Sum Lines 37 thru 39</v>
      </c>
      <c r="J51" s="39">
        <f t="shared" si="1"/>
        <v>40</v>
      </c>
    </row>
    <row r="52" spans="1:10" ht="16.5" thickTop="1" x14ac:dyDescent="0.25">
      <c r="A52" s="39">
        <f t="shared" si="0"/>
        <v>41</v>
      </c>
      <c r="I52" s="52"/>
      <c r="J52" s="39">
        <f t="shared" si="1"/>
        <v>41</v>
      </c>
    </row>
    <row r="53" spans="1:10" ht="16.5" thickBot="1" x14ac:dyDescent="0.3">
      <c r="A53" s="39">
        <f t="shared" si="0"/>
        <v>42</v>
      </c>
      <c r="B53" s="44" t="s">
        <v>144</v>
      </c>
      <c r="G53" s="110">
        <f>G49+G50</f>
        <v>6.159962800520135E-2</v>
      </c>
      <c r="H53" s="111"/>
      <c r="I53" s="52" t="str">
        <f>"Line "&amp;A49&amp;" + Line "&amp;A50&amp;"; Col. d"</f>
        <v>Line 38 + Line 39; Col. d</v>
      </c>
      <c r="J53" s="39">
        <f t="shared" si="1"/>
        <v>42</v>
      </c>
    </row>
    <row r="54" spans="1:10" ht="17.25" thickTop="1" thickBot="1" x14ac:dyDescent="0.3">
      <c r="A54" s="115">
        <f t="shared" si="0"/>
        <v>43</v>
      </c>
      <c r="B54" s="128"/>
      <c r="C54" s="86"/>
      <c r="D54" s="86"/>
      <c r="E54" s="86"/>
      <c r="F54" s="86"/>
      <c r="G54" s="369"/>
      <c r="H54" s="369"/>
      <c r="I54" s="116"/>
      <c r="J54" s="115">
        <f t="shared" si="1"/>
        <v>43</v>
      </c>
    </row>
    <row r="55" spans="1:10" x14ac:dyDescent="0.25">
      <c r="A55" s="39">
        <f t="shared" si="0"/>
        <v>44</v>
      </c>
      <c r="B55" s="44"/>
      <c r="G55" s="122"/>
      <c r="H55" s="122"/>
      <c r="I55" s="52"/>
      <c r="J55" s="39">
        <f t="shared" si="1"/>
        <v>44</v>
      </c>
    </row>
    <row r="56" spans="1:10" ht="16.5" thickBot="1" x14ac:dyDescent="0.3">
      <c r="A56" s="39">
        <f t="shared" si="0"/>
        <v>45</v>
      </c>
      <c r="B56" s="44" t="s">
        <v>268</v>
      </c>
      <c r="G56" s="370">
        <v>0</v>
      </c>
      <c r="H56" s="122"/>
      <c r="I56" s="52" t="s">
        <v>17</v>
      </c>
      <c r="J56" s="39">
        <f t="shared" si="1"/>
        <v>45</v>
      </c>
    </row>
    <row r="57" spans="1:10" ht="16.5" thickTop="1" x14ac:dyDescent="0.25">
      <c r="A57" s="39">
        <f t="shared" si="0"/>
        <v>46</v>
      </c>
      <c r="C57" s="72" t="s">
        <v>10</v>
      </c>
      <c r="D57" s="72" t="s">
        <v>53</v>
      </c>
      <c r="E57" s="72" t="s">
        <v>130</v>
      </c>
      <c r="F57" s="72"/>
      <c r="G57" s="72" t="s">
        <v>131</v>
      </c>
      <c r="H57" s="122"/>
      <c r="I57" s="52"/>
      <c r="J57" s="39">
        <f t="shared" si="1"/>
        <v>46</v>
      </c>
    </row>
    <row r="58" spans="1:10" x14ac:dyDescent="0.25">
      <c r="A58" s="39">
        <f t="shared" si="0"/>
        <v>47</v>
      </c>
      <c r="D58" s="39" t="s">
        <v>132</v>
      </c>
      <c r="E58" s="39" t="s">
        <v>133</v>
      </c>
      <c r="F58" s="39"/>
      <c r="G58" s="39" t="s">
        <v>134</v>
      </c>
      <c r="H58" s="122"/>
      <c r="I58" s="52"/>
      <c r="J58" s="39">
        <f t="shared" si="1"/>
        <v>47</v>
      </c>
    </row>
    <row r="59" spans="1:10" ht="18.75" x14ac:dyDescent="0.25">
      <c r="A59" s="39">
        <f t="shared" si="0"/>
        <v>48</v>
      </c>
      <c r="B59" s="44" t="s">
        <v>146</v>
      </c>
      <c r="C59" s="328" t="s">
        <v>136</v>
      </c>
      <c r="D59" s="328" t="s">
        <v>137</v>
      </c>
      <c r="E59" s="328" t="s">
        <v>138</v>
      </c>
      <c r="F59" s="328"/>
      <c r="G59" s="328" t="s">
        <v>139</v>
      </c>
      <c r="H59" s="122"/>
      <c r="I59" s="52"/>
      <c r="J59" s="39">
        <f t="shared" si="1"/>
        <v>48</v>
      </c>
    </row>
    <row r="60" spans="1:10" x14ac:dyDescent="0.25">
      <c r="A60" s="39">
        <f t="shared" si="0"/>
        <v>49</v>
      </c>
      <c r="G60" s="122"/>
      <c r="H60" s="122"/>
      <c r="I60" s="52"/>
      <c r="J60" s="39">
        <f t="shared" si="1"/>
        <v>49</v>
      </c>
    </row>
    <row r="61" spans="1:10" x14ac:dyDescent="0.25">
      <c r="A61" s="39">
        <f t="shared" si="0"/>
        <v>50</v>
      </c>
      <c r="B61" s="40" t="s">
        <v>140</v>
      </c>
      <c r="C61" s="371">
        <v>0</v>
      </c>
      <c r="D61" s="372">
        <v>0</v>
      </c>
      <c r="E61" s="125">
        <v>0</v>
      </c>
      <c r="G61" s="120">
        <f>D61*E61</f>
        <v>0</v>
      </c>
      <c r="H61" s="122"/>
      <c r="I61" s="52" t="s">
        <v>17</v>
      </c>
      <c r="J61" s="39">
        <f t="shared" si="1"/>
        <v>50</v>
      </c>
    </row>
    <row r="62" spans="1:10" x14ac:dyDescent="0.25">
      <c r="A62" s="39">
        <f t="shared" si="0"/>
        <v>51</v>
      </c>
      <c r="B62" s="40" t="s">
        <v>141</v>
      </c>
      <c r="C62" s="373">
        <v>0</v>
      </c>
      <c r="D62" s="372">
        <v>0</v>
      </c>
      <c r="E62" s="125">
        <v>0</v>
      </c>
      <c r="G62" s="120">
        <f>D62*E62</f>
        <v>0</v>
      </c>
      <c r="H62" s="122"/>
      <c r="I62" s="52" t="s">
        <v>17</v>
      </c>
      <c r="J62" s="39">
        <f t="shared" si="1"/>
        <v>51</v>
      </c>
    </row>
    <row r="63" spans="1:10" x14ac:dyDescent="0.25">
      <c r="A63" s="39">
        <f t="shared" si="0"/>
        <v>52</v>
      </c>
      <c r="B63" s="40" t="s">
        <v>142</v>
      </c>
      <c r="C63" s="373">
        <v>0</v>
      </c>
      <c r="D63" s="374">
        <v>0</v>
      </c>
      <c r="E63" s="375">
        <v>0</v>
      </c>
      <c r="G63" s="368">
        <f>D63*E63</f>
        <v>0</v>
      </c>
      <c r="H63" s="122"/>
      <c r="I63" s="52" t="s">
        <v>17</v>
      </c>
      <c r="J63" s="39">
        <f t="shared" si="1"/>
        <v>52</v>
      </c>
    </row>
    <row r="64" spans="1:10" ht="16.5" thickBot="1" x14ac:dyDescent="0.3">
      <c r="A64" s="39">
        <f t="shared" si="0"/>
        <v>53</v>
      </c>
      <c r="B64" s="40" t="s">
        <v>143</v>
      </c>
      <c r="C64" s="123">
        <f>SUM(C61:C63)</f>
        <v>0</v>
      </c>
      <c r="D64" s="110">
        <f>SUM(D61:D63)</f>
        <v>0</v>
      </c>
      <c r="G64" s="110">
        <f>SUM(G61:G63)</f>
        <v>0</v>
      </c>
      <c r="H64" s="122"/>
      <c r="I64" s="52" t="str">
        <f>"Sum Lines "&amp;A61&amp;" thru "&amp;A63</f>
        <v>Sum Lines 50 thru 52</v>
      </c>
      <c r="J64" s="39">
        <f t="shared" si="1"/>
        <v>53</v>
      </c>
    </row>
    <row r="65" spans="1:10" ht="16.5" thickTop="1" x14ac:dyDescent="0.25">
      <c r="A65" s="39">
        <f t="shared" si="0"/>
        <v>54</v>
      </c>
      <c r="H65" s="122"/>
      <c r="I65" s="52"/>
      <c r="J65" s="39">
        <f t="shared" si="1"/>
        <v>54</v>
      </c>
    </row>
    <row r="66" spans="1:10" ht="16.5" thickBot="1" x14ac:dyDescent="0.3">
      <c r="A66" s="39">
        <f t="shared" si="0"/>
        <v>55</v>
      </c>
      <c r="B66" s="44" t="s">
        <v>147</v>
      </c>
      <c r="G66" s="110">
        <f>G62+G63</f>
        <v>0</v>
      </c>
      <c r="H66" s="122"/>
      <c r="I66" s="52" t="str">
        <f>"Line "&amp;A62&amp;" + Line "&amp;A63&amp;"; Col. d"</f>
        <v>Line 51 + Line 52; Col. d</v>
      </c>
      <c r="J66" s="39">
        <f t="shared" si="1"/>
        <v>55</v>
      </c>
    </row>
    <row r="67" spans="1:10" ht="16.5" thickTop="1" x14ac:dyDescent="0.25">
      <c r="B67" s="44"/>
      <c r="G67" s="122"/>
      <c r="H67" s="122"/>
      <c r="I67" s="52"/>
      <c r="J67" s="39"/>
    </row>
    <row r="68" spans="1:10" x14ac:dyDescent="0.25">
      <c r="B68" s="44"/>
      <c r="G68" s="122"/>
      <c r="H68" s="122"/>
      <c r="I68" s="52"/>
      <c r="J68" s="39"/>
    </row>
    <row r="69" spans="1:10" ht="18.75" x14ac:dyDescent="0.25">
      <c r="A69" s="71">
        <v>1</v>
      </c>
      <c r="B69" s="20" t="s">
        <v>145</v>
      </c>
      <c r="G69" s="67"/>
      <c r="H69" s="67"/>
      <c r="J69" s="39" t="s">
        <v>11</v>
      </c>
    </row>
    <row r="70" spans="1:10" ht="18.75" x14ac:dyDescent="0.25">
      <c r="A70" s="71"/>
      <c r="B70" s="20"/>
      <c r="G70" s="67"/>
      <c r="H70" s="67"/>
      <c r="J70" s="39"/>
    </row>
    <row r="71" spans="1:10" ht="18.75" x14ac:dyDescent="0.25">
      <c r="A71" s="71"/>
      <c r="B71" s="20"/>
      <c r="D71" s="39"/>
      <c r="G71" s="67"/>
      <c r="H71" s="67"/>
      <c r="J71" s="39"/>
    </row>
    <row r="72" spans="1:10" x14ac:dyDescent="0.25">
      <c r="B72" s="772" t="s">
        <v>267</v>
      </c>
      <c r="C72" s="772"/>
      <c r="D72" s="772"/>
      <c r="E72" s="772"/>
      <c r="F72" s="772"/>
      <c r="G72" s="772"/>
      <c r="H72" s="772"/>
      <c r="I72" s="772"/>
      <c r="J72" s="39"/>
    </row>
    <row r="73" spans="1:10" x14ac:dyDescent="0.25">
      <c r="B73" s="772" t="s">
        <v>87</v>
      </c>
      <c r="C73" s="772"/>
      <c r="D73" s="772"/>
      <c r="E73" s="772"/>
      <c r="F73" s="772"/>
      <c r="G73" s="772"/>
      <c r="H73" s="772"/>
      <c r="I73" s="772"/>
      <c r="J73" s="39"/>
    </row>
    <row r="74" spans="1:10" x14ac:dyDescent="0.25">
      <c r="B74" s="772" t="s">
        <v>88</v>
      </c>
      <c r="C74" s="772"/>
      <c r="D74" s="772"/>
      <c r="E74" s="772"/>
      <c r="F74" s="772"/>
      <c r="G74" s="772"/>
      <c r="H74" s="772"/>
      <c r="I74" s="772"/>
      <c r="J74" s="39"/>
    </row>
    <row r="75" spans="1:10" x14ac:dyDescent="0.25">
      <c r="B75" s="775" t="str">
        <f>B6</f>
        <v>Base Period &amp; True-Up Period 12 - Months Ending December 31, 2019</v>
      </c>
      <c r="C75" s="775"/>
      <c r="D75" s="775"/>
      <c r="E75" s="775"/>
      <c r="F75" s="775"/>
      <c r="G75" s="775"/>
      <c r="H75" s="775"/>
      <c r="I75" s="775"/>
      <c r="J75" s="39"/>
    </row>
    <row r="76" spans="1:10" x14ac:dyDescent="0.25">
      <c r="B76" s="774" t="s">
        <v>1</v>
      </c>
      <c r="C76" s="776"/>
      <c r="D76" s="776"/>
      <c r="E76" s="776"/>
      <c r="F76" s="776"/>
      <c r="G76" s="776"/>
      <c r="H76" s="776"/>
      <c r="I76" s="776"/>
      <c r="J76" s="39"/>
    </row>
    <row r="77" spans="1:10" x14ac:dyDescent="0.25">
      <c r="B77" s="39"/>
      <c r="C77" s="39"/>
      <c r="D77" s="39"/>
      <c r="E77" s="39"/>
      <c r="F77" s="39"/>
      <c r="G77" s="39"/>
      <c r="H77" s="39"/>
      <c r="I77" s="52"/>
      <c r="J77" s="39"/>
    </row>
    <row r="78" spans="1:10" x14ac:dyDescent="0.25">
      <c r="A78" s="39" t="s">
        <v>2</v>
      </c>
      <c r="B78" s="387"/>
      <c r="C78" s="387"/>
      <c r="D78" s="387"/>
      <c r="E78" s="387"/>
      <c r="F78" s="387"/>
      <c r="G78" s="387"/>
      <c r="H78" s="387"/>
      <c r="I78" s="52"/>
      <c r="J78" s="39" t="s">
        <v>2</v>
      </c>
    </row>
    <row r="79" spans="1:10" x14ac:dyDescent="0.25">
      <c r="A79" s="39" t="s">
        <v>6</v>
      </c>
      <c r="B79" s="39"/>
      <c r="C79" s="39"/>
      <c r="D79" s="39"/>
      <c r="E79" s="39"/>
      <c r="F79" s="39"/>
      <c r="G79" s="328" t="s">
        <v>4</v>
      </c>
      <c r="H79" s="387"/>
      <c r="I79" s="364" t="s">
        <v>5</v>
      </c>
      <c r="J79" s="39" t="s">
        <v>6</v>
      </c>
    </row>
    <row r="80" spans="1:10" x14ac:dyDescent="0.25">
      <c r="G80" s="39"/>
      <c r="H80" s="39"/>
      <c r="I80" s="52"/>
      <c r="J80" s="39"/>
    </row>
    <row r="81" spans="1:13" ht="18.75" x14ac:dyDescent="0.25">
      <c r="A81" s="39">
        <v>1</v>
      </c>
      <c r="B81" s="44" t="s">
        <v>269</v>
      </c>
      <c r="E81" s="387"/>
      <c r="F81" s="387"/>
      <c r="G81" s="129"/>
      <c r="H81" s="129"/>
      <c r="I81" s="52"/>
      <c r="J81" s="39">
        <v>1</v>
      </c>
    </row>
    <row r="82" spans="1:13" x14ac:dyDescent="0.25">
      <c r="A82" s="39">
        <f>A81+1</f>
        <v>2</v>
      </c>
      <c r="B82" s="130"/>
      <c r="E82" s="387"/>
      <c r="F82" s="387"/>
      <c r="G82" s="129"/>
      <c r="H82" s="129"/>
      <c r="I82" s="52"/>
      <c r="J82" s="39">
        <f>J81+1</f>
        <v>2</v>
      </c>
    </row>
    <row r="83" spans="1:13" x14ac:dyDescent="0.25">
      <c r="A83" s="39">
        <f>A82+1</f>
        <v>3</v>
      </c>
      <c r="B83" s="44" t="s">
        <v>270</v>
      </c>
      <c r="E83" s="387"/>
      <c r="F83" s="387"/>
      <c r="G83" s="129"/>
      <c r="H83" s="129"/>
      <c r="I83" s="52"/>
      <c r="J83" s="39">
        <f>J82+1</f>
        <v>3</v>
      </c>
    </row>
    <row r="84" spans="1:13" x14ac:dyDescent="0.25">
      <c r="A84" s="39">
        <f>A83+1</f>
        <v>4</v>
      </c>
      <c r="B84" s="387"/>
      <c r="C84" s="387"/>
      <c r="D84" s="387"/>
      <c r="E84" s="387"/>
      <c r="F84" s="387"/>
      <c r="G84" s="129"/>
      <c r="H84" s="129"/>
      <c r="I84" s="52"/>
      <c r="J84" s="39">
        <f>J83+1</f>
        <v>4</v>
      </c>
    </row>
    <row r="85" spans="1:13" x14ac:dyDescent="0.25">
      <c r="A85" s="39">
        <f t="shared" ref="A85:A111" si="2">A84+1</f>
        <v>5</v>
      </c>
      <c r="B85" s="46" t="s">
        <v>148</v>
      </c>
      <c r="C85" s="387"/>
      <c r="D85" s="387"/>
      <c r="E85" s="387"/>
      <c r="F85" s="387"/>
      <c r="G85" s="129"/>
      <c r="H85" s="129"/>
      <c r="I85" s="131"/>
      <c r="J85" s="39">
        <f t="shared" ref="J85:J111" si="3">J84+1</f>
        <v>5</v>
      </c>
    </row>
    <row r="86" spans="1:13" x14ac:dyDescent="0.25">
      <c r="A86" s="39">
        <f t="shared" si="2"/>
        <v>6</v>
      </c>
      <c r="B86" s="40" t="s">
        <v>149</v>
      </c>
      <c r="D86" s="387"/>
      <c r="E86" s="387"/>
      <c r="F86" s="387"/>
      <c r="G86" s="132">
        <f>G53</f>
        <v>6.159962800520135E-2</v>
      </c>
      <c r="H86" s="387"/>
      <c r="I86" s="52" t="s">
        <v>524</v>
      </c>
      <c r="J86" s="39">
        <f t="shared" si="3"/>
        <v>6</v>
      </c>
      <c r="L86" s="39"/>
    </row>
    <row r="87" spans="1:13" x14ac:dyDescent="0.25">
      <c r="A87" s="39">
        <f t="shared" si="2"/>
        <v>7</v>
      </c>
      <c r="B87" s="40" t="s">
        <v>150</v>
      </c>
      <c r="D87" s="387"/>
      <c r="E87" s="387"/>
      <c r="F87" s="387"/>
      <c r="G87" s="133">
        <v>3720.7176518702354</v>
      </c>
      <c r="H87" s="387"/>
      <c r="I87" s="52" t="s">
        <v>525</v>
      </c>
      <c r="J87" s="39">
        <f t="shared" si="3"/>
        <v>7</v>
      </c>
      <c r="L87" s="39"/>
    </row>
    <row r="88" spans="1:13" ht="18.75" x14ac:dyDescent="0.25">
      <c r="A88" s="39">
        <f t="shared" si="2"/>
        <v>8</v>
      </c>
      <c r="B88" s="40" t="s">
        <v>271</v>
      </c>
      <c r="D88" s="387"/>
      <c r="E88" s="387"/>
      <c r="F88" s="387"/>
      <c r="G88" s="134">
        <v>7491.7360400000025</v>
      </c>
      <c r="H88" s="387"/>
      <c r="I88" s="127" t="s">
        <v>526</v>
      </c>
      <c r="J88" s="39">
        <f t="shared" si="3"/>
        <v>8</v>
      </c>
      <c r="L88" s="387"/>
    </row>
    <row r="89" spans="1:13" x14ac:dyDescent="0.25">
      <c r="A89" s="39">
        <f t="shared" si="2"/>
        <v>9</v>
      </c>
      <c r="B89" s="40" t="s">
        <v>152</v>
      </c>
      <c r="D89" s="387"/>
      <c r="E89" s="135"/>
      <c r="F89" s="387"/>
      <c r="G89" s="136">
        <f>'Pg13 As Filed AV-4-Cost Adj'!C37</f>
        <v>4318184.8960831314</v>
      </c>
      <c r="H89" s="27" t="s">
        <v>16</v>
      </c>
      <c r="I89" s="127" t="s">
        <v>527</v>
      </c>
      <c r="J89" s="39">
        <f t="shared" si="3"/>
        <v>9</v>
      </c>
    </row>
    <row r="90" spans="1:13" x14ac:dyDescent="0.25">
      <c r="A90" s="39">
        <f t="shared" si="2"/>
        <v>10</v>
      </c>
      <c r="B90" s="40" t="s">
        <v>153</v>
      </c>
      <c r="D90" s="137"/>
      <c r="E90" s="387"/>
      <c r="F90" s="387"/>
      <c r="G90" s="376">
        <v>0.21</v>
      </c>
      <c r="H90" s="387"/>
      <c r="I90" s="52" t="s">
        <v>154</v>
      </c>
      <c r="J90" s="39">
        <f t="shared" si="3"/>
        <v>10</v>
      </c>
      <c r="M90" s="138"/>
    </row>
    <row r="91" spans="1:13" x14ac:dyDescent="0.25">
      <c r="A91" s="39">
        <f t="shared" si="2"/>
        <v>11</v>
      </c>
      <c r="G91" s="39"/>
      <c r="H91" s="39"/>
      <c r="J91" s="39">
        <f t="shared" si="3"/>
        <v>11</v>
      </c>
    </row>
    <row r="92" spans="1:13" x14ac:dyDescent="0.25">
      <c r="A92" s="39">
        <f t="shared" si="2"/>
        <v>12</v>
      </c>
      <c r="B92" s="40" t="s">
        <v>155</v>
      </c>
      <c r="D92" s="387"/>
      <c r="E92" s="387"/>
      <c r="F92" s="387"/>
      <c r="G92" s="139">
        <f>(((G86)+(G88/G89))*G90-(G87/G89))/(1-G90)</f>
        <v>1.5745085203755071E-2</v>
      </c>
      <c r="H92" s="139"/>
      <c r="I92" s="52" t="s">
        <v>156</v>
      </c>
      <c r="J92" s="39">
        <f t="shared" si="3"/>
        <v>12</v>
      </c>
      <c r="M92" s="140"/>
    </row>
    <row r="93" spans="1:13" x14ac:dyDescent="0.25">
      <c r="A93" s="39">
        <f t="shared" si="2"/>
        <v>13</v>
      </c>
      <c r="B93" s="141" t="s">
        <v>157</v>
      </c>
      <c r="G93" s="39"/>
      <c r="H93" s="39"/>
      <c r="J93" s="39">
        <f t="shared" si="3"/>
        <v>13</v>
      </c>
    </row>
    <row r="94" spans="1:13" x14ac:dyDescent="0.25">
      <c r="A94" s="39">
        <f t="shared" si="2"/>
        <v>14</v>
      </c>
      <c r="G94" s="39"/>
      <c r="H94" s="39"/>
      <c r="J94" s="39">
        <f t="shared" si="3"/>
        <v>14</v>
      </c>
    </row>
    <row r="95" spans="1:13" x14ac:dyDescent="0.25">
      <c r="A95" s="39">
        <f t="shared" si="2"/>
        <v>15</v>
      </c>
      <c r="B95" s="44" t="s">
        <v>158</v>
      </c>
      <c r="C95" s="387"/>
      <c r="D95" s="387"/>
      <c r="E95" s="387"/>
      <c r="F95" s="387"/>
      <c r="G95" s="142"/>
      <c r="H95" s="142"/>
      <c r="I95" s="143"/>
      <c r="J95" s="39">
        <f t="shared" si="3"/>
        <v>15</v>
      </c>
      <c r="L95" s="144"/>
    </row>
    <row r="96" spans="1:13" x14ac:dyDescent="0.25">
      <c r="A96" s="39">
        <f t="shared" si="2"/>
        <v>16</v>
      </c>
      <c r="B96" s="57"/>
      <c r="C96" s="387"/>
      <c r="D96" s="387"/>
      <c r="E96" s="387"/>
      <c r="F96" s="387"/>
      <c r="G96" s="142"/>
      <c r="H96" s="142"/>
      <c r="I96" s="145"/>
      <c r="J96" s="39">
        <f t="shared" si="3"/>
        <v>16</v>
      </c>
      <c r="L96" s="387"/>
    </row>
    <row r="97" spans="1:13" x14ac:dyDescent="0.25">
      <c r="A97" s="39">
        <f t="shared" si="2"/>
        <v>17</v>
      </c>
      <c r="B97" s="46" t="s">
        <v>148</v>
      </c>
      <c r="C97" s="387"/>
      <c r="D97" s="387"/>
      <c r="E97" s="387"/>
      <c r="F97" s="387"/>
      <c r="G97" s="142"/>
      <c r="H97" s="142"/>
      <c r="I97" s="145"/>
      <c r="J97" s="39">
        <f t="shared" si="3"/>
        <v>17</v>
      </c>
      <c r="L97" s="387"/>
    </row>
    <row r="98" spans="1:13" x14ac:dyDescent="0.25">
      <c r="A98" s="39">
        <f t="shared" si="2"/>
        <v>18</v>
      </c>
      <c r="B98" s="40" t="s">
        <v>149</v>
      </c>
      <c r="D98" s="387"/>
      <c r="E98" s="387"/>
      <c r="F98" s="387"/>
      <c r="G98" s="118">
        <f>G86</f>
        <v>6.159962800520135E-2</v>
      </c>
      <c r="H98" s="118"/>
      <c r="I98" s="52" t="str">
        <f>"Line "&amp;A86&amp;" Above"</f>
        <v>Line 6 Above</v>
      </c>
      <c r="J98" s="39">
        <f t="shared" si="3"/>
        <v>18</v>
      </c>
      <c r="L98" s="39"/>
    </row>
    <row r="99" spans="1:13" x14ac:dyDescent="0.25">
      <c r="A99" s="39">
        <f t="shared" si="2"/>
        <v>19</v>
      </c>
      <c r="B99" s="40" t="s">
        <v>159</v>
      </c>
      <c r="D99" s="387"/>
      <c r="E99" s="387"/>
      <c r="F99" s="387"/>
      <c r="G99" s="146">
        <f>G88</f>
        <v>7491.7360400000025</v>
      </c>
      <c r="H99" s="146"/>
      <c r="I99" s="52" t="str">
        <f>"Line "&amp;A88&amp;" Above"</f>
        <v>Line 8 Above</v>
      </c>
      <c r="J99" s="39">
        <f t="shared" si="3"/>
        <v>19</v>
      </c>
      <c r="L99" s="39"/>
    </row>
    <row r="100" spans="1:13" x14ac:dyDescent="0.25">
      <c r="A100" s="39">
        <f t="shared" si="2"/>
        <v>20</v>
      </c>
      <c r="B100" s="40" t="s">
        <v>160</v>
      </c>
      <c r="D100" s="387"/>
      <c r="E100" s="387"/>
      <c r="F100" s="387"/>
      <c r="G100" s="147">
        <f>G89</f>
        <v>4318184.8960831314</v>
      </c>
      <c r="H100" s="27" t="s">
        <v>16</v>
      </c>
      <c r="I100" s="52" t="str">
        <f>"Line "&amp;A89&amp;" Above"</f>
        <v>Line 9 Above</v>
      </c>
      <c r="J100" s="39">
        <f t="shared" si="3"/>
        <v>20</v>
      </c>
      <c r="L100" s="39"/>
    </row>
    <row r="101" spans="1:13" x14ac:dyDescent="0.25">
      <c r="A101" s="39">
        <f t="shared" si="2"/>
        <v>21</v>
      </c>
      <c r="B101" s="40" t="s">
        <v>161</v>
      </c>
      <c r="D101" s="387"/>
      <c r="E101" s="387"/>
      <c r="F101" s="387"/>
      <c r="G101" s="148">
        <f>G92</f>
        <v>1.5745085203755071E-2</v>
      </c>
      <c r="H101" s="148"/>
      <c r="I101" s="52" t="str">
        <f>"Line "&amp;A92&amp;" Above"</f>
        <v>Line 12 Above</v>
      </c>
      <c r="J101" s="39">
        <f t="shared" si="3"/>
        <v>21</v>
      </c>
    </row>
    <row r="102" spans="1:13" x14ac:dyDescent="0.25">
      <c r="A102" s="39">
        <f t="shared" si="2"/>
        <v>22</v>
      </c>
      <c r="B102" s="40" t="s">
        <v>162</v>
      </c>
      <c r="D102" s="387"/>
      <c r="E102" s="387"/>
      <c r="F102" s="387"/>
      <c r="G102" s="405">
        <v>8.8400000000000006E-2</v>
      </c>
      <c r="H102" s="387"/>
      <c r="I102" s="52" t="s">
        <v>163</v>
      </c>
      <c r="J102" s="39">
        <f t="shared" si="3"/>
        <v>22</v>
      </c>
    </row>
    <row r="103" spans="1:13" x14ac:dyDescent="0.25">
      <c r="A103" s="39">
        <f t="shared" si="2"/>
        <v>23</v>
      </c>
      <c r="B103" s="388"/>
      <c r="D103" s="387"/>
      <c r="E103" s="387"/>
      <c r="F103" s="387"/>
      <c r="G103" s="149"/>
      <c r="H103" s="149"/>
      <c r="I103" s="145"/>
      <c r="J103" s="39">
        <f t="shared" si="3"/>
        <v>23</v>
      </c>
    </row>
    <row r="104" spans="1:13" x14ac:dyDescent="0.25">
      <c r="A104" s="39">
        <f t="shared" si="2"/>
        <v>24</v>
      </c>
      <c r="B104" s="40" t="s">
        <v>164</v>
      </c>
      <c r="C104" s="39"/>
      <c r="D104" s="39"/>
      <c r="E104" s="387"/>
      <c r="F104" s="387"/>
      <c r="G104" s="377">
        <f>((G98)+(G99/G100)+G92)*G102/(1-G102)</f>
        <v>7.6685390567689379E-3</v>
      </c>
      <c r="H104" s="150"/>
      <c r="I104" s="52" t="s">
        <v>165</v>
      </c>
      <c r="J104" s="39">
        <f t="shared" si="3"/>
        <v>24</v>
      </c>
    </row>
    <row r="105" spans="1:13" x14ac:dyDescent="0.25">
      <c r="A105" s="39">
        <f t="shared" si="2"/>
        <v>25</v>
      </c>
      <c r="B105" s="141" t="s">
        <v>166</v>
      </c>
      <c r="G105" s="39"/>
      <c r="H105" s="39"/>
      <c r="I105" s="52"/>
      <c r="J105" s="39">
        <f t="shared" si="3"/>
        <v>25</v>
      </c>
      <c r="L105" s="39"/>
    </row>
    <row r="106" spans="1:13" x14ac:dyDescent="0.25">
      <c r="A106" s="39">
        <f t="shared" si="2"/>
        <v>26</v>
      </c>
      <c r="G106" s="39"/>
      <c r="H106" s="39"/>
      <c r="I106" s="52"/>
      <c r="J106" s="39">
        <f t="shared" si="3"/>
        <v>26</v>
      </c>
      <c r="L106" s="39"/>
    </row>
    <row r="107" spans="1:13" x14ac:dyDescent="0.25">
      <c r="A107" s="39">
        <f t="shared" si="2"/>
        <v>27</v>
      </c>
      <c r="B107" s="44" t="s">
        <v>167</v>
      </c>
      <c r="G107" s="139">
        <f>G104+G92</f>
        <v>2.341362426052401E-2</v>
      </c>
      <c r="H107" s="139"/>
      <c r="I107" s="52" t="str">
        <f>"Line "&amp;A92&amp;" + Line "&amp;A104</f>
        <v>Line 12 + Line 24</v>
      </c>
      <c r="J107" s="39">
        <f t="shared" si="3"/>
        <v>27</v>
      </c>
      <c r="L107" s="39"/>
    </row>
    <row r="108" spans="1:13" x14ac:dyDescent="0.25">
      <c r="A108" s="39">
        <f t="shared" si="2"/>
        <v>28</v>
      </c>
      <c r="G108" s="39"/>
      <c r="H108" s="39"/>
      <c r="I108" s="52"/>
      <c r="J108" s="39">
        <f t="shared" si="3"/>
        <v>28</v>
      </c>
      <c r="L108" s="39"/>
    </row>
    <row r="109" spans="1:13" x14ac:dyDescent="0.25">
      <c r="A109" s="39">
        <f t="shared" si="2"/>
        <v>29</v>
      </c>
      <c r="B109" s="44" t="s">
        <v>168</v>
      </c>
      <c r="G109" s="378">
        <f>G51</f>
        <v>7.9518521599695191E-2</v>
      </c>
      <c r="H109" s="387"/>
      <c r="I109" s="52" t="str">
        <f>"AV1; Line "&amp;A51</f>
        <v>AV1; Line 40</v>
      </c>
      <c r="J109" s="39">
        <f t="shared" si="3"/>
        <v>29</v>
      </c>
      <c r="L109" s="39"/>
    </row>
    <row r="110" spans="1:13" x14ac:dyDescent="0.25">
      <c r="A110" s="39">
        <f t="shared" si="2"/>
        <v>30</v>
      </c>
      <c r="G110" s="118"/>
      <c r="H110" s="118"/>
      <c r="I110" s="52"/>
      <c r="J110" s="39">
        <f t="shared" si="3"/>
        <v>30</v>
      </c>
      <c r="L110" s="39"/>
    </row>
    <row r="111" spans="1:13" ht="19.5" thickBot="1" x14ac:dyDescent="0.3">
      <c r="A111" s="39">
        <f t="shared" si="2"/>
        <v>31</v>
      </c>
      <c r="B111" s="44" t="s">
        <v>272</v>
      </c>
      <c r="G111" s="151">
        <f>G107+G109</f>
        <v>0.1029321458602192</v>
      </c>
      <c r="H111" s="150"/>
      <c r="I111" s="52" t="str">
        <f>"Line "&amp;A107&amp;" + Line "&amp;A109</f>
        <v>Line 27 + Line 29</v>
      </c>
      <c r="J111" s="39">
        <f t="shared" si="3"/>
        <v>31</v>
      </c>
      <c r="L111" s="152"/>
      <c r="M111" s="140"/>
    </row>
    <row r="112" spans="1:13" ht="16.5" thickTop="1" x14ac:dyDescent="0.25">
      <c r="B112" s="44"/>
      <c r="G112" s="154"/>
      <c r="H112" s="154"/>
      <c r="I112" s="52"/>
      <c r="J112" s="39"/>
      <c r="L112" s="152"/>
      <c r="M112" s="140"/>
    </row>
    <row r="113" spans="1:13" x14ac:dyDescent="0.25">
      <c r="A113" s="27" t="s">
        <v>16</v>
      </c>
      <c r="B113" s="25" t="s">
        <v>278</v>
      </c>
      <c r="G113" s="154"/>
      <c r="H113" s="154"/>
      <c r="I113" s="52"/>
      <c r="J113" s="39"/>
      <c r="L113" s="152"/>
      <c r="M113" s="140"/>
    </row>
    <row r="114" spans="1:13" ht="18.75" x14ac:dyDescent="0.25">
      <c r="A114" s="379">
        <v>1</v>
      </c>
      <c r="B114" s="20" t="s">
        <v>281</v>
      </c>
      <c r="G114" s="154"/>
      <c r="H114" s="154"/>
      <c r="I114" s="52"/>
      <c r="J114" s="39"/>
      <c r="L114" s="152"/>
      <c r="M114" s="140"/>
    </row>
    <row r="115" spans="1:13" ht="18.75" x14ac:dyDescent="0.25">
      <c r="A115" s="379"/>
      <c r="B115" s="20"/>
      <c r="G115" s="154"/>
      <c r="H115" s="154"/>
      <c r="I115" s="52"/>
      <c r="J115" s="39"/>
      <c r="L115" s="152"/>
      <c r="M115" s="140"/>
    </row>
    <row r="116" spans="1:13" x14ac:dyDescent="0.25">
      <c r="A116" s="155"/>
      <c r="B116" s="388"/>
      <c r="C116" s="41"/>
      <c r="D116" s="41"/>
      <c r="E116" s="41"/>
      <c r="F116" s="41"/>
      <c r="G116" s="156"/>
      <c r="H116" s="156"/>
      <c r="I116" s="380"/>
      <c r="J116" s="39"/>
    </row>
    <row r="117" spans="1:13" x14ac:dyDescent="0.25">
      <c r="B117" s="772" t="s">
        <v>21</v>
      </c>
      <c r="C117" s="772"/>
      <c r="D117" s="772"/>
      <c r="E117" s="772"/>
      <c r="F117" s="772"/>
      <c r="G117" s="772"/>
      <c r="H117" s="772"/>
      <c r="I117" s="772"/>
    </row>
    <row r="118" spans="1:13" x14ac:dyDescent="0.25">
      <c r="B118" s="772" t="s">
        <v>87</v>
      </c>
      <c r="C118" s="772"/>
      <c r="D118" s="772"/>
      <c r="E118" s="772"/>
      <c r="F118" s="772"/>
      <c r="G118" s="772"/>
      <c r="H118" s="772"/>
      <c r="I118" s="772"/>
    </row>
    <row r="119" spans="1:13" x14ac:dyDescent="0.25">
      <c r="B119" s="772" t="s">
        <v>88</v>
      </c>
      <c r="C119" s="772"/>
      <c r="D119" s="772"/>
      <c r="E119" s="772"/>
      <c r="F119" s="772"/>
      <c r="G119" s="772"/>
      <c r="H119" s="772"/>
      <c r="I119" s="772"/>
    </row>
    <row r="120" spans="1:13" x14ac:dyDescent="0.25">
      <c r="B120" s="775" t="str">
        <f>B6</f>
        <v>Base Period &amp; True-Up Period 12 - Months Ending December 31, 2019</v>
      </c>
      <c r="C120" s="775"/>
      <c r="D120" s="775"/>
      <c r="E120" s="775"/>
      <c r="F120" s="775"/>
      <c r="G120" s="775"/>
      <c r="H120" s="775"/>
      <c r="I120" s="775"/>
    </row>
    <row r="121" spans="1:13" x14ac:dyDescent="0.25">
      <c r="B121" s="774" t="s">
        <v>1</v>
      </c>
      <c r="C121" s="776"/>
      <c r="D121" s="776"/>
      <c r="E121" s="776"/>
      <c r="F121" s="776"/>
      <c r="G121" s="776"/>
      <c r="H121" s="776"/>
      <c r="I121" s="776"/>
    </row>
    <row r="123" spans="1:13" x14ac:dyDescent="0.25">
      <c r="A123" s="39" t="s">
        <v>2</v>
      </c>
      <c r="B123" s="387"/>
      <c r="C123" s="387"/>
      <c r="D123" s="387"/>
      <c r="E123" s="387"/>
      <c r="F123" s="387"/>
      <c r="G123" s="387"/>
      <c r="H123" s="387"/>
      <c r="I123" s="52"/>
      <c r="J123" s="39" t="s">
        <v>2</v>
      </c>
    </row>
    <row r="124" spans="1:13" x14ac:dyDescent="0.25">
      <c r="A124" s="39" t="s">
        <v>6</v>
      </c>
      <c r="B124" s="39"/>
      <c r="C124" s="39"/>
      <c r="D124" s="39"/>
      <c r="E124" s="39"/>
      <c r="F124" s="39"/>
      <c r="G124" s="328" t="s">
        <v>4</v>
      </c>
      <c r="H124" s="387"/>
      <c r="I124" s="364" t="s">
        <v>5</v>
      </c>
      <c r="J124" s="39" t="s">
        <v>6</v>
      </c>
    </row>
    <row r="126" spans="1:13" ht="18.75" x14ac:dyDescent="0.25">
      <c r="A126" s="39">
        <v>1</v>
      </c>
      <c r="B126" s="44" t="s">
        <v>273</v>
      </c>
      <c r="J126" s="39">
        <v>1</v>
      </c>
    </row>
    <row r="127" spans="1:13" x14ac:dyDescent="0.25">
      <c r="A127" s="39">
        <f>A126+1</f>
        <v>2</v>
      </c>
      <c r="B127" s="130"/>
      <c r="J127" s="39">
        <f>J126+1</f>
        <v>2</v>
      </c>
    </row>
    <row r="128" spans="1:13" x14ac:dyDescent="0.25">
      <c r="A128" s="39">
        <f>A127+1</f>
        <v>3</v>
      </c>
      <c r="B128" s="44" t="s">
        <v>270</v>
      </c>
      <c r="J128" s="39">
        <f>J127+1</f>
        <v>3</v>
      </c>
    </row>
    <row r="129" spans="1:10" x14ac:dyDescent="0.25">
      <c r="A129" s="39">
        <f>A128+1</f>
        <v>4</v>
      </c>
      <c r="B129" s="387"/>
      <c r="J129" s="39">
        <f>J128+1</f>
        <v>4</v>
      </c>
    </row>
    <row r="130" spans="1:10" x14ac:dyDescent="0.25">
      <c r="A130" s="39">
        <f t="shared" ref="A130:A156" si="4">A129+1</f>
        <v>5</v>
      </c>
      <c r="B130" s="46" t="s">
        <v>148</v>
      </c>
      <c r="J130" s="39">
        <f t="shared" ref="J130:J156" si="5">J129+1</f>
        <v>5</v>
      </c>
    </row>
    <row r="131" spans="1:10" x14ac:dyDescent="0.25">
      <c r="A131" s="39">
        <f t="shared" si="4"/>
        <v>6</v>
      </c>
      <c r="B131" s="40" t="str">
        <f>B86</f>
        <v xml:space="preserve">     A = Sum of Preferred Stock and Return on Equity Component</v>
      </c>
      <c r="G131" s="132">
        <f>G66</f>
        <v>0</v>
      </c>
      <c r="I131" s="52" t="str">
        <f>"AV1; Line "&amp;A66</f>
        <v>AV1; Line 55</v>
      </c>
      <c r="J131" s="39">
        <f t="shared" si="5"/>
        <v>6</v>
      </c>
    </row>
    <row r="132" spans="1:10" x14ac:dyDescent="0.25">
      <c r="A132" s="39">
        <f t="shared" si="4"/>
        <v>7</v>
      </c>
      <c r="B132" s="40" t="str">
        <f>B87</f>
        <v xml:space="preserve">     B = Transmission Total Federal Tax Adjustments</v>
      </c>
      <c r="G132" s="153">
        <v>0</v>
      </c>
      <c r="I132" s="127" t="s">
        <v>17</v>
      </c>
      <c r="J132" s="39">
        <f t="shared" si="5"/>
        <v>7</v>
      </c>
    </row>
    <row r="133" spans="1:10" x14ac:dyDescent="0.25">
      <c r="A133" s="39">
        <f t="shared" si="4"/>
        <v>8</v>
      </c>
      <c r="B133" s="40" t="s">
        <v>151</v>
      </c>
      <c r="G133" s="381">
        <v>0</v>
      </c>
      <c r="I133" s="127" t="s">
        <v>17</v>
      </c>
      <c r="J133" s="39">
        <f t="shared" si="5"/>
        <v>8</v>
      </c>
    </row>
    <row r="134" spans="1:10" x14ac:dyDescent="0.25">
      <c r="A134" s="39">
        <f t="shared" si="4"/>
        <v>9</v>
      </c>
      <c r="B134" s="40" t="s">
        <v>169</v>
      </c>
      <c r="G134" s="381">
        <v>0</v>
      </c>
      <c r="I134" s="127" t="s">
        <v>17</v>
      </c>
      <c r="J134" s="39">
        <f t="shared" si="5"/>
        <v>9</v>
      </c>
    </row>
    <row r="135" spans="1:10" x14ac:dyDescent="0.25">
      <c r="A135" s="39">
        <f t="shared" si="4"/>
        <v>10</v>
      </c>
      <c r="B135" s="40" t="str">
        <f>B90</f>
        <v xml:space="preserve">     FT = Federal Income Tax Rate for Rate Effective Period</v>
      </c>
      <c r="G135" s="382">
        <f>G90</f>
        <v>0.21</v>
      </c>
      <c r="I135" s="52" t="str">
        <f>"AV2; Line "&amp;A90</f>
        <v>AV2; Line 10</v>
      </c>
      <c r="J135" s="39">
        <f t="shared" si="5"/>
        <v>10</v>
      </c>
    </row>
    <row r="136" spans="1:10" x14ac:dyDescent="0.25">
      <c r="A136" s="39">
        <f t="shared" si="4"/>
        <v>11</v>
      </c>
      <c r="G136" s="39"/>
      <c r="J136" s="39">
        <f t="shared" si="5"/>
        <v>11</v>
      </c>
    </row>
    <row r="137" spans="1:10" x14ac:dyDescent="0.25">
      <c r="A137" s="39">
        <f t="shared" si="4"/>
        <v>12</v>
      </c>
      <c r="B137" s="40" t="s">
        <v>170</v>
      </c>
      <c r="G137" s="139">
        <f>IFERROR((((G131)+(G133/G134))*G135-(G132/G134))/(1-G135),0)</f>
        <v>0</v>
      </c>
      <c r="I137" s="52" t="s">
        <v>171</v>
      </c>
      <c r="J137" s="39">
        <f t="shared" si="5"/>
        <v>12</v>
      </c>
    </row>
    <row r="138" spans="1:10" x14ac:dyDescent="0.25">
      <c r="A138" s="39">
        <f t="shared" si="4"/>
        <v>13</v>
      </c>
      <c r="B138" s="141" t="s">
        <v>157</v>
      </c>
      <c r="G138" s="126"/>
      <c r="J138" s="39">
        <f t="shared" si="5"/>
        <v>13</v>
      </c>
    </row>
    <row r="139" spans="1:10" x14ac:dyDescent="0.25">
      <c r="A139" s="39">
        <f t="shared" si="4"/>
        <v>14</v>
      </c>
      <c r="G139" s="39"/>
      <c r="J139" s="39">
        <f t="shared" si="5"/>
        <v>14</v>
      </c>
    </row>
    <row r="140" spans="1:10" x14ac:dyDescent="0.25">
      <c r="A140" s="39">
        <f t="shared" si="4"/>
        <v>15</v>
      </c>
      <c r="B140" s="44" t="s">
        <v>158</v>
      </c>
      <c r="G140" s="142"/>
      <c r="I140" s="143"/>
      <c r="J140" s="39">
        <f t="shared" si="5"/>
        <v>15</v>
      </c>
    </row>
    <row r="141" spans="1:10" x14ac:dyDescent="0.25">
      <c r="A141" s="39">
        <f t="shared" si="4"/>
        <v>16</v>
      </c>
      <c r="B141" s="57"/>
      <c r="G141" s="142"/>
      <c r="I141" s="131"/>
      <c r="J141" s="39">
        <f t="shared" si="5"/>
        <v>16</v>
      </c>
    </row>
    <row r="142" spans="1:10" x14ac:dyDescent="0.25">
      <c r="A142" s="39">
        <f t="shared" si="4"/>
        <v>17</v>
      </c>
      <c r="B142" s="46" t="s">
        <v>148</v>
      </c>
      <c r="G142" s="142"/>
      <c r="I142" s="131"/>
      <c r="J142" s="39">
        <f t="shared" si="5"/>
        <v>17</v>
      </c>
    </row>
    <row r="143" spans="1:10" x14ac:dyDescent="0.25">
      <c r="A143" s="39">
        <f t="shared" si="4"/>
        <v>18</v>
      </c>
      <c r="B143" s="40" t="str">
        <f>B98</f>
        <v xml:space="preserve">     A = Sum of Preferred Stock and Return on Equity Component</v>
      </c>
      <c r="G143" s="118">
        <f>G131</f>
        <v>0</v>
      </c>
      <c r="I143" s="52" t="str">
        <f>"Line "&amp;A131&amp;" Above"</f>
        <v>Line 6 Above</v>
      </c>
      <c r="J143" s="39">
        <f t="shared" si="5"/>
        <v>18</v>
      </c>
    </row>
    <row r="144" spans="1:10" x14ac:dyDescent="0.25">
      <c r="A144" s="39">
        <f t="shared" si="4"/>
        <v>19</v>
      </c>
      <c r="B144" s="40" t="str">
        <f>B99</f>
        <v xml:space="preserve">     B = Equity AFUDC Component of Transmission Depreciation Expense</v>
      </c>
      <c r="G144" s="146">
        <f>G133</f>
        <v>0</v>
      </c>
      <c r="I144" s="52" t="str">
        <f>"Line "&amp;A133&amp;" Above"</f>
        <v>Line 8 Above</v>
      </c>
      <c r="J144" s="39">
        <f t="shared" si="5"/>
        <v>19</v>
      </c>
    </row>
    <row r="145" spans="1:10" x14ac:dyDescent="0.25">
      <c r="A145" s="39">
        <f t="shared" si="4"/>
        <v>20</v>
      </c>
      <c r="B145" s="40" t="s">
        <v>172</v>
      </c>
      <c r="G145" s="146">
        <f>G134</f>
        <v>0</v>
      </c>
      <c r="I145" s="52" t="str">
        <f>"Line "&amp;A134&amp;" Above"</f>
        <v>Line 9 Above</v>
      </c>
      <c r="J145" s="39">
        <f t="shared" si="5"/>
        <v>20</v>
      </c>
    </row>
    <row r="146" spans="1:10" x14ac:dyDescent="0.25">
      <c r="A146" s="39">
        <f t="shared" si="4"/>
        <v>21</v>
      </c>
      <c r="B146" s="40" t="str">
        <f>B101</f>
        <v xml:space="preserve">     FT = Federal Income Tax Expense</v>
      </c>
      <c r="G146" s="148">
        <f>G137</f>
        <v>0</v>
      </c>
      <c r="I146" s="52" t="str">
        <f>"Line "&amp;A137&amp;" Above"</f>
        <v>Line 12 Above</v>
      </c>
      <c r="J146" s="39">
        <f t="shared" si="5"/>
        <v>21</v>
      </c>
    </row>
    <row r="147" spans="1:10" x14ac:dyDescent="0.25">
      <c r="A147" s="39">
        <f t="shared" si="4"/>
        <v>22</v>
      </c>
      <c r="B147" s="40" t="str">
        <f>B102</f>
        <v xml:space="preserve">     ST = State Income Tax Rate for Rate Effective Period</v>
      </c>
      <c r="G147" s="383">
        <f>G102</f>
        <v>8.8400000000000006E-2</v>
      </c>
      <c r="I147" s="52" t="str">
        <f>"AV2; Line "&amp;A102</f>
        <v>AV2; Line 22</v>
      </c>
      <c r="J147" s="39">
        <f t="shared" si="5"/>
        <v>22</v>
      </c>
    </row>
    <row r="148" spans="1:10" x14ac:dyDescent="0.25">
      <c r="A148" s="39">
        <f t="shared" si="4"/>
        <v>23</v>
      </c>
      <c r="B148" s="388"/>
      <c r="G148" s="149"/>
      <c r="I148" s="145"/>
      <c r="J148" s="39">
        <f t="shared" si="5"/>
        <v>23</v>
      </c>
    </row>
    <row r="149" spans="1:10" x14ac:dyDescent="0.25">
      <c r="A149" s="39">
        <f t="shared" si="4"/>
        <v>24</v>
      </c>
      <c r="B149" s="40" t="s">
        <v>164</v>
      </c>
      <c r="G149" s="377">
        <f>IFERROR(((G143)+(G144/G145)+G137)*G147/(1-G147),0)</f>
        <v>0</v>
      </c>
      <c r="I149" s="52" t="s">
        <v>165</v>
      </c>
      <c r="J149" s="39">
        <f t="shared" si="5"/>
        <v>24</v>
      </c>
    </row>
    <row r="150" spans="1:10" x14ac:dyDescent="0.25">
      <c r="A150" s="39">
        <f t="shared" si="4"/>
        <v>25</v>
      </c>
      <c r="B150" s="141" t="s">
        <v>166</v>
      </c>
      <c r="G150" s="39"/>
      <c r="I150" s="52"/>
      <c r="J150" s="39">
        <f t="shared" si="5"/>
        <v>25</v>
      </c>
    </row>
    <row r="151" spans="1:10" x14ac:dyDescent="0.25">
      <c r="A151" s="39">
        <f t="shared" si="4"/>
        <v>26</v>
      </c>
      <c r="G151" s="39"/>
      <c r="I151" s="52"/>
      <c r="J151" s="39">
        <f t="shared" si="5"/>
        <v>26</v>
      </c>
    </row>
    <row r="152" spans="1:10" x14ac:dyDescent="0.25">
      <c r="A152" s="39">
        <f t="shared" si="4"/>
        <v>27</v>
      </c>
      <c r="B152" s="44" t="s">
        <v>167</v>
      </c>
      <c r="G152" s="139">
        <f>G149+G137</f>
        <v>0</v>
      </c>
      <c r="I152" s="52" t="str">
        <f>"Line "&amp;A137&amp;" + Line "&amp;A149</f>
        <v>Line 12 + Line 24</v>
      </c>
      <c r="J152" s="39">
        <f t="shared" si="5"/>
        <v>27</v>
      </c>
    </row>
    <row r="153" spans="1:10" x14ac:dyDescent="0.25">
      <c r="A153" s="39">
        <f t="shared" si="4"/>
        <v>28</v>
      </c>
      <c r="G153" s="39"/>
      <c r="I153" s="52"/>
      <c r="J153" s="39">
        <f t="shared" si="5"/>
        <v>28</v>
      </c>
    </row>
    <row r="154" spans="1:10" x14ac:dyDescent="0.25">
      <c r="A154" s="39">
        <f t="shared" si="4"/>
        <v>29</v>
      </c>
      <c r="B154" s="44" t="s">
        <v>173</v>
      </c>
      <c r="G154" s="384">
        <f>G64</f>
        <v>0</v>
      </c>
      <c r="I154" s="52" t="str">
        <f>"AV1; Line "&amp;A64</f>
        <v>AV1; Line 53</v>
      </c>
      <c r="J154" s="39">
        <f t="shared" si="5"/>
        <v>29</v>
      </c>
    </row>
    <row r="155" spans="1:10" x14ac:dyDescent="0.25">
      <c r="A155" s="39">
        <f t="shared" si="4"/>
        <v>30</v>
      </c>
      <c r="G155" s="39"/>
      <c r="I155" s="52"/>
      <c r="J155" s="39">
        <f t="shared" si="5"/>
        <v>30</v>
      </c>
    </row>
    <row r="156" spans="1:10" ht="19.5" thickBot="1" x14ac:dyDescent="0.3">
      <c r="A156" s="39">
        <f t="shared" si="4"/>
        <v>31</v>
      </c>
      <c r="B156" s="44" t="s">
        <v>274</v>
      </c>
      <c r="G156" s="157">
        <f>G152+G154</f>
        <v>0</v>
      </c>
      <c r="I156" s="52" t="str">
        <f>"Line "&amp;A152&amp;" + Line "&amp;A154</f>
        <v>Line 27 + Line 29</v>
      </c>
      <c r="J156" s="39">
        <f t="shared" si="5"/>
        <v>31</v>
      </c>
    </row>
    <row r="157" spans="1:10" ht="16.5" thickTop="1" x14ac:dyDescent="0.25"/>
    <row r="159" spans="1:10" ht="18.75" x14ac:dyDescent="0.25">
      <c r="A159" s="71"/>
      <c r="B159" s="20"/>
    </row>
  </sheetData>
  <mergeCells count="15">
    <mergeCell ref="B121:I121"/>
    <mergeCell ref="B75:I75"/>
    <mergeCell ref="B120:I120"/>
    <mergeCell ref="B3:I3"/>
    <mergeCell ref="B4:I4"/>
    <mergeCell ref="B5:I5"/>
    <mergeCell ref="B6:I6"/>
    <mergeCell ref="B7:I7"/>
    <mergeCell ref="B117:I117"/>
    <mergeCell ref="B118:I118"/>
    <mergeCell ref="B119:I119"/>
    <mergeCell ref="B72:I72"/>
    <mergeCell ref="B73:I73"/>
    <mergeCell ref="B74:I74"/>
    <mergeCell ref="B76:I76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 STMT AV WITH COST ADJ INCL. IN APPENDIX X CYCLE 10 (ER22-139)</oddHeader>
    <oddFooter>&amp;L&amp;F&amp;CPage 11.&amp;P&amp;R&amp;A</oddFooter>
  </headerFooter>
  <rowBreaks count="2" manualBreakCount="2">
    <brk id="70" max="16383" man="1"/>
    <brk id="115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E72D-6679-4E41-9FB4-0310DDF27735}">
  <dimension ref="A1:H89"/>
  <sheetViews>
    <sheetView zoomScale="80" zoomScaleNormal="80" workbookViewId="0"/>
  </sheetViews>
  <sheetFormatPr defaultColWidth="8.7109375" defaultRowHeight="15.75" x14ac:dyDescent="0.25"/>
  <cols>
    <col min="1" max="1" width="5.140625" style="553" customWidth="1"/>
    <col min="2" max="2" width="83" style="505" customWidth="1"/>
    <col min="3" max="3" width="16.85546875" style="505" customWidth="1"/>
    <col min="4" max="4" width="1.5703125" style="505" customWidth="1"/>
    <col min="5" max="5" width="43.85546875" style="505" customWidth="1"/>
    <col min="6" max="6" width="5.140625" style="553" customWidth="1"/>
    <col min="7" max="16384" width="8.7109375" style="505"/>
  </cols>
  <sheetData>
    <row r="1" spans="1:6" x14ac:dyDescent="0.25">
      <c r="A1" s="164"/>
      <c r="B1" s="168"/>
      <c r="C1" s="504"/>
      <c r="D1" s="504"/>
      <c r="E1" s="389"/>
      <c r="F1" s="164"/>
    </row>
    <row r="2" spans="1:6" x14ac:dyDescent="0.25">
      <c r="A2" s="164"/>
      <c r="B2" s="765" t="s">
        <v>21</v>
      </c>
      <c r="C2" s="786"/>
      <c r="D2" s="786"/>
      <c r="E2" s="786"/>
      <c r="F2" s="164"/>
    </row>
    <row r="3" spans="1:6" x14ac:dyDescent="0.25">
      <c r="A3" s="164" t="s">
        <v>11</v>
      </c>
      <c r="B3" s="765" t="s">
        <v>326</v>
      </c>
      <c r="C3" s="786"/>
      <c r="D3" s="786"/>
      <c r="E3" s="786"/>
      <c r="F3" s="164" t="s">
        <v>11</v>
      </c>
    </row>
    <row r="4" spans="1:6" x14ac:dyDescent="0.25">
      <c r="A4" s="164"/>
      <c r="B4" s="783" t="s">
        <v>457</v>
      </c>
      <c r="C4" s="784"/>
      <c r="D4" s="784"/>
      <c r="E4" s="784"/>
      <c r="F4" s="164"/>
    </row>
    <row r="5" spans="1:6" x14ac:dyDescent="0.25">
      <c r="A5" s="164"/>
      <c r="B5" s="785" t="s">
        <v>1</v>
      </c>
      <c r="C5" s="786"/>
      <c r="D5" s="786"/>
      <c r="E5" s="786"/>
      <c r="F5" s="164"/>
    </row>
    <row r="6" spans="1:6" x14ac:dyDescent="0.25">
      <c r="A6" s="164"/>
      <c r="B6" s="653"/>
      <c r="C6" s="168"/>
      <c r="D6" s="168"/>
      <c r="E6" s="168"/>
      <c r="F6" s="164"/>
    </row>
    <row r="7" spans="1:6" x14ac:dyDescent="0.25">
      <c r="A7" s="164" t="s">
        <v>2</v>
      </c>
      <c r="B7" s="168"/>
      <c r="C7" s="506"/>
      <c r="D7" s="506"/>
      <c r="E7" s="167"/>
      <c r="F7" s="164" t="s">
        <v>2</v>
      </c>
    </row>
    <row r="8" spans="1:6" x14ac:dyDescent="0.25">
      <c r="A8" s="164" t="s">
        <v>6</v>
      </c>
      <c r="B8" s="168" t="s">
        <v>11</v>
      </c>
      <c r="C8" s="507" t="s">
        <v>4</v>
      </c>
      <c r="D8" s="506"/>
      <c r="E8" s="508" t="s">
        <v>5</v>
      </c>
      <c r="F8" s="164" t="s">
        <v>6</v>
      </c>
    </row>
    <row r="9" spans="1:6" x14ac:dyDescent="0.25">
      <c r="A9" s="164"/>
      <c r="B9" s="331" t="s">
        <v>327</v>
      </c>
      <c r="C9" s="509"/>
      <c r="D9" s="506"/>
      <c r="E9" s="167"/>
      <c r="F9" s="164"/>
    </row>
    <row r="10" spans="1:6" x14ac:dyDescent="0.25">
      <c r="A10" s="164"/>
      <c r="B10" s="510"/>
      <c r="C10" s="509"/>
      <c r="D10" s="506"/>
      <c r="E10" s="167"/>
      <c r="F10" s="164"/>
    </row>
    <row r="11" spans="1:6" x14ac:dyDescent="0.25">
      <c r="A11" s="164">
        <v>1</v>
      </c>
      <c r="B11" s="331" t="s">
        <v>328</v>
      </c>
      <c r="C11" s="509"/>
      <c r="D11" s="509"/>
      <c r="E11" s="167"/>
      <c r="F11" s="164">
        <f>A11</f>
        <v>1</v>
      </c>
    </row>
    <row r="12" spans="1:6" x14ac:dyDescent="0.25">
      <c r="A12" s="164">
        <f>A11+1</f>
        <v>2</v>
      </c>
      <c r="B12" s="189" t="s">
        <v>329</v>
      </c>
      <c r="C12" s="511">
        <f>C78</f>
        <v>4996735.4096653843</v>
      </c>
      <c r="D12" s="27"/>
      <c r="E12" s="215" t="s">
        <v>528</v>
      </c>
      <c r="F12" s="164">
        <f>F11+1</f>
        <v>2</v>
      </c>
    </row>
    <row r="13" spans="1:6" x14ac:dyDescent="0.25">
      <c r="A13" s="164">
        <f t="shared" ref="A13:A48" si="0">A12+1</f>
        <v>3</v>
      </c>
      <c r="B13" s="189" t="s">
        <v>18</v>
      </c>
      <c r="C13" s="512">
        <f>C79</f>
        <v>4323.4788759540897</v>
      </c>
      <c r="D13" s="513"/>
      <c r="E13" s="215" t="s">
        <v>529</v>
      </c>
      <c r="F13" s="164">
        <f t="shared" ref="F13:F48" si="1">F12+1</f>
        <v>3</v>
      </c>
    </row>
    <row r="14" spans="1:6" x14ac:dyDescent="0.25">
      <c r="A14" s="164">
        <f t="shared" si="0"/>
        <v>4</v>
      </c>
      <c r="B14" s="189" t="s">
        <v>19</v>
      </c>
      <c r="C14" s="512">
        <f>C80</f>
        <v>30239.351098987459</v>
      </c>
      <c r="D14" s="513"/>
      <c r="E14" s="215" t="s">
        <v>530</v>
      </c>
      <c r="F14" s="164">
        <f t="shared" si="1"/>
        <v>4</v>
      </c>
    </row>
    <row r="15" spans="1:6" x14ac:dyDescent="0.25">
      <c r="A15" s="164">
        <f t="shared" si="0"/>
        <v>5</v>
      </c>
      <c r="B15" s="189" t="s">
        <v>330</v>
      </c>
      <c r="C15" s="514">
        <f>C81</f>
        <v>56838.313075711041</v>
      </c>
      <c r="D15" s="513"/>
      <c r="E15" s="215" t="s">
        <v>531</v>
      </c>
      <c r="F15" s="164">
        <f t="shared" si="1"/>
        <v>5</v>
      </c>
    </row>
    <row r="16" spans="1:6" x14ac:dyDescent="0.25">
      <c r="A16" s="164">
        <f t="shared" si="0"/>
        <v>6</v>
      </c>
      <c r="B16" s="189" t="s">
        <v>331</v>
      </c>
      <c r="C16" s="515">
        <f>SUM(C12:C15)</f>
        <v>5088136.5527160363</v>
      </c>
      <c r="D16" s="27"/>
      <c r="E16" s="215" t="s">
        <v>532</v>
      </c>
      <c r="F16" s="164">
        <f t="shared" si="1"/>
        <v>6</v>
      </c>
    </row>
    <row r="17" spans="1:6" x14ac:dyDescent="0.25">
      <c r="A17" s="164">
        <f t="shared" si="0"/>
        <v>7</v>
      </c>
      <c r="B17" s="275"/>
      <c r="C17" s="517"/>
      <c r="D17" s="518"/>
      <c r="E17" s="167"/>
      <c r="F17" s="164">
        <f t="shared" si="1"/>
        <v>7</v>
      </c>
    </row>
    <row r="18" spans="1:6" x14ac:dyDescent="0.25">
      <c r="A18" s="164">
        <f t="shared" si="0"/>
        <v>8</v>
      </c>
      <c r="B18" s="331" t="s">
        <v>332</v>
      </c>
      <c r="C18" s="517"/>
      <c r="D18" s="518"/>
      <c r="E18" s="167"/>
      <c r="F18" s="164">
        <f t="shared" si="1"/>
        <v>8</v>
      </c>
    </row>
    <row r="19" spans="1:6" x14ac:dyDescent="0.25">
      <c r="A19" s="164">
        <f t="shared" si="0"/>
        <v>9</v>
      </c>
      <c r="B19" s="189" t="s">
        <v>333</v>
      </c>
      <c r="C19" s="519">
        <v>0</v>
      </c>
      <c r="D19" s="506"/>
      <c r="E19" s="215" t="s">
        <v>533</v>
      </c>
      <c r="F19" s="164">
        <f t="shared" si="1"/>
        <v>9</v>
      </c>
    </row>
    <row r="20" spans="1:6" x14ac:dyDescent="0.25">
      <c r="A20" s="164">
        <f t="shared" si="0"/>
        <v>10</v>
      </c>
      <c r="B20" s="189" t="s">
        <v>334</v>
      </c>
      <c r="C20" s="520">
        <v>0</v>
      </c>
      <c r="D20" s="506"/>
      <c r="E20" s="215" t="s">
        <v>534</v>
      </c>
      <c r="F20" s="164">
        <f t="shared" si="1"/>
        <v>10</v>
      </c>
    </row>
    <row r="21" spans="1:6" x14ac:dyDescent="0.25">
      <c r="A21" s="164">
        <f t="shared" si="0"/>
        <v>11</v>
      </c>
      <c r="B21" s="189" t="s">
        <v>335</v>
      </c>
      <c r="C21" s="521">
        <f>C19+C20</f>
        <v>0</v>
      </c>
      <c r="D21" s="522"/>
      <c r="E21" s="215" t="s">
        <v>535</v>
      </c>
      <c r="F21" s="164">
        <f t="shared" si="1"/>
        <v>11</v>
      </c>
    </row>
    <row r="22" spans="1:6" x14ac:dyDescent="0.25">
      <c r="A22" s="164">
        <f t="shared" si="0"/>
        <v>12</v>
      </c>
      <c r="B22" s="189"/>
      <c r="C22" s="523"/>
      <c r="D22" s="504"/>
      <c r="E22" s="167"/>
      <c r="F22" s="164">
        <f t="shared" si="1"/>
        <v>12</v>
      </c>
    </row>
    <row r="23" spans="1:6" x14ac:dyDescent="0.25">
      <c r="A23" s="164">
        <f t="shared" si="0"/>
        <v>13</v>
      </c>
      <c r="B23" s="331" t="s">
        <v>336</v>
      </c>
      <c r="C23" s="517"/>
      <c r="D23" s="518"/>
      <c r="E23" s="167"/>
      <c r="F23" s="164">
        <f t="shared" si="1"/>
        <v>13</v>
      </c>
    </row>
    <row r="24" spans="1:6" x14ac:dyDescent="0.25">
      <c r="A24" s="164">
        <f t="shared" si="0"/>
        <v>14</v>
      </c>
      <c r="B24" s="275" t="s">
        <v>337</v>
      </c>
      <c r="C24" s="524">
        <v>-856706.3276977893</v>
      </c>
      <c r="D24" s="506"/>
      <c r="E24" s="215" t="s">
        <v>536</v>
      </c>
      <c r="F24" s="164">
        <f t="shared" si="1"/>
        <v>14</v>
      </c>
    </row>
    <row r="25" spans="1:6" x14ac:dyDescent="0.25">
      <c r="A25" s="164">
        <f t="shared" si="0"/>
        <v>15</v>
      </c>
      <c r="B25" s="275" t="s">
        <v>338</v>
      </c>
      <c r="C25" s="525">
        <v>0</v>
      </c>
      <c r="D25" s="506"/>
      <c r="E25" s="215" t="s">
        <v>537</v>
      </c>
      <c r="F25" s="164">
        <f t="shared" si="1"/>
        <v>15</v>
      </c>
    </row>
    <row r="26" spans="1:6" x14ac:dyDescent="0.25">
      <c r="A26" s="164">
        <f t="shared" si="0"/>
        <v>16</v>
      </c>
      <c r="B26" s="189" t="s">
        <v>339</v>
      </c>
      <c r="C26" s="515">
        <f>SUM(C24:C25)</f>
        <v>-856706.3276977893</v>
      </c>
      <c r="D26" s="516"/>
      <c r="E26" s="215" t="s">
        <v>538</v>
      </c>
      <c r="F26" s="164">
        <f t="shared" si="1"/>
        <v>16</v>
      </c>
    </row>
    <row r="27" spans="1:6" x14ac:dyDescent="0.25">
      <c r="A27" s="164">
        <f t="shared" si="0"/>
        <v>17</v>
      </c>
      <c r="B27" s="168"/>
      <c r="C27" s="526"/>
      <c r="D27" s="527"/>
      <c r="E27" s="167"/>
      <c r="F27" s="164">
        <f t="shared" si="1"/>
        <v>17</v>
      </c>
    </row>
    <row r="28" spans="1:6" x14ac:dyDescent="0.25">
      <c r="A28" s="164">
        <f t="shared" si="0"/>
        <v>18</v>
      </c>
      <c r="B28" s="331" t="s">
        <v>340</v>
      </c>
      <c r="C28" s="526"/>
      <c r="D28" s="527"/>
      <c r="E28" s="167"/>
      <c r="F28" s="164">
        <f t="shared" si="1"/>
        <v>18</v>
      </c>
    </row>
    <row r="29" spans="1:6" x14ac:dyDescent="0.25">
      <c r="A29" s="164">
        <f t="shared" si="0"/>
        <v>19</v>
      </c>
      <c r="B29" s="189" t="s">
        <v>341</v>
      </c>
      <c r="C29" s="511">
        <f>'Pg9.1 Rev Stmt AL-Cost Adj'!G16</f>
        <v>50939.981334164491</v>
      </c>
      <c r="D29" s="506"/>
      <c r="E29" s="215" t="s">
        <v>467</v>
      </c>
      <c r="F29" s="164">
        <f t="shared" si="1"/>
        <v>19</v>
      </c>
    </row>
    <row r="30" spans="1:6" x14ac:dyDescent="0.25">
      <c r="A30" s="164">
        <f t="shared" si="0"/>
        <v>20</v>
      </c>
      <c r="B30" s="189" t="s">
        <v>342</v>
      </c>
      <c r="C30" s="512">
        <f>'Pg9.1 Rev Stmt AL-Cost Adj'!G20</f>
        <v>25515.262566078305</v>
      </c>
      <c r="D30" s="506"/>
      <c r="E30" s="215" t="s">
        <v>468</v>
      </c>
      <c r="F30" s="164">
        <f t="shared" si="1"/>
        <v>20</v>
      </c>
    </row>
    <row r="31" spans="1:6" x14ac:dyDescent="0.25">
      <c r="A31" s="164">
        <f t="shared" si="0"/>
        <v>21</v>
      </c>
      <c r="B31" s="189" t="s">
        <v>343</v>
      </c>
      <c r="C31" s="528">
        <f>'Pg9 Rev Stmt AL'!E29</f>
        <v>10324.483277525782</v>
      </c>
      <c r="D31" s="27" t="s">
        <v>16</v>
      </c>
      <c r="E31" s="215" t="s">
        <v>623</v>
      </c>
      <c r="F31" s="164">
        <f t="shared" si="1"/>
        <v>21</v>
      </c>
    </row>
    <row r="32" spans="1:6" x14ac:dyDescent="0.25">
      <c r="A32" s="164">
        <f t="shared" si="0"/>
        <v>22</v>
      </c>
      <c r="B32" s="189" t="s">
        <v>344</v>
      </c>
      <c r="C32" s="529">
        <f>SUM(C29:C31)</f>
        <v>86779.727177768582</v>
      </c>
      <c r="D32" s="27" t="s">
        <v>16</v>
      </c>
      <c r="E32" s="215" t="s">
        <v>539</v>
      </c>
      <c r="F32" s="164">
        <f t="shared" si="1"/>
        <v>22</v>
      </c>
    </row>
    <row r="33" spans="1:6" x14ac:dyDescent="0.25">
      <c r="A33" s="164">
        <f t="shared" si="0"/>
        <v>23</v>
      </c>
      <c r="B33" s="191"/>
      <c r="C33" s="530"/>
      <c r="D33" s="531"/>
      <c r="E33" s="167"/>
      <c r="F33" s="164">
        <f t="shared" si="1"/>
        <v>23</v>
      </c>
    </row>
    <row r="34" spans="1:6" x14ac:dyDescent="0.25">
      <c r="A34" s="164">
        <f t="shared" si="0"/>
        <v>24</v>
      </c>
      <c r="B34" s="189" t="s">
        <v>345</v>
      </c>
      <c r="C34" s="532">
        <v>0</v>
      </c>
      <c r="D34" s="506"/>
      <c r="E34" s="215" t="s">
        <v>540</v>
      </c>
      <c r="F34" s="164">
        <f t="shared" si="1"/>
        <v>24</v>
      </c>
    </row>
    <row r="35" spans="1:6" x14ac:dyDescent="0.25">
      <c r="A35" s="164">
        <f t="shared" si="0"/>
        <v>25</v>
      </c>
      <c r="B35" s="189"/>
      <c r="C35" s="530"/>
      <c r="D35" s="531"/>
      <c r="E35" s="167"/>
      <c r="F35" s="164">
        <f t="shared" si="1"/>
        <v>25</v>
      </c>
    </row>
    <row r="36" spans="1:6" ht="16.5" thickBot="1" x14ac:dyDescent="0.3">
      <c r="A36" s="164">
        <f t="shared" si="0"/>
        <v>26</v>
      </c>
      <c r="B36" s="189" t="s">
        <v>346</v>
      </c>
      <c r="C36" s="533">
        <f>C16+C21+C26+C32+C34</f>
        <v>4318209.952196016</v>
      </c>
      <c r="D36" s="27" t="s">
        <v>16</v>
      </c>
      <c r="E36" s="215" t="s">
        <v>541</v>
      </c>
      <c r="F36" s="164">
        <f t="shared" si="1"/>
        <v>26</v>
      </c>
    </row>
    <row r="37" spans="1:6" ht="16.5" thickTop="1" x14ac:dyDescent="0.25">
      <c r="A37" s="164">
        <f t="shared" si="0"/>
        <v>27</v>
      </c>
      <c r="B37" s="191"/>
      <c r="C37" s="534"/>
      <c r="D37" s="516"/>
      <c r="E37" s="167"/>
      <c r="F37" s="164">
        <f t="shared" si="1"/>
        <v>27</v>
      </c>
    </row>
    <row r="38" spans="1:6" x14ac:dyDescent="0.25">
      <c r="A38" s="164">
        <f t="shared" si="0"/>
        <v>28</v>
      </c>
      <c r="B38" s="331" t="s">
        <v>347</v>
      </c>
      <c r="C38" s="534"/>
      <c r="D38" s="516"/>
      <c r="E38" s="167"/>
      <c r="F38" s="164">
        <f t="shared" si="1"/>
        <v>28</v>
      </c>
    </row>
    <row r="39" spans="1:6" x14ac:dyDescent="0.25">
      <c r="A39" s="164">
        <f t="shared" si="0"/>
        <v>29</v>
      </c>
      <c r="B39" s="189" t="s">
        <v>348</v>
      </c>
      <c r="C39" s="535">
        <v>0</v>
      </c>
      <c r="D39" s="536"/>
      <c r="E39" s="215" t="s">
        <v>17</v>
      </c>
      <c r="F39" s="164">
        <f t="shared" si="1"/>
        <v>29</v>
      </c>
    </row>
    <row r="40" spans="1:6" x14ac:dyDescent="0.25">
      <c r="A40" s="164">
        <f t="shared" si="0"/>
        <v>30</v>
      </c>
      <c r="B40" s="189" t="s">
        <v>349</v>
      </c>
      <c r="C40" s="537">
        <v>0</v>
      </c>
      <c r="D40" s="506"/>
      <c r="E40" s="215" t="s">
        <v>17</v>
      </c>
      <c r="F40" s="164">
        <f t="shared" si="1"/>
        <v>30</v>
      </c>
    </row>
    <row r="41" spans="1:6" x14ac:dyDescent="0.25">
      <c r="A41" s="164">
        <f t="shared" si="0"/>
        <v>31</v>
      </c>
      <c r="B41" s="275" t="s">
        <v>350</v>
      </c>
      <c r="C41" s="529">
        <f>C39+C40</f>
        <v>0</v>
      </c>
      <c r="D41" s="516"/>
      <c r="E41" s="215" t="s">
        <v>542</v>
      </c>
      <c r="F41" s="164">
        <f t="shared" si="1"/>
        <v>31</v>
      </c>
    </row>
    <row r="42" spans="1:6" x14ac:dyDescent="0.25">
      <c r="A42" s="164">
        <f t="shared" si="0"/>
        <v>32</v>
      </c>
      <c r="B42" s="191"/>
      <c r="C42" s="534"/>
      <c r="D42" s="516"/>
      <c r="E42" s="167"/>
      <c r="F42" s="164">
        <f t="shared" si="1"/>
        <v>32</v>
      </c>
    </row>
    <row r="43" spans="1:6" x14ac:dyDescent="0.25">
      <c r="A43" s="164">
        <f t="shared" si="0"/>
        <v>33</v>
      </c>
      <c r="B43" s="331" t="s">
        <v>351</v>
      </c>
      <c r="C43" s="534"/>
      <c r="D43" s="516"/>
      <c r="E43" s="167"/>
      <c r="F43" s="164">
        <f t="shared" si="1"/>
        <v>33</v>
      </c>
    </row>
    <row r="44" spans="1:6" x14ac:dyDescent="0.25">
      <c r="A44" s="164">
        <f t="shared" si="0"/>
        <v>34</v>
      </c>
      <c r="B44" s="189" t="s">
        <v>352</v>
      </c>
      <c r="C44" s="535">
        <v>0</v>
      </c>
      <c r="D44" s="506"/>
      <c r="E44" s="215" t="s">
        <v>17</v>
      </c>
      <c r="F44" s="164">
        <f t="shared" si="1"/>
        <v>34</v>
      </c>
    </row>
    <row r="45" spans="1:6" x14ac:dyDescent="0.25">
      <c r="A45" s="164">
        <f t="shared" si="0"/>
        <v>35</v>
      </c>
      <c r="B45" s="275" t="s">
        <v>353</v>
      </c>
      <c r="C45" s="538">
        <v>0</v>
      </c>
      <c r="D45" s="506"/>
      <c r="E45" s="215" t="s">
        <v>17</v>
      </c>
      <c r="F45" s="164">
        <f t="shared" si="1"/>
        <v>35</v>
      </c>
    </row>
    <row r="46" spans="1:6" x14ac:dyDescent="0.25">
      <c r="A46" s="164">
        <f t="shared" si="0"/>
        <v>36</v>
      </c>
      <c r="B46" s="275" t="s">
        <v>354</v>
      </c>
      <c r="C46" s="529">
        <f>C44+C45</f>
        <v>0</v>
      </c>
      <c r="D46" s="516"/>
      <c r="E46" s="215" t="s">
        <v>543</v>
      </c>
      <c r="F46" s="164">
        <f t="shared" si="1"/>
        <v>36</v>
      </c>
    </row>
    <row r="47" spans="1:6" x14ac:dyDescent="0.25">
      <c r="A47" s="164">
        <f t="shared" si="0"/>
        <v>37</v>
      </c>
      <c r="B47" s="191"/>
      <c r="C47" s="534"/>
      <c r="D47" s="516"/>
      <c r="E47" s="167"/>
      <c r="F47" s="164">
        <f t="shared" si="1"/>
        <v>37</v>
      </c>
    </row>
    <row r="48" spans="1:6" ht="16.5" thickBot="1" x14ac:dyDescent="0.3">
      <c r="A48" s="164">
        <f t="shared" si="0"/>
        <v>38</v>
      </c>
      <c r="B48" s="331" t="s">
        <v>355</v>
      </c>
      <c r="C48" s="539">
        <v>0</v>
      </c>
      <c r="D48" s="506"/>
      <c r="E48" s="215" t="s">
        <v>17</v>
      </c>
      <c r="F48" s="164">
        <f t="shared" si="1"/>
        <v>38</v>
      </c>
    </row>
    <row r="49" spans="1:8" ht="16.5" thickTop="1" x14ac:dyDescent="0.25">
      <c r="A49" s="164"/>
      <c r="B49" s="191"/>
      <c r="C49" s="534"/>
      <c r="D49" s="516"/>
      <c r="E49" s="167"/>
      <c r="F49" s="164"/>
    </row>
    <row r="50" spans="1:8" x14ac:dyDescent="0.25">
      <c r="A50" s="27" t="s">
        <v>16</v>
      </c>
      <c r="B50" s="25" t="s">
        <v>627</v>
      </c>
      <c r="C50" s="168"/>
      <c r="D50" s="168"/>
      <c r="E50" s="168"/>
      <c r="F50" s="164"/>
    </row>
    <row r="51" spans="1:8" x14ac:dyDescent="0.25">
      <c r="A51" s="27"/>
      <c r="B51" s="25" t="s">
        <v>634</v>
      </c>
      <c r="C51" s="168"/>
      <c r="D51" s="168"/>
      <c r="E51" s="168"/>
      <c r="F51" s="164"/>
    </row>
    <row r="52" spans="1:8" x14ac:dyDescent="0.25">
      <c r="A52" s="27"/>
      <c r="B52" s="25"/>
      <c r="C52" s="168"/>
      <c r="D52" s="168"/>
      <c r="E52" s="168"/>
      <c r="F52" s="164"/>
    </row>
    <row r="53" spans="1:8" x14ac:dyDescent="0.25">
      <c r="A53" s="27"/>
      <c r="B53" s="25"/>
      <c r="C53" s="168"/>
      <c r="D53" s="168"/>
      <c r="E53" s="168"/>
      <c r="F53" s="164"/>
    </row>
    <row r="54" spans="1:8" x14ac:dyDescent="0.25">
      <c r="A54" s="164"/>
      <c r="B54" s="765" t="str">
        <f>B2</f>
        <v>SAN DIEGO GAS &amp; ELECTRIC COMPANY</v>
      </c>
      <c r="C54" s="786"/>
      <c r="D54" s="786"/>
      <c r="E54" s="786"/>
      <c r="F54" s="164"/>
    </row>
    <row r="55" spans="1:8" x14ac:dyDescent="0.25">
      <c r="A55" s="164"/>
      <c r="B55" s="765" t="str">
        <f>B3</f>
        <v xml:space="preserve">Derivation of End Use Transmission Rate Base </v>
      </c>
      <c r="C55" s="786"/>
      <c r="D55" s="786"/>
      <c r="E55" s="786"/>
      <c r="F55" s="164"/>
    </row>
    <row r="56" spans="1:8" x14ac:dyDescent="0.25">
      <c r="A56" s="164"/>
      <c r="B56" s="783" t="str">
        <f>B4</f>
        <v>Base Period &amp; True-Up Period 12 - Months Ending December 31, 2019</v>
      </c>
      <c r="C56" s="784"/>
      <c r="D56" s="784"/>
      <c r="E56" s="784"/>
      <c r="F56" s="164"/>
    </row>
    <row r="57" spans="1:8" x14ac:dyDescent="0.25">
      <c r="A57" s="164"/>
      <c r="B57" s="785" t="s">
        <v>1</v>
      </c>
      <c r="C57" s="786"/>
      <c r="D57" s="786"/>
      <c r="E57" s="786"/>
      <c r="F57" s="164"/>
    </row>
    <row r="58" spans="1:8" x14ac:dyDescent="0.25">
      <c r="A58" s="164"/>
      <c r="B58" s="653"/>
      <c r="C58" s="168"/>
      <c r="D58" s="168"/>
      <c r="E58" s="168"/>
      <c r="F58" s="164"/>
    </row>
    <row r="59" spans="1:8" x14ac:dyDescent="0.25">
      <c r="A59" s="164" t="s">
        <v>2</v>
      </c>
      <c r="B59" s="653"/>
      <c r="C59" s="168"/>
      <c r="D59" s="168"/>
      <c r="E59" s="168"/>
      <c r="F59" s="164"/>
    </row>
    <row r="60" spans="1:8" x14ac:dyDescent="0.25">
      <c r="A60" s="164" t="s">
        <v>6</v>
      </c>
      <c r="B60" s="653"/>
      <c r="C60" s="168"/>
      <c r="D60" s="168"/>
      <c r="E60" s="168"/>
      <c r="F60" s="164"/>
    </row>
    <row r="61" spans="1:8" x14ac:dyDescent="0.25">
      <c r="A61" s="164"/>
      <c r="B61" s="331" t="s">
        <v>356</v>
      </c>
      <c r="C61" s="168"/>
      <c r="D61" s="168"/>
      <c r="E61" s="168"/>
      <c r="F61" s="164"/>
    </row>
    <row r="62" spans="1:8" x14ac:dyDescent="0.25">
      <c r="A62" s="164"/>
      <c r="B62" s="510"/>
      <c r="C62" s="506"/>
      <c r="D62" s="506"/>
      <c r="E62" s="167"/>
      <c r="F62" s="164"/>
    </row>
    <row r="63" spans="1:8" x14ac:dyDescent="0.25">
      <c r="A63" s="164">
        <v>1</v>
      </c>
      <c r="B63" s="331" t="s">
        <v>357</v>
      </c>
      <c r="C63" s="506"/>
      <c r="D63" s="506"/>
      <c r="E63" s="167"/>
      <c r="F63" s="164">
        <f t="shared" ref="F63:F87" si="2">A63</f>
        <v>1</v>
      </c>
    </row>
    <row r="64" spans="1:8" x14ac:dyDescent="0.25">
      <c r="A64" s="164">
        <v>2</v>
      </c>
      <c r="B64" s="189" t="s">
        <v>329</v>
      </c>
      <c r="C64" s="540">
        <v>6268562.5495546153</v>
      </c>
      <c r="D64" s="506"/>
      <c r="E64" s="215" t="s">
        <v>544</v>
      </c>
      <c r="F64" s="164">
        <f t="shared" si="2"/>
        <v>2</v>
      </c>
      <c r="G64" s="541"/>
      <c r="H64" s="542"/>
    </row>
    <row r="65" spans="1:8" x14ac:dyDescent="0.25">
      <c r="A65" s="164">
        <v>3</v>
      </c>
      <c r="B65" s="189" t="s">
        <v>358</v>
      </c>
      <c r="C65" s="543">
        <v>18688.631684667187</v>
      </c>
      <c r="D65" s="506"/>
      <c r="E65" s="215" t="s">
        <v>545</v>
      </c>
      <c r="F65" s="164">
        <f t="shared" si="2"/>
        <v>3</v>
      </c>
      <c r="G65" s="541"/>
      <c r="H65" s="542"/>
    </row>
    <row r="66" spans="1:8" x14ac:dyDescent="0.25">
      <c r="A66" s="164">
        <v>4</v>
      </c>
      <c r="B66" s="189" t="s">
        <v>19</v>
      </c>
      <c r="C66" s="543">
        <v>48373.508859840331</v>
      </c>
      <c r="D66" s="506"/>
      <c r="E66" s="215" t="s">
        <v>505</v>
      </c>
      <c r="F66" s="164">
        <f t="shared" si="2"/>
        <v>4</v>
      </c>
      <c r="G66" s="541"/>
      <c r="H66" s="544"/>
    </row>
    <row r="67" spans="1:8" x14ac:dyDescent="0.25">
      <c r="A67" s="164">
        <v>5</v>
      </c>
      <c r="B67" s="189" t="s">
        <v>330</v>
      </c>
      <c r="C67" s="545">
        <v>108383.68918448385</v>
      </c>
      <c r="D67" s="506"/>
      <c r="E67" s="215" t="s">
        <v>506</v>
      </c>
      <c r="F67" s="164">
        <f t="shared" si="2"/>
        <v>5</v>
      </c>
      <c r="G67" s="542"/>
      <c r="H67" s="542"/>
    </row>
    <row r="68" spans="1:8" x14ac:dyDescent="0.25">
      <c r="A68" s="164">
        <v>6</v>
      </c>
      <c r="B68" s="189" t="s">
        <v>359</v>
      </c>
      <c r="C68" s="515">
        <f>SUM(C64:C67)</f>
        <v>6444008.379283607</v>
      </c>
      <c r="D68" s="516"/>
      <c r="E68" s="215" t="s">
        <v>532</v>
      </c>
      <c r="F68" s="164">
        <f t="shared" si="2"/>
        <v>6</v>
      </c>
      <c r="G68" s="541"/>
      <c r="H68" s="542"/>
    </row>
    <row r="69" spans="1:8" x14ac:dyDescent="0.25">
      <c r="A69" s="164">
        <v>7</v>
      </c>
      <c r="B69" s="275"/>
      <c r="C69" s="546"/>
      <c r="D69" s="506"/>
      <c r="E69" s="167"/>
      <c r="F69" s="164">
        <f t="shared" si="2"/>
        <v>7</v>
      </c>
      <c r="G69" s="542"/>
      <c r="H69" s="542"/>
    </row>
    <row r="70" spans="1:8" x14ac:dyDescent="0.25">
      <c r="A70" s="164">
        <v>8</v>
      </c>
      <c r="B70" s="330" t="s">
        <v>360</v>
      </c>
      <c r="C70" s="546"/>
      <c r="D70" s="506"/>
      <c r="E70" s="167"/>
      <c r="F70" s="164">
        <f t="shared" si="2"/>
        <v>8</v>
      </c>
      <c r="G70" s="542"/>
      <c r="H70" s="542"/>
    </row>
    <row r="71" spans="1:8" x14ac:dyDescent="0.25">
      <c r="A71" s="164">
        <v>9</v>
      </c>
      <c r="B71" s="275" t="s">
        <v>361</v>
      </c>
      <c r="C71" s="540">
        <v>1271827.139889231</v>
      </c>
      <c r="D71" s="27"/>
      <c r="E71" s="215" t="s">
        <v>546</v>
      </c>
      <c r="F71" s="164">
        <f t="shared" si="2"/>
        <v>9</v>
      </c>
      <c r="G71" s="542"/>
      <c r="H71" s="542"/>
    </row>
    <row r="72" spans="1:8" x14ac:dyDescent="0.25">
      <c r="A72" s="164">
        <v>10</v>
      </c>
      <c r="B72" s="275" t="s">
        <v>362</v>
      </c>
      <c r="C72" s="543">
        <v>14365.152808713097</v>
      </c>
      <c r="D72" s="506"/>
      <c r="E72" s="215" t="s">
        <v>547</v>
      </c>
      <c r="F72" s="164">
        <f t="shared" si="2"/>
        <v>10</v>
      </c>
      <c r="G72" s="542"/>
      <c r="H72" s="542"/>
    </row>
    <row r="73" spans="1:8" x14ac:dyDescent="0.25">
      <c r="A73" s="164">
        <v>11</v>
      </c>
      <c r="B73" s="275" t="s">
        <v>363</v>
      </c>
      <c r="C73" s="543">
        <v>18134.157760852871</v>
      </c>
      <c r="D73" s="506"/>
      <c r="E73" s="215" t="s">
        <v>548</v>
      </c>
      <c r="F73" s="164">
        <f t="shared" si="2"/>
        <v>11</v>
      </c>
      <c r="G73" s="542"/>
      <c r="H73" s="542"/>
    </row>
    <row r="74" spans="1:8" x14ac:dyDescent="0.25">
      <c r="A74" s="164">
        <v>12</v>
      </c>
      <c r="B74" s="275" t="s">
        <v>364</v>
      </c>
      <c r="C74" s="545">
        <v>51545.376108772813</v>
      </c>
      <c r="D74" s="506"/>
      <c r="E74" s="215" t="s">
        <v>549</v>
      </c>
      <c r="F74" s="164">
        <f t="shared" si="2"/>
        <v>12</v>
      </c>
      <c r="G74" s="542"/>
      <c r="H74" s="542"/>
    </row>
    <row r="75" spans="1:8" x14ac:dyDescent="0.25">
      <c r="A75" s="164">
        <v>13</v>
      </c>
      <c r="B75" s="547" t="s">
        <v>365</v>
      </c>
      <c r="C75" s="515">
        <f>SUM(C71:C74)</f>
        <v>1355871.8265675697</v>
      </c>
      <c r="D75" s="27"/>
      <c r="E75" s="215" t="s">
        <v>550</v>
      </c>
      <c r="F75" s="164">
        <f t="shared" si="2"/>
        <v>13</v>
      </c>
      <c r="G75" s="542"/>
      <c r="H75" s="542"/>
    </row>
    <row r="76" spans="1:8" x14ac:dyDescent="0.25">
      <c r="A76" s="164">
        <v>14</v>
      </c>
      <c r="B76" s="547"/>
      <c r="C76" s="526"/>
      <c r="D76" s="527"/>
      <c r="E76" s="167"/>
      <c r="F76" s="164">
        <f t="shared" si="2"/>
        <v>14</v>
      </c>
      <c r="G76" s="542"/>
      <c r="H76" s="542"/>
    </row>
    <row r="77" spans="1:8" x14ac:dyDescent="0.25">
      <c r="A77" s="164">
        <v>15</v>
      </c>
      <c r="B77" s="331" t="s">
        <v>328</v>
      </c>
      <c r="C77" s="526"/>
      <c r="D77" s="527"/>
      <c r="E77" s="167"/>
      <c r="F77" s="164">
        <f t="shared" si="2"/>
        <v>15</v>
      </c>
      <c r="G77" s="542"/>
      <c r="H77" s="542"/>
    </row>
    <row r="78" spans="1:8" x14ac:dyDescent="0.25">
      <c r="A78" s="164">
        <v>16</v>
      </c>
      <c r="B78" s="189" t="s">
        <v>329</v>
      </c>
      <c r="C78" s="736">
        <f>C64-C71</f>
        <v>4996735.4096653843</v>
      </c>
      <c r="D78" s="27"/>
      <c r="E78" s="215" t="s">
        <v>551</v>
      </c>
      <c r="F78" s="164">
        <f t="shared" si="2"/>
        <v>16</v>
      </c>
      <c r="G78" s="542"/>
      <c r="H78" s="542"/>
    </row>
    <row r="79" spans="1:8" x14ac:dyDescent="0.25">
      <c r="A79" s="164">
        <v>17</v>
      </c>
      <c r="B79" s="189" t="s">
        <v>18</v>
      </c>
      <c r="C79" s="548">
        <f>C65-C72</f>
        <v>4323.4788759540897</v>
      </c>
      <c r="D79" s="549"/>
      <c r="E79" s="215" t="s">
        <v>552</v>
      </c>
      <c r="F79" s="164">
        <f t="shared" si="2"/>
        <v>17</v>
      </c>
      <c r="G79" s="542"/>
      <c r="H79" s="542"/>
    </row>
    <row r="80" spans="1:8" x14ac:dyDescent="0.25">
      <c r="A80" s="164">
        <v>18</v>
      </c>
      <c r="B80" s="189" t="s">
        <v>19</v>
      </c>
      <c r="C80" s="548">
        <f>C66-C73</f>
        <v>30239.351098987459</v>
      </c>
      <c r="D80" s="549"/>
      <c r="E80" s="215" t="s">
        <v>553</v>
      </c>
      <c r="F80" s="164">
        <f t="shared" si="2"/>
        <v>18</v>
      </c>
    </row>
    <row r="81" spans="1:6" x14ac:dyDescent="0.25">
      <c r="A81" s="164">
        <v>19</v>
      </c>
      <c r="B81" s="189" t="s">
        <v>330</v>
      </c>
      <c r="C81" s="550">
        <f>C67-C74</f>
        <v>56838.313075711041</v>
      </c>
      <c r="D81" s="551"/>
      <c r="E81" s="215" t="s">
        <v>554</v>
      </c>
      <c r="F81" s="164">
        <f t="shared" si="2"/>
        <v>19</v>
      </c>
    </row>
    <row r="82" spans="1:6" ht="16.5" thickBot="1" x14ac:dyDescent="0.3">
      <c r="A82" s="164">
        <v>20</v>
      </c>
      <c r="B82" s="275" t="s">
        <v>331</v>
      </c>
      <c r="C82" s="737">
        <f>SUM(C78:C81)</f>
        <v>5088136.5527160363</v>
      </c>
      <c r="D82" s="27"/>
      <c r="E82" s="215" t="s">
        <v>555</v>
      </c>
      <c r="F82" s="164">
        <f t="shared" si="2"/>
        <v>20</v>
      </c>
    </row>
    <row r="83" spans="1:6" ht="16.5" thickTop="1" x14ac:dyDescent="0.25">
      <c r="A83" s="164">
        <v>21</v>
      </c>
      <c r="B83" s="191"/>
      <c r="C83" s="516"/>
      <c r="D83" s="516"/>
      <c r="E83" s="167"/>
      <c r="F83" s="164">
        <f t="shared" si="2"/>
        <v>21</v>
      </c>
    </row>
    <row r="84" spans="1:6" x14ac:dyDescent="0.25">
      <c r="A84" s="164">
        <v>22</v>
      </c>
      <c r="B84" s="331" t="s">
        <v>366</v>
      </c>
      <c r="C84" s="516"/>
      <c r="D84" s="516"/>
      <c r="E84" s="167"/>
      <c r="F84" s="164">
        <f t="shared" si="2"/>
        <v>22</v>
      </c>
    </row>
    <row r="85" spans="1:6" x14ac:dyDescent="0.25">
      <c r="A85" s="164">
        <v>23</v>
      </c>
      <c r="B85" s="189" t="s">
        <v>367</v>
      </c>
      <c r="C85" s="535">
        <v>0</v>
      </c>
      <c r="D85" s="516"/>
      <c r="E85" s="215" t="s">
        <v>17</v>
      </c>
      <c r="F85" s="164">
        <f t="shared" si="2"/>
        <v>23</v>
      </c>
    </row>
    <row r="86" spans="1:6" x14ac:dyDescent="0.25">
      <c r="A86" s="164">
        <v>24</v>
      </c>
      <c r="B86" s="275" t="s">
        <v>368</v>
      </c>
      <c r="C86" s="538">
        <v>0</v>
      </c>
      <c r="D86" s="516"/>
      <c r="E86" s="215" t="s">
        <v>17</v>
      </c>
      <c r="F86" s="164">
        <f t="shared" si="2"/>
        <v>24</v>
      </c>
    </row>
    <row r="87" spans="1:6" ht="16.5" thickBot="1" x14ac:dyDescent="0.3">
      <c r="A87" s="164">
        <v>25</v>
      </c>
      <c r="B87" s="189" t="s">
        <v>369</v>
      </c>
      <c r="C87" s="552">
        <f>C85-C86</f>
        <v>0</v>
      </c>
      <c r="D87" s="516"/>
      <c r="E87" s="215" t="s">
        <v>556</v>
      </c>
      <c r="F87" s="164">
        <f t="shared" si="2"/>
        <v>25</v>
      </c>
    </row>
    <row r="88" spans="1:6" ht="16.5" thickTop="1" x14ac:dyDescent="0.25">
      <c r="A88" s="164"/>
    </row>
    <row r="89" spans="1:6" x14ac:dyDescent="0.25">
      <c r="A89" s="27"/>
      <c r="B89" s="25"/>
    </row>
  </sheetData>
  <mergeCells count="8">
    <mergeCell ref="B56:E56"/>
    <mergeCell ref="B57:E57"/>
    <mergeCell ref="B2:E2"/>
    <mergeCell ref="B3:E3"/>
    <mergeCell ref="B4:E4"/>
    <mergeCell ref="B5:E5"/>
    <mergeCell ref="B54:E54"/>
    <mergeCell ref="B55:E55"/>
  </mergeCells>
  <printOptions horizontalCentered="1"/>
  <pageMargins left="0.25" right="0.25" top="0.5" bottom="0.5" header="0.35" footer="0.25"/>
  <pageSetup scale="65" orientation="portrait" r:id="rId1"/>
  <headerFooter scaleWithDoc="0" alignWithMargins="0">
    <oddHeader>&amp;C&amp;"Times New Roman,Bold"&amp;8REVISED</oddHeader>
    <oddFooter>&amp;L&amp;F&amp;CPage 12.&amp;P&amp;R&amp;A</oddFooter>
  </headerFooter>
  <rowBreaks count="1" manualBreakCount="1">
    <brk id="5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5F96-DB01-43E2-8C74-9F6DC85776CA}">
  <dimension ref="A1:H89"/>
  <sheetViews>
    <sheetView zoomScale="80" zoomScaleNormal="80" workbookViewId="0"/>
  </sheetViews>
  <sheetFormatPr defaultColWidth="8.7109375" defaultRowHeight="15.75" x14ac:dyDescent="0.25"/>
  <cols>
    <col min="1" max="1" width="5.140625" style="553" customWidth="1"/>
    <col min="2" max="2" width="83" style="505" customWidth="1"/>
    <col min="3" max="3" width="16.85546875" style="505" customWidth="1"/>
    <col min="4" max="4" width="1.5703125" style="505" customWidth="1"/>
    <col min="5" max="5" width="38.7109375" style="505" customWidth="1"/>
    <col min="6" max="6" width="5.140625" style="553" customWidth="1"/>
    <col min="7" max="16384" width="8.7109375" style="505"/>
  </cols>
  <sheetData>
    <row r="1" spans="1:6" x14ac:dyDescent="0.25">
      <c r="A1" s="702" t="s">
        <v>611</v>
      </c>
    </row>
    <row r="2" spans="1:6" x14ac:dyDescent="0.25">
      <c r="A2" s="164"/>
      <c r="B2" s="168"/>
      <c r="C2" s="504"/>
      <c r="D2" s="504"/>
      <c r="E2" s="389"/>
      <c r="F2" s="164"/>
    </row>
    <row r="3" spans="1:6" x14ac:dyDescent="0.25">
      <c r="A3" s="164"/>
      <c r="B3" s="765" t="s">
        <v>21</v>
      </c>
      <c r="C3" s="786"/>
      <c r="D3" s="786"/>
      <c r="E3" s="786"/>
      <c r="F3" s="164"/>
    </row>
    <row r="4" spans="1:6" x14ac:dyDescent="0.25">
      <c r="A4" s="164" t="s">
        <v>11</v>
      </c>
      <c r="B4" s="765" t="s">
        <v>326</v>
      </c>
      <c r="C4" s="786"/>
      <c r="D4" s="786"/>
      <c r="E4" s="786"/>
      <c r="F4" s="164" t="s">
        <v>11</v>
      </c>
    </row>
    <row r="5" spans="1:6" x14ac:dyDescent="0.25">
      <c r="A5" s="164"/>
      <c r="B5" s="783" t="s">
        <v>457</v>
      </c>
      <c r="C5" s="784"/>
      <c r="D5" s="784"/>
      <c r="E5" s="784"/>
      <c r="F5" s="164"/>
    </row>
    <row r="6" spans="1:6" x14ac:dyDescent="0.25">
      <c r="A6" s="164"/>
      <c r="B6" s="785" t="s">
        <v>1</v>
      </c>
      <c r="C6" s="786"/>
      <c r="D6" s="786"/>
      <c r="E6" s="786"/>
      <c r="F6" s="164"/>
    </row>
    <row r="7" spans="1:6" x14ac:dyDescent="0.25">
      <c r="A7" s="164"/>
      <c r="B7" s="653"/>
      <c r="C7" s="168"/>
      <c r="D7" s="168"/>
      <c r="E7" s="168"/>
      <c r="F7" s="164"/>
    </row>
    <row r="8" spans="1:6" x14ac:dyDescent="0.25">
      <c r="A8" s="164" t="s">
        <v>2</v>
      </c>
      <c r="B8" s="168"/>
      <c r="C8" s="506"/>
      <c r="D8" s="506"/>
      <c r="E8" s="167"/>
      <c r="F8" s="164" t="s">
        <v>2</v>
      </c>
    </row>
    <row r="9" spans="1:6" x14ac:dyDescent="0.25">
      <c r="A9" s="164" t="s">
        <v>6</v>
      </c>
      <c r="B9" s="168" t="s">
        <v>11</v>
      </c>
      <c r="C9" s="507" t="s">
        <v>4</v>
      </c>
      <c r="D9" s="506"/>
      <c r="E9" s="508" t="s">
        <v>5</v>
      </c>
      <c r="F9" s="164" t="s">
        <v>6</v>
      </c>
    </row>
    <row r="10" spans="1:6" x14ac:dyDescent="0.25">
      <c r="A10" s="164"/>
      <c r="B10" s="331" t="s">
        <v>327</v>
      </c>
      <c r="C10" s="509"/>
      <c r="D10" s="506"/>
      <c r="E10" s="167"/>
      <c r="F10" s="164"/>
    </row>
    <row r="11" spans="1:6" x14ac:dyDescent="0.25">
      <c r="A11" s="164"/>
      <c r="B11" s="510"/>
      <c r="C11" s="509"/>
      <c r="D11" s="506"/>
      <c r="E11" s="167"/>
      <c r="F11" s="164"/>
    </row>
    <row r="12" spans="1:6" x14ac:dyDescent="0.25">
      <c r="A12" s="164">
        <v>1</v>
      </c>
      <c r="B12" s="331" t="s">
        <v>328</v>
      </c>
      <c r="C12" s="509"/>
      <c r="D12" s="509"/>
      <c r="E12" s="167"/>
      <c r="F12" s="164">
        <f>A12</f>
        <v>1</v>
      </c>
    </row>
    <row r="13" spans="1:6" x14ac:dyDescent="0.25">
      <c r="A13" s="164">
        <f>A12+1</f>
        <v>2</v>
      </c>
      <c r="B13" s="189" t="s">
        <v>329</v>
      </c>
      <c r="C13" s="660">
        <f>C78</f>
        <v>4996735.4096653843</v>
      </c>
      <c r="D13" s="27" t="s">
        <v>16</v>
      </c>
      <c r="E13" s="215" t="s">
        <v>528</v>
      </c>
      <c r="F13" s="164">
        <f>F12+1</f>
        <v>2</v>
      </c>
    </row>
    <row r="14" spans="1:6" x14ac:dyDescent="0.25">
      <c r="A14" s="164">
        <f t="shared" ref="A14:A49" si="0">A13+1</f>
        <v>3</v>
      </c>
      <c r="B14" s="189" t="s">
        <v>18</v>
      </c>
      <c r="C14" s="512">
        <f>C79</f>
        <v>4323.4788759540897</v>
      </c>
      <c r="D14" s="513"/>
      <c r="E14" s="215" t="s">
        <v>529</v>
      </c>
      <c r="F14" s="164">
        <f t="shared" ref="F14:F49" si="1">F13+1</f>
        <v>3</v>
      </c>
    </row>
    <row r="15" spans="1:6" x14ac:dyDescent="0.25">
      <c r="A15" s="164">
        <f t="shared" si="0"/>
        <v>4</v>
      </c>
      <c r="B15" s="189" t="s">
        <v>19</v>
      </c>
      <c r="C15" s="512">
        <f>C80</f>
        <v>30239.351098987459</v>
      </c>
      <c r="D15" s="513"/>
      <c r="E15" s="215" t="s">
        <v>530</v>
      </c>
      <c r="F15" s="164">
        <f t="shared" si="1"/>
        <v>4</v>
      </c>
    </row>
    <row r="16" spans="1:6" x14ac:dyDescent="0.25">
      <c r="A16" s="164">
        <f t="shared" si="0"/>
        <v>5</v>
      </c>
      <c r="B16" s="189" t="s">
        <v>330</v>
      </c>
      <c r="C16" s="514">
        <f>C81</f>
        <v>56838.313075711041</v>
      </c>
      <c r="D16" s="513"/>
      <c r="E16" s="215" t="s">
        <v>531</v>
      </c>
      <c r="F16" s="164">
        <f t="shared" si="1"/>
        <v>5</v>
      </c>
    </row>
    <row r="17" spans="1:6" x14ac:dyDescent="0.25">
      <c r="A17" s="164">
        <f t="shared" si="0"/>
        <v>6</v>
      </c>
      <c r="B17" s="189" t="s">
        <v>331</v>
      </c>
      <c r="C17" s="529">
        <f>SUM(C13:C16)</f>
        <v>5088136.5527160363</v>
      </c>
      <c r="D17" s="27" t="s">
        <v>16</v>
      </c>
      <c r="E17" s="215" t="s">
        <v>532</v>
      </c>
      <c r="F17" s="164">
        <f t="shared" si="1"/>
        <v>6</v>
      </c>
    </row>
    <row r="18" spans="1:6" x14ac:dyDescent="0.25">
      <c r="A18" s="164">
        <f t="shared" si="0"/>
        <v>7</v>
      </c>
      <c r="B18" s="275"/>
      <c r="C18" s="517"/>
      <c r="D18" s="518"/>
      <c r="E18" s="167"/>
      <c r="F18" s="164">
        <f t="shared" si="1"/>
        <v>7</v>
      </c>
    </row>
    <row r="19" spans="1:6" x14ac:dyDescent="0.25">
      <c r="A19" s="164">
        <f t="shared" si="0"/>
        <v>8</v>
      </c>
      <c r="B19" s="331" t="s">
        <v>332</v>
      </c>
      <c r="C19" s="517"/>
      <c r="D19" s="518"/>
      <c r="E19" s="167"/>
      <c r="F19" s="164">
        <f t="shared" si="1"/>
        <v>8</v>
      </c>
    </row>
    <row r="20" spans="1:6" x14ac:dyDescent="0.25">
      <c r="A20" s="164">
        <f t="shared" si="0"/>
        <v>9</v>
      </c>
      <c r="B20" s="189" t="s">
        <v>333</v>
      </c>
      <c r="C20" s="519">
        <v>0</v>
      </c>
      <c r="D20" s="506"/>
      <c r="E20" s="215" t="s">
        <v>533</v>
      </c>
      <c r="F20" s="164">
        <f t="shared" si="1"/>
        <v>9</v>
      </c>
    </row>
    <row r="21" spans="1:6" x14ac:dyDescent="0.25">
      <c r="A21" s="164">
        <f t="shared" si="0"/>
        <v>10</v>
      </c>
      <c r="B21" s="189" t="s">
        <v>334</v>
      </c>
      <c r="C21" s="520">
        <v>0</v>
      </c>
      <c r="D21" s="506"/>
      <c r="E21" s="215" t="s">
        <v>534</v>
      </c>
      <c r="F21" s="164">
        <f t="shared" si="1"/>
        <v>10</v>
      </c>
    </row>
    <row r="22" spans="1:6" x14ac:dyDescent="0.25">
      <c r="A22" s="164">
        <f t="shared" si="0"/>
        <v>11</v>
      </c>
      <c r="B22" s="189" t="s">
        <v>335</v>
      </c>
      <c r="C22" s="521">
        <f>C20+C21</f>
        <v>0</v>
      </c>
      <c r="D22" s="522"/>
      <c r="E22" s="215" t="s">
        <v>535</v>
      </c>
      <c r="F22" s="164">
        <f t="shared" si="1"/>
        <v>11</v>
      </c>
    </row>
    <row r="23" spans="1:6" x14ac:dyDescent="0.25">
      <c r="A23" s="164">
        <f t="shared" si="0"/>
        <v>12</v>
      </c>
      <c r="B23" s="189"/>
      <c r="C23" s="523"/>
      <c r="D23" s="504"/>
      <c r="E23" s="167"/>
      <c r="F23" s="164">
        <f t="shared" si="1"/>
        <v>12</v>
      </c>
    </row>
    <row r="24" spans="1:6" x14ac:dyDescent="0.25">
      <c r="A24" s="164">
        <f t="shared" si="0"/>
        <v>13</v>
      </c>
      <c r="B24" s="331" t="s">
        <v>336</v>
      </c>
      <c r="C24" s="517"/>
      <c r="D24" s="518"/>
      <c r="E24" s="167"/>
      <c r="F24" s="164">
        <f t="shared" si="1"/>
        <v>13</v>
      </c>
    </row>
    <row r="25" spans="1:6" x14ac:dyDescent="0.25">
      <c r="A25" s="164">
        <f t="shared" si="0"/>
        <v>14</v>
      </c>
      <c r="B25" s="275" t="s">
        <v>337</v>
      </c>
      <c r="C25" s="524">
        <v>-856706.3276977893</v>
      </c>
      <c r="D25" s="506"/>
      <c r="E25" s="215" t="s">
        <v>536</v>
      </c>
      <c r="F25" s="164">
        <f t="shared" si="1"/>
        <v>14</v>
      </c>
    </row>
    <row r="26" spans="1:6" x14ac:dyDescent="0.25">
      <c r="A26" s="164">
        <f t="shared" si="0"/>
        <v>15</v>
      </c>
      <c r="B26" s="275" t="s">
        <v>338</v>
      </c>
      <c r="C26" s="525">
        <v>0</v>
      </c>
      <c r="D26" s="506"/>
      <c r="E26" s="215" t="s">
        <v>537</v>
      </c>
      <c r="F26" s="164">
        <f t="shared" si="1"/>
        <v>15</v>
      </c>
    </row>
    <row r="27" spans="1:6" x14ac:dyDescent="0.25">
      <c r="A27" s="164">
        <f t="shared" si="0"/>
        <v>16</v>
      </c>
      <c r="B27" s="189" t="s">
        <v>339</v>
      </c>
      <c r="C27" s="515">
        <f>SUM(C25:C26)</f>
        <v>-856706.3276977893</v>
      </c>
      <c r="D27" s="516"/>
      <c r="E27" s="215" t="s">
        <v>538</v>
      </c>
      <c r="F27" s="164">
        <f t="shared" si="1"/>
        <v>16</v>
      </c>
    </row>
    <row r="28" spans="1:6" x14ac:dyDescent="0.25">
      <c r="A28" s="164">
        <f t="shared" si="0"/>
        <v>17</v>
      </c>
      <c r="B28" s="168"/>
      <c r="C28" s="526"/>
      <c r="D28" s="527"/>
      <c r="E28" s="167"/>
      <c r="F28" s="164">
        <f t="shared" si="1"/>
        <v>17</v>
      </c>
    </row>
    <row r="29" spans="1:6" x14ac:dyDescent="0.25">
      <c r="A29" s="164">
        <f t="shared" si="0"/>
        <v>18</v>
      </c>
      <c r="B29" s="331" t="s">
        <v>340</v>
      </c>
      <c r="C29" s="526"/>
      <c r="D29" s="527"/>
      <c r="E29" s="167"/>
      <c r="F29" s="164">
        <f t="shared" si="1"/>
        <v>18</v>
      </c>
    </row>
    <row r="30" spans="1:6" x14ac:dyDescent="0.25">
      <c r="A30" s="164">
        <f t="shared" si="0"/>
        <v>19</v>
      </c>
      <c r="B30" s="189" t="s">
        <v>341</v>
      </c>
      <c r="C30" s="511">
        <f>'Pg9.1 Rev Stmt AL-Cost Adj'!G16</f>
        <v>50939.981334164491</v>
      </c>
      <c r="D30" s="506"/>
      <c r="E30" s="215" t="s">
        <v>467</v>
      </c>
      <c r="F30" s="164">
        <f t="shared" si="1"/>
        <v>19</v>
      </c>
    </row>
    <row r="31" spans="1:6" x14ac:dyDescent="0.25">
      <c r="A31" s="164">
        <f t="shared" si="0"/>
        <v>20</v>
      </c>
      <c r="B31" s="189" t="s">
        <v>342</v>
      </c>
      <c r="C31" s="512">
        <f>'Pg9.1 Rev Stmt AL-Cost Adj'!G20</f>
        <v>25515.262566078305</v>
      </c>
      <c r="D31" s="506"/>
      <c r="E31" s="215" t="s">
        <v>468</v>
      </c>
      <c r="F31" s="164">
        <f t="shared" si="1"/>
        <v>20</v>
      </c>
    </row>
    <row r="32" spans="1:6" x14ac:dyDescent="0.25">
      <c r="A32" s="164">
        <f t="shared" si="0"/>
        <v>21</v>
      </c>
      <c r="B32" s="189" t="s">
        <v>343</v>
      </c>
      <c r="C32" s="528">
        <f>'Pg9.1 Rev Stmt AL-Cost Adj'!E30</f>
        <v>10299.427164641706</v>
      </c>
      <c r="D32" s="27" t="s">
        <v>16</v>
      </c>
      <c r="E32" s="215" t="s">
        <v>469</v>
      </c>
      <c r="F32" s="164">
        <f t="shared" si="1"/>
        <v>21</v>
      </c>
    </row>
    <row r="33" spans="1:6" x14ac:dyDescent="0.25">
      <c r="A33" s="164">
        <f t="shared" si="0"/>
        <v>22</v>
      </c>
      <c r="B33" s="189" t="s">
        <v>344</v>
      </c>
      <c r="C33" s="529">
        <f>SUM(C30:C32)</f>
        <v>86754.671064884504</v>
      </c>
      <c r="D33" s="27" t="s">
        <v>16</v>
      </c>
      <c r="E33" s="215" t="s">
        <v>539</v>
      </c>
      <c r="F33" s="164">
        <f t="shared" si="1"/>
        <v>22</v>
      </c>
    </row>
    <row r="34" spans="1:6" x14ac:dyDescent="0.25">
      <c r="A34" s="164">
        <f t="shared" si="0"/>
        <v>23</v>
      </c>
      <c r="B34" s="191"/>
      <c r="C34" s="530"/>
      <c r="D34" s="531"/>
      <c r="E34" s="167"/>
      <c r="F34" s="164">
        <f t="shared" si="1"/>
        <v>23</v>
      </c>
    </row>
    <row r="35" spans="1:6" x14ac:dyDescent="0.25">
      <c r="A35" s="164">
        <f t="shared" si="0"/>
        <v>24</v>
      </c>
      <c r="B35" s="189" t="s">
        <v>345</v>
      </c>
      <c r="C35" s="532">
        <v>0</v>
      </c>
      <c r="D35" s="506"/>
      <c r="E35" s="215" t="s">
        <v>540</v>
      </c>
      <c r="F35" s="164">
        <f t="shared" si="1"/>
        <v>24</v>
      </c>
    </row>
    <row r="36" spans="1:6" x14ac:dyDescent="0.25">
      <c r="A36" s="164">
        <f t="shared" si="0"/>
        <v>25</v>
      </c>
      <c r="B36" s="189"/>
      <c r="C36" s="530"/>
      <c r="D36" s="531"/>
      <c r="E36" s="167"/>
      <c r="F36" s="164">
        <f t="shared" si="1"/>
        <v>25</v>
      </c>
    </row>
    <row r="37" spans="1:6" ht="16.5" thickBot="1" x14ac:dyDescent="0.3">
      <c r="A37" s="164">
        <f t="shared" si="0"/>
        <v>26</v>
      </c>
      <c r="B37" s="189" t="s">
        <v>346</v>
      </c>
      <c r="C37" s="533">
        <f>C17+C22+C27+C33+C35</f>
        <v>4318184.8960831314</v>
      </c>
      <c r="D37" s="27" t="s">
        <v>16</v>
      </c>
      <c r="E37" s="215" t="s">
        <v>541</v>
      </c>
      <c r="F37" s="164">
        <f t="shared" si="1"/>
        <v>26</v>
      </c>
    </row>
    <row r="38" spans="1:6" ht="16.5" thickTop="1" x14ac:dyDescent="0.25">
      <c r="A38" s="164">
        <f t="shared" si="0"/>
        <v>27</v>
      </c>
      <c r="B38" s="191"/>
      <c r="C38" s="534"/>
      <c r="D38" s="516"/>
      <c r="E38" s="167"/>
      <c r="F38" s="164">
        <f t="shared" si="1"/>
        <v>27</v>
      </c>
    </row>
    <row r="39" spans="1:6" x14ac:dyDescent="0.25">
      <c r="A39" s="164">
        <f t="shared" si="0"/>
        <v>28</v>
      </c>
      <c r="B39" s="331" t="s">
        <v>347</v>
      </c>
      <c r="C39" s="534"/>
      <c r="D39" s="516"/>
      <c r="E39" s="167"/>
      <c r="F39" s="164">
        <f t="shared" si="1"/>
        <v>28</v>
      </c>
    </row>
    <row r="40" spans="1:6" x14ac:dyDescent="0.25">
      <c r="A40" s="164">
        <f t="shared" si="0"/>
        <v>29</v>
      </c>
      <c r="B40" s="189" t="s">
        <v>348</v>
      </c>
      <c r="C40" s="535">
        <v>0</v>
      </c>
      <c r="D40" s="536"/>
      <c r="E40" s="215" t="s">
        <v>17</v>
      </c>
      <c r="F40" s="164">
        <f t="shared" si="1"/>
        <v>29</v>
      </c>
    </row>
    <row r="41" spans="1:6" x14ac:dyDescent="0.25">
      <c r="A41" s="164">
        <f t="shared" si="0"/>
        <v>30</v>
      </c>
      <c r="B41" s="189" t="s">
        <v>349</v>
      </c>
      <c r="C41" s="537">
        <v>0</v>
      </c>
      <c r="D41" s="506"/>
      <c r="E41" s="215" t="s">
        <v>17</v>
      </c>
      <c r="F41" s="164">
        <f t="shared" si="1"/>
        <v>30</v>
      </c>
    </row>
    <row r="42" spans="1:6" x14ac:dyDescent="0.25">
      <c r="A42" s="164">
        <f t="shared" si="0"/>
        <v>31</v>
      </c>
      <c r="B42" s="275" t="s">
        <v>350</v>
      </c>
      <c r="C42" s="529">
        <f>C40+C41</f>
        <v>0</v>
      </c>
      <c r="D42" s="516"/>
      <c r="E42" s="215" t="s">
        <v>542</v>
      </c>
      <c r="F42" s="164">
        <f t="shared" si="1"/>
        <v>31</v>
      </c>
    </row>
    <row r="43" spans="1:6" x14ac:dyDescent="0.25">
      <c r="A43" s="164">
        <f t="shared" si="0"/>
        <v>32</v>
      </c>
      <c r="B43" s="191"/>
      <c r="C43" s="534"/>
      <c r="D43" s="516"/>
      <c r="E43" s="167"/>
      <c r="F43" s="164">
        <f t="shared" si="1"/>
        <v>32</v>
      </c>
    </row>
    <row r="44" spans="1:6" x14ac:dyDescent="0.25">
      <c r="A44" s="164">
        <f t="shared" si="0"/>
        <v>33</v>
      </c>
      <c r="B44" s="331" t="s">
        <v>351</v>
      </c>
      <c r="C44" s="534"/>
      <c r="D44" s="516"/>
      <c r="E44" s="167"/>
      <c r="F44" s="164">
        <f t="shared" si="1"/>
        <v>33</v>
      </c>
    </row>
    <row r="45" spans="1:6" x14ac:dyDescent="0.25">
      <c r="A45" s="164">
        <f t="shared" si="0"/>
        <v>34</v>
      </c>
      <c r="B45" s="189" t="s">
        <v>352</v>
      </c>
      <c r="C45" s="535">
        <v>0</v>
      </c>
      <c r="D45" s="506"/>
      <c r="E45" s="215" t="s">
        <v>17</v>
      </c>
      <c r="F45" s="164">
        <f t="shared" si="1"/>
        <v>34</v>
      </c>
    </row>
    <row r="46" spans="1:6" x14ac:dyDescent="0.25">
      <c r="A46" s="164">
        <f t="shared" si="0"/>
        <v>35</v>
      </c>
      <c r="B46" s="275" t="s">
        <v>353</v>
      </c>
      <c r="C46" s="538">
        <v>0</v>
      </c>
      <c r="D46" s="506"/>
      <c r="E46" s="215" t="s">
        <v>17</v>
      </c>
      <c r="F46" s="164">
        <f t="shared" si="1"/>
        <v>35</v>
      </c>
    </row>
    <row r="47" spans="1:6" x14ac:dyDescent="0.25">
      <c r="A47" s="164">
        <f t="shared" si="0"/>
        <v>36</v>
      </c>
      <c r="B47" s="275" t="s">
        <v>354</v>
      </c>
      <c r="C47" s="529">
        <f>C45+C46</f>
        <v>0</v>
      </c>
      <c r="D47" s="516"/>
      <c r="E47" s="215" t="s">
        <v>543</v>
      </c>
      <c r="F47" s="164">
        <f t="shared" si="1"/>
        <v>36</v>
      </c>
    </row>
    <row r="48" spans="1:6" x14ac:dyDescent="0.25">
      <c r="A48" s="164">
        <f t="shared" si="0"/>
        <v>37</v>
      </c>
      <c r="B48" s="191"/>
      <c r="C48" s="534"/>
      <c r="D48" s="516"/>
      <c r="E48" s="167"/>
      <c r="F48" s="164">
        <f t="shared" si="1"/>
        <v>37</v>
      </c>
    </row>
    <row r="49" spans="1:8" ht="16.5" thickBot="1" x14ac:dyDescent="0.3">
      <c r="A49" s="164">
        <f t="shared" si="0"/>
        <v>38</v>
      </c>
      <c r="B49" s="331" t="s">
        <v>355</v>
      </c>
      <c r="C49" s="539">
        <v>0</v>
      </c>
      <c r="D49" s="506"/>
      <c r="E49" s="215" t="s">
        <v>17</v>
      </c>
      <c r="F49" s="164">
        <f t="shared" si="1"/>
        <v>38</v>
      </c>
    </row>
    <row r="50" spans="1:8" ht="16.5" thickTop="1" x14ac:dyDescent="0.25">
      <c r="A50" s="164"/>
      <c r="B50" s="191"/>
      <c r="C50" s="534"/>
      <c r="D50" s="516"/>
      <c r="E50" s="167"/>
      <c r="F50" s="164"/>
    </row>
    <row r="51" spans="1:8" x14ac:dyDescent="0.25">
      <c r="A51" s="27" t="s">
        <v>16</v>
      </c>
      <c r="B51" s="25" t="s">
        <v>278</v>
      </c>
      <c r="C51" s="168"/>
      <c r="D51" s="168"/>
      <c r="E51" s="168"/>
      <c r="F51" s="164"/>
    </row>
    <row r="52" spans="1:8" x14ac:dyDescent="0.25">
      <c r="A52" s="27"/>
      <c r="B52" s="25"/>
      <c r="C52" s="168"/>
      <c r="D52" s="168"/>
      <c r="E52" s="168"/>
      <c r="F52" s="164"/>
    </row>
    <row r="53" spans="1:8" x14ac:dyDescent="0.25">
      <c r="A53" s="27"/>
      <c r="B53" s="25"/>
      <c r="C53" s="168"/>
      <c r="D53" s="168"/>
      <c r="E53" s="168"/>
      <c r="F53" s="164"/>
    </row>
    <row r="54" spans="1:8" x14ac:dyDescent="0.25">
      <c r="A54" s="164"/>
      <c r="B54" s="765" t="str">
        <f>B3</f>
        <v>SAN DIEGO GAS &amp; ELECTRIC COMPANY</v>
      </c>
      <c r="C54" s="786"/>
      <c r="D54" s="786"/>
      <c r="E54" s="786"/>
      <c r="F54" s="164"/>
    </row>
    <row r="55" spans="1:8" x14ac:dyDescent="0.25">
      <c r="A55" s="164"/>
      <c r="B55" s="765" t="str">
        <f>B4</f>
        <v xml:space="preserve">Derivation of End Use Transmission Rate Base </v>
      </c>
      <c r="C55" s="786"/>
      <c r="D55" s="786"/>
      <c r="E55" s="786"/>
      <c r="F55" s="164"/>
    </row>
    <row r="56" spans="1:8" x14ac:dyDescent="0.25">
      <c r="A56" s="164"/>
      <c r="B56" s="783" t="str">
        <f>B5</f>
        <v>Base Period &amp; True-Up Period 12 - Months Ending December 31, 2019</v>
      </c>
      <c r="C56" s="784"/>
      <c r="D56" s="784"/>
      <c r="E56" s="784"/>
      <c r="F56" s="164"/>
    </row>
    <row r="57" spans="1:8" x14ac:dyDescent="0.25">
      <c r="A57" s="164"/>
      <c r="B57" s="785" t="s">
        <v>1</v>
      </c>
      <c r="C57" s="786"/>
      <c r="D57" s="786"/>
      <c r="E57" s="786"/>
      <c r="F57" s="164"/>
    </row>
    <row r="58" spans="1:8" x14ac:dyDescent="0.25">
      <c r="A58" s="164"/>
      <c r="B58" s="653"/>
      <c r="C58" s="168"/>
      <c r="D58" s="168"/>
      <c r="E58" s="168"/>
      <c r="F58" s="164"/>
    </row>
    <row r="59" spans="1:8" x14ac:dyDescent="0.25">
      <c r="A59" s="164" t="s">
        <v>2</v>
      </c>
      <c r="B59" s="653"/>
      <c r="C59" s="168"/>
      <c r="D59" s="168"/>
      <c r="E59" s="168"/>
      <c r="F59" s="164"/>
    </row>
    <row r="60" spans="1:8" x14ac:dyDescent="0.25">
      <c r="A60" s="164" t="s">
        <v>6</v>
      </c>
      <c r="B60" s="653"/>
      <c r="C60" s="168"/>
      <c r="D60" s="168"/>
      <c r="E60" s="168"/>
      <c r="F60" s="164"/>
    </row>
    <row r="61" spans="1:8" x14ac:dyDescent="0.25">
      <c r="A61" s="164"/>
      <c r="B61" s="331" t="s">
        <v>356</v>
      </c>
      <c r="C61" s="168"/>
      <c r="D61" s="168"/>
      <c r="E61" s="168"/>
      <c r="F61" s="164"/>
    </row>
    <row r="62" spans="1:8" x14ac:dyDescent="0.25">
      <c r="A62" s="164"/>
      <c r="B62" s="510"/>
      <c r="C62" s="506"/>
      <c r="D62" s="506"/>
      <c r="E62" s="167"/>
      <c r="F62" s="164"/>
    </row>
    <row r="63" spans="1:8" x14ac:dyDescent="0.25">
      <c r="A63" s="164">
        <v>1</v>
      </c>
      <c r="B63" s="331" t="s">
        <v>357</v>
      </c>
      <c r="C63" s="506"/>
      <c r="D63" s="506"/>
      <c r="E63" s="167"/>
      <c r="F63" s="164">
        <f t="shared" ref="F63:F87" si="2">A63</f>
        <v>1</v>
      </c>
    </row>
    <row r="64" spans="1:8" x14ac:dyDescent="0.25">
      <c r="A64" s="164">
        <v>2</v>
      </c>
      <c r="B64" s="189" t="s">
        <v>329</v>
      </c>
      <c r="C64" s="540">
        <v>6268562.5495546153</v>
      </c>
      <c r="D64" s="506"/>
      <c r="E64" s="215" t="s">
        <v>544</v>
      </c>
      <c r="F64" s="164">
        <f t="shared" si="2"/>
        <v>2</v>
      </c>
      <c r="G64" s="541"/>
      <c r="H64" s="542"/>
    </row>
    <row r="65" spans="1:8" x14ac:dyDescent="0.25">
      <c r="A65" s="164">
        <v>3</v>
      </c>
      <c r="B65" s="189" t="s">
        <v>358</v>
      </c>
      <c r="C65" s="543">
        <v>18688.631684667187</v>
      </c>
      <c r="D65" s="506"/>
      <c r="E65" s="215" t="s">
        <v>545</v>
      </c>
      <c r="F65" s="164">
        <f t="shared" si="2"/>
        <v>3</v>
      </c>
      <c r="G65" s="541"/>
      <c r="H65" s="542"/>
    </row>
    <row r="66" spans="1:8" x14ac:dyDescent="0.25">
      <c r="A66" s="164">
        <v>4</v>
      </c>
      <c r="B66" s="189" t="s">
        <v>19</v>
      </c>
      <c r="C66" s="543">
        <v>48373.508859840331</v>
      </c>
      <c r="D66" s="506"/>
      <c r="E66" s="215" t="s">
        <v>505</v>
      </c>
      <c r="F66" s="164">
        <f t="shared" si="2"/>
        <v>4</v>
      </c>
      <c r="G66" s="541"/>
      <c r="H66" s="544"/>
    </row>
    <row r="67" spans="1:8" x14ac:dyDescent="0.25">
      <c r="A67" s="164">
        <v>5</v>
      </c>
      <c r="B67" s="189" t="s">
        <v>330</v>
      </c>
      <c r="C67" s="545">
        <v>108383.68918448385</v>
      </c>
      <c r="D67" s="506"/>
      <c r="E67" s="215" t="s">
        <v>506</v>
      </c>
      <c r="F67" s="164">
        <f t="shared" si="2"/>
        <v>5</v>
      </c>
      <c r="G67" s="542"/>
      <c r="H67" s="542"/>
    </row>
    <row r="68" spans="1:8" x14ac:dyDescent="0.25">
      <c r="A68" s="164">
        <v>6</v>
      </c>
      <c r="B68" s="189" t="s">
        <v>359</v>
      </c>
      <c r="C68" s="515">
        <f>SUM(C64:C67)</f>
        <v>6444008.379283607</v>
      </c>
      <c r="D68" s="516"/>
      <c r="E68" s="215" t="s">
        <v>532</v>
      </c>
      <c r="F68" s="164">
        <f t="shared" si="2"/>
        <v>6</v>
      </c>
      <c r="G68" s="541"/>
      <c r="H68" s="542"/>
    </row>
    <row r="69" spans="1:8" x14ac:dyDescent="0.25">
      <c r="A69" s="164">
        <v>7</v>
      </c>
      <c r="B69" s="275"/>
      <c r="C69" s="546"/>
      <c r="D69" s="506"/>
      <c r="E69" s="167"/>
      <c r="F69" s="164">
        <f t="shared" si="2"/>
        <v>7</v>
      </c>
      <c r="G69" s="542"/>
      <c r="H69" s="542"/>
    </row>
    <row r="70" spans="1:8" x14ac:dyDescent="0.25">
      <c r="A70" s="164">
        <v>8</v>
      </c>
      <c r="B70" s="330" t="s">
        <v>360</v>
      </c>
      <c r="C70" s="546"/>
      <c r="D70" s="506"/>
      <c r="E70" s="167"/>
      <c r="F70" s="164">
        <f t="shared" si="2"/>
        <v>8</v>
      </c>
      <c r="G70" s="542"/>
      <c r="H70" s="542"/>
    </row>
    <row r="71" spans="1:8" x14ac:dyDescent="0.25">
      <c r="A71" s="164">
        <v>9</v>
      </c>
      <c r="B71" s="275" t="s">
        <v>361</v>
      </c>
      <c r="C71" s="661">
        <v>1271827.139889231</v>
      </c>
      <c r="D71" s="27" t="s">
        <v>16</v>
      </c>
      <c r="E71" s="215" t="s">
        <v>546</v>
      </c>
      <c r="F71" s="164">
        <f t="shared" si="2"/>
        <v>9</v>
      </c>
      <c r="G71" s="542"/>
      <c r="H71" s="542"/>
    </row>
    <row r="72" spans="1:8" x14ac:dyDescent="0.25">
      <c r="A72" s="164">
        <v>10</v>
      </c>
      <c r="B72" s="275" t="s">
        <v>362</v>
      </c>
      <c r="C72" s="543">
        <v>14365.152808713097</v>
      </c>
      <c r="D72" s="506"/>
      <c r="E72" s="215" t="s">
        <v>547</v>
      </c>
      <c r="F72" s="164">
        <f t="shared" si="2"/>
        <v>10</v>
      </c>
      <c r="G72" s="542"/>
      <c r="H72" s="542"/>
    </row>
    <row r="73" spans="1:8" x14ac:dyDescent="0.25">
      <c r="A73" s="164">
        <v>11</v>
      </c>
      <c r="B73" s="275" t="s">
        <v>363</v>
      </c>
      <c r="C73" s="543">
        <v>18134.157760852871</v>
      </c>
      <c r="D73" s="506"/>
      <c r="E73" s="215" t="s">
        <v>548</v>
      </c>
      <c r="F73" s="164">
        <f t="shared" si="2"/>
        <v>11</v>
      </c>
      <c r="G73" s="542"/>
      <c r="H73" s="542"/>
    </row>
    <row r="74" spans="1:8" x14ac:dyDescent="0.25">
      <c r="A74" s="164">
        <v>12</v>
      </c>
      <c r="B74" s="275" t="s">
        <v>364</v>
      </c>
      <c r="C74" s="545">
        <v>51545.376108772813</v>
      </c>
      <c r="D74" s="506"/>
      <c r="E74" s="215" t="s">
        <v>549</v>
      </c>
      <c r="F74" s="164">
        <f t="shared" si="2"/>
        <v>12</v>
      </c>
      <c r="G74" s="542"/>
      <c r="H74" s="542"/>
    </row>
    <row r="75" spans="1:8" x14ac:dyDescent="0.25">
      <c r="A75" s="164">
        <v>13</v>
      </c>
      <c r="B75" s="547" t="s">
        <v>365</v>
      </c>
      <c r="C75" s="529">
        <f>SUM(C71:C74)</f>
        <v>1355871.8265675697</v>
      </c>
      <c r="D75" s="27" t="s">
        <v>16</v>
      </c>
      <c r="E75" s="215" t="s">
        <v>550</v>
      </c>
      <c r="F75" s="164">
        <f t="shared" si="2"/>
        <v>13</v>
      </c>
      <c r="G75" s="542"/>
      <c r="H75" s="542"/>
    </row>
    <row r="76" spans="1:8" x14ac:dyDescent="0.25">
      <c r="A76" s="164">
        <v>14</v>
      </c>
      <c r="B76" s="547"/>
      <c r="C76" s="526"/>
      <c r="D76" s="527"/>
      <c r="E76" s="167"/>
      <c r="F76" s="164">
        <f t="shared" si="2"/>
        <v>14</v>
      </c>
      <c r="G76" s="542"/>
      <c r="H76" s="542"/>
    </row>
    <row r="77" spans="1:8" x14ac:dyDescent="0.25">
      <c r="A77" s="164">
        <v>15</v>
      </c>
      <c r="B77" s="331" t="s">
        <v>328</v>
      </c>
      <c r="C77" s="526"/>
      <c r="D77" s="527"/>
      <c r="E77" s="167"/>
      <c r="F77" s="164">
        <f t="shared" si="2"/>
        <v>15</v>
      </c>
      <c r="G77" s="542"/>
      <c r="H77" s="542"/>
    </row>
    <row r="78" spans="1:8" x14ac:dyDescent="0.25">
      <c r="A78" s="164">
        <v>16</v>
      </c>
      <c r="B78" s="189" t="s">
        <v>329</v>
      </c>
      <c r="C78" s="662">
        <f>C64-C71</f>
        <v>4996735.4096653843</v>
      </c>
      <c r="D78" s="27" t="s">
        <v>16</v>
      </c>
      <c r="E78" s="215" t="s">
        <v>551</v>
      </c>
      <c r="F78" s="164">
        <f t="shared" si="2"/>
        <v>16</v>
      </c>
      <c r="G78" s="542"/>
      <c r="H78" s="542"/>
    </row>
    <row r="79" spans="1:8" x14ac:dyDescent="0.25">
      <c r="A79" s="164">
        <v>17</v>
      </c>
      <c r="B79" s="189" t="s">
        <v>18</v>
      </c>
      <c r="C79" s="548">
        <f>C65-C72</f>
        <v>4323.4788759540897</v>
      </c>
      <c r="D79" s="549"/>
      <c r="E79" s="215" t="s">
        <v>552</v>
      </c>
      <c r="F79" s="164">
        <f t="shared" si="2"/>
        <v>17</v>
      </c>
      <c r="G79" s="542"/>
      <c r="H79" s="542"/>
    </row>
    <row r="80" spans="1:8" x14ac:dyDescent="0.25">
      <c r="A80" s="164">
        <v>18</v>
      </c>
      <c r="B80" s="189" t="s">
        <v>19</v>
      </c>
      <c r="C80" s="548">
        <f>C66-C73</f>
        <v>30239.351098987459</v>
      </c>
      <c r="D80" s="549"/>
      <c r="E80" s="215" t="s">
        <v>553</v>
      </c>
      <c r="F80" s="164">
        <f t="shared" si="2"/>
        <v>18</v>
      </c>
    </row>
    <row r="81" spans="1:6" x14ac:dyDescent="0.25">
      <c r="A81" s="164">
        <v>19</v>
      </c>
      <c r="B81" s="189" t="s">
        <v>330</v>
      </c>
      <c r="C81" s="550">
        <f>C67-C74</f>
        <v>56838.313075711041</v>
      </c>
      <c r="D81" s="551"/>
      <c r="E81" s="215" t="s">
        <v>554</v>
      </c>
      <c r="F81" s="164">
        <f t="shared" si="2"/>
        <v>19</v>
      </c>
    </row>
    <row r="82" spans="1:6" ht="16.5" thickBot="1" x14ac:dyDescent="0.3">
      <c r="A82" s="164">
        <v>20</v>
      </c>
      <c r="B82" s="275" t="s">
        <v>331</v>
      </c>
      <c r="C82" s="663">
        <f>SUM(C78:C81)</f>
        <v>5088136.5527160363</v>
      </c>
      <c r="D82" s="27" t="s">
        <v>16</v>
      </c>
      <c r="E82" s="215" t="s">
        <v>555</v>
      </c>
      <c r="F82" s="164">
        <f t="shared" si="2"/>
        <v>20</v>
      </c>
    </row>
    <row r="83" spans="1:6" ht="16.5" thickTop="1" x14ac:dyDescent="0.25">
      <c r="A83" s="164">
        <v>21</v>
      </c>
      <c r="B83" s="191"/>
      <c r="C83" s="516"/>
      <c r="D83" s="516"/>
      <c r="E83" s="167"/>
      <c r="F83" s="164">
        <f t="shared" si="2"/>
        <v>21</v>
      </c>
    </row>
    <row r="84" spans="1:6" x14ac:dyDescent="0.25">
      <c r="A84" s="164">
        <v>22</v>
      </c>
      <c r="B84" s="331" t="s">
        <v>366</v>
      </c>
      <c r="C84" s="516"/>
      <c r="D84" s="516"/>
      <c r="E84" s="167"/>
      <c r="F84" s="164">
        <f t="shared" si="2"/>
        <v>22</v>
      </c>
    </row>
    <row r="85" spans="1:6" x14ac:dyDescent="0.25">
      <c r="A85" s="164">
        <v>23</v>
      </c>
      <c r="B85" s="189" t="s">
        <v>367</v>
      </c>
      <c r="C85" s="535">
        <v>0</v>
      </c>
      <c r="D85" s="516"/>
      <c r="E85" s="215" t="s">
        <v>17</v>
      </c>
      <c r="F85" s="164">
        <f t="shared" si="2"/>
        <v>23</v>
      </c>
    </row>
    <row r="86" spans="1:6" x14ac:dyDescent="0.25">
      <c r="A86" s="164">
        <v>24</v>
      </c>
      <c r="B86" s="275" t="s">
        <v>368</v>
      </c>
      <c r="C86" s="538">
        <v>0</v>
      </c>
      <c r="D86" s="516"/>
      <c r="E86" s="215" t="s">
        <v>17</v>
      </c>
      <c r="F86" s="164">
        <f t="shared" si="2"/>
        <v>24</v>
      </c>
    </row>
    <row r="87" spans="1:6" ht="16.5" thickBot="1" x14ac:dyDescent="0.3">
      <c r="A87" s="164">
        <v>25</v>
      </c>
      <c r="B87" s="189" t="s">
        <v>369</v>
      </c>
      <c r="C87" s="552">
        <f>C85-C86</f>
        <v>0</v>
      </c>
      <c r="D87" s="516"/>
      <c r="E87" s="215" t="s">
        <v>556</v>
      </c>
      <c r="F87" s="164">
        <f t="shared" si="2"/>
        <v>25</v>
      </c>
    </row>
    <row r="88" spans="1:6" ht="16.5" thickTop="1" x14ac:dyDescent="0.25">
      <c r="A88" s="164"/>
    </row>
    <row r="89" spans="1:6" x14ac:dyDescent="0.25">
      <c r="A89" s="27" t="s">
        <v>16</v>
      </c>
      <c r="B89" s="25" t="s">
        <v>278</v>
      </c>
    </row>
  </sheetData>
  <mergeCells count="8">
    <mergeCell ref="B56:E56"/>
    <mergeCell ref="B57:E57"/>
    <mergeCell ref="B3:E3"/>
    <mergeCell ref="B4:E4"/>
    <mergeCell ref="B5:E5"/>
    <mergeCell ref="B6:E6"/>
    <mergeCell ref="B54:E54"/>
    <mergeCell ref="B55:E55"/>
  </mergeCells>
  <printOptions horizontalCentered="1"/>
  <pageMargins left="0.25" right="0.25" top="0.5" bottom="0.5" header="0.35" footer="0.25"/>
  <pageSetup scale="65" orientation="portrait" r:id="rId1"/>
  <headerFooter scaleWithDoc="0" alignWithMargins="0">
    <oddHeader>&amp;C&amp;"Times New Roman,Bold"&amp;7AS FILED AV-4 WITH COST ADJ INCL. IN APPENDIX X CYCLE 10 (ER22-139)</oddHeader>
    <oddFooter>&amp;L&amp;F&amp;CPage 13.&amp;P&amp;R&amp;A</oddFooter>
  </headerFooter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7"/>
  <sheetViews>
    <sheetView zoomScale="80" zoomScaleNormal="80" workbookViewId="0"/>
  </sheetViews>
  <sheetFormatPr defaultColWidth="8.85546875" defaultRowHeight="15.75" x14ac:dyDescent="0.25"/>
  <cols>
    <col min="1" max="1" width="5.140625" style="39" customWidth="1"/>
    <col min="2" max="2" width="70.5703125" style="20" customWidth="1"/>
    <col min="3" max="3" width="16.42578125" style="20" bestFit="1" customWidth="1"/>
    <col min="4" max="4" width="1.5703125" style="20" customWidth="1"/>
    <col min="5" max="5" width="17.5703125" style="20" customWidth="1"/>
    <col min="6" max="6" width="1.5703125" style="20" customWidth="1"/>
    <col min="7" max="7" width="12.5703125" style="20" customWidth="1"/>
    <col min="8" max="8" width="40.5703125" style="20" customWidth="1"/>
    <col min="9" max="9" width="5.140625" style="39" customWidth="1"/>
    <col min="10" max="16384" width="8.85546875" style="20"/>
  </cols>
  <sheetData>
    <row r="2" spans="1:11" x14ac:dyDescent="0.25">
      <c r="A2" s="166"/>
      <c r="B2" s="765" t="s">
        <v>21</v>
      </c>
      <c r="C2" s="765"/>
      <c r="D2" s="765"/>
      <c r="E2" s="765"/>
      <c r="F2" s="765"/>
      <c r="G2" s="765"/>
      <c r="H2" s="765"/>
      <c r="I2" s="166"/>
    </row>
    <row r="3" spans="1:11" x14ac:dyDescent="0.25">
      <c r="A3" s="166"/>
      <c r="B3" s="765" t="s">
        <v>435</v>
      </c>
      <c r="C3" s="765"/>
      <c r="D3" s="765"/>
      <c r="E3" s="765"/>
      <c r="F3" s="765"/>
      <c r="G3" s="765"/>
      <c r="H3" s="765"/>
      <c r="I3" s="167"/>
    </row>
    <row r="4" spans="1:11" x14ac:dyDescent="0.25">
      <c r="B4" s="765" t="s">
        <v>436</v>
      </c>
      <c r="C4" s="765"/>
      <c r="D4" s="765"/>
      <c r="E4" s="765"/>
      <c r="F4" s="765"/>
      <c r="G4" s="765"/>
      <c r="H4" s="765"/>
      <c r="I4" s="163"/>
    </row>
    <row r="5" spans="1:11" x14ac:dyDescent="0.25">
      <c r="B5" s="765" t="s">
        <v>433</v>
      </c>
      <c r="C5" s="765"/>
      <c r="D5" s="765"/>
      <c r="E5" s="765"/>
      <c r="F5" s="765"/>
      <c r="G5" s="765"/>
      <c r="H5" s="765"/>
      <c r="I5" s="163"/>
    </row>
    <row r="6" spans="1:11" x14ac:dyDescent="0.25">
      <c r="B6" s="766" t="s">
        <v>1</v>
      </c>
      <c r="C6" s="765"/>
      <c r="D6" s="765"/>
      <c r="E6" s="765"/>
      <c r="F6" s="765"/>
      <c r="G6" s="765"/>
      <c r="H6" s="765"/>
      <c r="I6" s="163"/>
    </row>
    <row r="7" spans="1:11" x14ac:dyDescent="0.25">
      <c r="A7" s="166"/>
      <c r="B7" s="167"/>
      <c r="C7" s="168"/>
      <c r="D7" s="168"/>
      <c r="E7" s="168"/>
      <c r="F7" s="168"/>
      <c r="G7" s="168"/>
      <c r="H7" s="168"/>
      <c r="I7" s="166"/>
    </row>
    <row r="8" spans="1:11" ht="16.5" thickBot="1" x14ac:dyDescent="0.3">
      <c r="A8" s="166"/>
      <c r="B8" s="167"/>
      <c r="C8" s="272" t="s">
        <v>12</v>
      </c>
      <c r="D8" s="271"/>
      <c r="E8" s="272" t="s">
        <v>7</v>
      </c>
      <c r="F8" s="271"/>
      <c r="G8" s="272" t="s">
        <v>13</v>
      </c>
      <c r="H8" s="168"/>
      <c r="I8" s="166"/>
    </row>
    <row r="9" spans="1:11" ht="78.75" x14ac:dyDescent="0.25">
      <c r="A9" s="170" t="s">
        <v>2</v>
      </c>
      <c r="B9" s="273"/>
      <c r="C9" s="277" t="s">
        <v>437</v>
      </c>
      <c r="D9" s="167"/>
      <c r="E9" s="261" t="s">
        <v>580</v>
      </c>
      <c r="F9" s="24"/>
      <c r="G9" s="162" t="s">
        <v>14</v>
      </c>
      <c r="H9" s="173"/>
      <c r="I9" s="174" t="s">
        <v>2</v>
      </c>
    </row>
    <row r="10" spans="1:11" x14ac:dyDescent="0.25">
      <c r="A10" s="170" t="s">
        <v>6</v>
      </c>
      <c r="B10" s="175" t="s">
        <v>175</v>
      </c>
      <c r="C10" s="175" t="s">
        <v>4</v>
      </c>
      <c r="D10" s="175"/>
      <c r="E10" s="175" t="s">
        <v>4</v>
      </c>
      <c r="F10" s="175"/>
      <c r="G10" s="668" t="s">
        <v>15</v>
      </c>
      <c r="H10" s="175" t="s">
        <v>5</v>
      </c>
      <c r="I10" s="174" t="s">
        <v>6</v>
      </c>
    </row>
    <row r="11" spans="1:11" x14ac:dyDescent="0.25">
      <c r="A11" s="170"/>
      <c r="B11" s="274"/>
      <c r="C11" s="179"/>
      <c r="D11" s="178"/>
      <c r="E11" s="178"/>
      <c r="F11" s="178"/>
      <c r="G11" s="178"/>
      <c r="H11" s="179"/>
      <c r="I11" s="174"/>
    </row>
    <row r="12" spans="1:11" x14ac:dyDescent="0.25">
      <c r="A12" s="170">
        <v>1</v>
      </c>
      <c r="B12" s="189" t="s">
        <v>176</v>
      </c>
      <c r="C12" s="264">
        <f>'Pg3 Rev App. X C9'!C11</f>
        <v>182.59523467146886</v>
      </c>
      <c r="D12" s="182"/>
      <c r="E12" s="264">
        <f>'Pg4 App.X C9 Adj-Cost Adj'!C12</f>
        <v>182.59523467146886</v>
      </c>
      <c r="F12" s="182"/>
      <c r="G12" s="182">
        <f>C12-E12</f>
        <v>0</v>
      </c>
      <c r="H12" s="8" t="s">
        <v>561</v>
      </c>
      <c r="I12" s="174">
        <f>A12</f>
        <v>1</v>
      </c>
      <c r="K12" s="23"/>
    </row>
    <row r="13" spans="1:11" x14ac:dyDescent="0.25">
      <c r="A13" s="170">
        <f>A12+1</f>
        <v>2</v>
      </c>
      <c r="B13" s="275"/>
      <c r="C13" s="186"/>
      <c r="D13" s="186"/>
      <c r="E13" s="186"/>
      <c r="F13" s="186"/>
      <c r="G13" s="186"/>
      <c r="H13" s="167"/>
      <c r="I13" s="174">
        <f>I12+1</f>
        <v>2</v>
      </c>
      <c r="K13" s="23"/>
    </row>
    <row r="14" spans="1:11" x14ac:dyDescent="0.25">
      <c r="A14" s="170">
        <f t="shared" ref="A14:A29" si="0">A13+1</f>
        <v>3</v>
      </c>
      <c r="B14" s="189" t="s">
        <v>177</v>
      </c>
      <c r="C14" s="278">
        <f>'Pg3 Rev App. X C9'!C13</f>
        <v>2777.0002367876423</v>
      </c>
      <c r="D14" s="27" t="s">
        <v>16</v>
      </c>
      <c r="E14" s="265">
        <f>'Pg4 App.X C9 Adj-Cost Adj'!C14</f>
        <v>2773.5658683537054</v>
      </c>
      <c r="F14" s="162"/>
      <c r="G14" s="268">
        <f>C14-E14</f>
        <v>3.4343684339369247</v>
      </c>
      <c r="H14" s="8" t="s">
        <v>562</v>
      </c>
      <c r="I14" s="174">
        <f t="shared" ref="I14:I29" si="1">I13+1</f>
        <v>3</v>
      </c>
      <c r="K14" s="29"/>
    </row>
    <row r="15" spans="1:11" x14ac:dyDescent="0.25">
      <c r="A15" s="170">
        <f t="shared" si="0"/>
        <v>4</v>
      </c>
      <c r="B15" s="275"/>
      <c r="C15" s="186"/>
      <c r="D15" s="186"/>
      <c r="E15" s="186"/>
      <c r="F15" s="186"/>
      <c r="G15" s="186"/>
      <c r="H15" s="188"/>
      <c r="I15" s="174">
        <f t="shared" si="1"/>
        <v>4</v>
      </c>
    </row>
    <row r="16" spans="1:11" x14ac:dyDescent="0.25">
      <c r="A16" s="170">
        <f t="shared" si="0"/>
        <v>5</v>
      </c>
      <c r="B16" s="189" t="s">
        <v>178</v>
      </c>
      <c r="C16" s="33">
        <f>'Pg3 Rev App. X C9'!C15</f>
        <v>946.2530084775392</v>
      </c>
      <c r="D16" s="190"/>
      <c r="E16" s="33">
        <f>'Pg4 App.X C9 Adj-Cost Adj'!C16</f>
        <v>946.2530084775392</v>
      </c>
      <c r="F16" s="190"/>
      <c r="G16" s="262">
        <f>C16-E16</f>
        <v>0</v>
      </c>
      <c r="H16" s="8" t="s">
        <v>563</v>
      </c>
      <c r="I16" s="174">
        <f t="shared" si="1"/>
        <v>5</v>
      </c>
      <c r="K16" s="29"/>
    </row>
    <row r="17" spans="1:13" x14ac:dyDescent="0.25">
      <c r="A17" s="170">
        <f t="shared" si="0"/>
        <v>6</v>
      </c>
      <c r="B17" s="191"/>
      <c r="C17" s="190"/>
      <c r="D17" s="190"/>
      <c r="E17" s="190"/>
      <c r="F17" s="190"/>
      <c r="G17" s="190"/>
      <c r="H17" s="183"/>
      <c r="I17" s="174">
        <f t="shared" si="1"/>
        <v>6</v>
      </c>
      <c r="K17" s="29"/>
    </row>
    <row r="18" spans="1:13" x14ac:dyDescent="0.25">
      <c r="A18" s="170">
        <f t="shared" si="0"/>
        <v>7</v>
      </c>
      <c r="B18" s="276" t="s">
        <v>427</v>
      </c>
      <c r="C18" s="279">
        <f>C12+C14+C16</f>
        <v>3905.8484799366506</v>
      </c>
      <c r="D18" s="27" t="s">
        <v>16</v>
      </c>
      <c r="E18" s="263">
        <f>E12+E14+E16</f>
        <v>3902.4141115027132</v>
      </c>
      <c r="F18" s="162"/>
      <c r="G18" s="279">
        <f>G12+G14+G16</f>
        <v>3.4343684339369247</v>
      </c>
      <c r="H18" s="194" t="str">
        <f>"Sum Lines "&amp;A12&amp;", "&amp;A14&amp;", "&amp;A16</f>
        <v>Sum Lines 1, 3, 5</v>
      </c>
      <c r="I18" s="174">
        <f t="shared" si="1"/>
        <v>7</v>
      </c>
      <c r="K18" s="29"/>
    </row>
    <row r="19" spans="1:13" x14ac:dyDescent="0.25">
      <c r="A19" s="170">
        <f t="shared" si="0"/>
        <v>8</v>
      </c>
      <c r="B19" s="191"/>
      <c r="C19" s="186"/>
      <c r="D19" s="186"/>
      <c r="E19" s="186"/>
      <c r="F19" s="186"/>
      <c r="G19" s="186"/>
      <c r="H19" s="196"/>
      <c r="I19" s="174">
        <f t="shared" si="1"/>
        <v>8</v>
      </c>
    </row>
    <row r="20" spans="1:13" x14ac:dyDescent="0.25">
      <c r="A20" s="170">
        <f t="shared" si="0"/>
        <v>9</v>
      </c>
      <c r="B20" s="189" t="s">
        <v>179</v>
      </c>
      <c r="C20" s="278">
        <f>'Pg3 Rev App. X C9'!C19</f>
        <v>1605.1698835962693</v>
      </c>
      <c r="D20" s="27" t="s">
        <v>16</v>
      </c>
      <c r="E20" s="266">
        <f>'Pg4 App.X C9 Adj-Cost Adj'!C20</f>
        <v>1601.6400400405996</v>
      </c>
      <c r="F20" s="162"/>
      <c r="G20" s="268">
        <f>C20-E20</f>
        <v>3.5298435556696859</v>
      </c>
      <c r="H20" s="8" t="s">
        <v>564</v>
      </c>
      <c r="I20" s="174">
        <f t="shared" si="1"/>
        <v>9</v>
      </c>
    </row>
    <row r="21" spans="1:13" x14ac:dyDescent="0.25">
      <c r="A21" s="170">
        <f t="shared" si="0"/>
        <v>10</v>
      </c>
      <c r="B21" s="189"/>
      <c r="C21" s="186"/>
      <c r="D21" s="186"/>
      <c r="E21" s="186"/>
      <c r="F21" s="186"/>
      <c r="G21" s="186"/>
      <c r="H21" s="197"/>
      <c r="I21" s="174">
        <f t="shared" si="1"/>
        <v>10</v>
      </c>
    </row>
    <row r="22" spans="1:13" x14ac:dyDescent="0.25">
      <c r="A22" s="170">
        <f t="shared" si="0"/>
        <v>11</v>
      </c>
      <c r="B22" s="189" t="s">
        <v>180</v>
      </c>
      <c r="C22" s="33">
        <f>'Pg3 Rev App. X C9'!C21</f>
        <v>49.83930922779507</v>
      </c>
      <c r="D22" s="190"/>
      <c r="E22" s="33">
        <f>'Pg4 App.X C9 Adj-Cost Adj'!C22</f>
        <v>49.83930922779507</v>
      </c>
      <c r="F22" s="190"/>
      <c r="G22" s="262">
        <f>C22-E22</f>
        <v>0</v>
      </c>
      <c r="H22" s="8" t="s">
        <v>565</v>
      </c>
      <c r="I22" s="174">
        <f t="shared" si="1"/>
        <v>11</v>
      </c>
    </row>
    <row r="23" spans="1:13" x14ac:dyDescent="0.25">
      <c r="A23" s="170">
        <f t="shared" si="0"/>
        <v>12</v>
      </c>
      <c r="B23" s="191"/>
      <c r="C23" s="199"/>
      <c r="D23" s="199"/>
      <c r="E23" s="199"/>
      <c r="F23" s="199"/>
      <c r="G23" s="199"/>
      <c r="H23" s="194"/>
      <c r="I23" s="174">
        <f t="shared" si="1"/>
        <v>12</v>
      </c>
    </row>
    <row r="24" spans="1:13" x14ac:dyDescent="0.25">
      <c r="A24" s="170">
        <f t="shared" si="0"/>
        <v>13</v>
      </c>
      <c r="B24" s="191" t="s">
        <v>181</v>
      </c>
      <c r="C24" s="81">
        <f>C18+C20+C22</f>
        <v>5560.8576727607142</v>
      </c>
      <c r="D24" s="27" t="s">
        <v>16</v>
      </c>
      <c r="E24" s="37">
        <f>E18+E20+E22</f>
        <v>5553.8934607711071</v>
      </c>
      <c r="F24" s="162"/>
      <c r="G24" s="81">
        <f>G18+G20+G22</f>
        <v>6.9642119896066106</v>
      </c>
      <c r="H24" s="194" t="str">
        <f>"Sum Lines "&amp;A18&amp;", "&amp;A20&amp;", "&amp;A22</f>
        <v>Sum Lines 7, 9, 11</v>
      </c>
      <c r="I24" s="174">
        <f t="shared" si="1"/>
        <v>13</v>
      </c>
      <c r="K24" s="29"/>
    </row>
    <row r="25" spans="1:13" x14ac:dyDescent="0.25">
      <c r="A25" s="170">
        <f t="shared" si="0"/>
        <v>14</v>
      </c>
      <c r="B25" s="200"/>
      <c r="C25" s="79"/>
      <c r="D25" s="79"/>
      <c r="E25" s="79"/>
      <c r="F25" s="79"/>
      <c r="G25" s="79"/>
      <c r="H25" s="194"/>
      <c r="I25" s="174">
        <f t="shared" si="1"/>
        <v>14</v>
      </c>
      <c r="K25" s="29"/>
    </row>
    <row r="26" spans="1:13" x14ac:dyDescent="0.25">
      <c r="A26" s="170">
        <f t="shared" si="0"/>
        <v>15</v>
      </c>
      <c r="B26" s="189" t="s">
        <v>182</v>
      </c>
      <c r="C26" s="666">
        <f>'Pg3 Rev App. X C9'!C25</f>
        <v>0</v>
      </c>
      <c r="D26" s="79"/>
      <c r="E26" s="267">
        <f>'Pg4 App.X C9 Adj-Cost Adj'!C26</f>
        <v>0</v>
      </c>
      <c r="F26" s="79"/>
      <c r="G26" s="87"/>
      <c r="H26" s="8" t="s">
        <v>566</v>
      </c>
      <c r="I26" s="174">
        <f t="shared" si="1"/>
        <v>15</v>
      </c>
      <c r="K26" s="29"/>
    </row>
    <row r="27" spans="1:13" x14ac:dyDescent="0.25">
      <c r="A27" s="170">
        <f t="shared" si="0"/>
        <v>16</v>
      </c>
      <c r="B27" s="168"/>
      <c r="C27" s="202"/>
      <c r="D27" s="202"/>
      <c r="E27" s="202"/>
      <c r="F27" s="202"/>
      <c r="G27" s="202"/>
      <c r="H27" s="194"/>
      <c r="I27" s="174">
        <f t="shared" si="1"/>
        <v>16</v>
      </c>
    </row>
    <row r="28" spans="1:13" ht="16.5" thickBot="1" x14ac:dyDescent="0.3">
      <c r="A28" s="170">
        <f t="shared" si="0"/>
        <v>17</v>
      </c>
      <c r="B28" s="276" t="s">
        <v>183</v>
      </c>
      <c r="C28" s="280">
        <f>C24+C26</f>
        <v>5560.8576727607142</v>
      </c>
      <c r="D28" s="27" t="s">
        <v>16</v>
      </c>
      <c r="E28" s="269">
        <f>E24+E26</f>
        <v>5553.8934607711071</v>
      </c>
      <c r="F28" s="162"/>
      <c r="G28" s="270">
        <f>C28-E28</f>
        <v>6.9642119896070653</v>
      </c>
      <c r="H28" s="194" t="str">
        <f>"Line "&amp;A24&amp;" + Line "&amp;A26</f>
        <v>Line 13 + Line 15</v>
      </c>
      <c r="I28" s="174">
        <f t="shared" si="1"/>
        <v>17</v>
      </c>
      <c r="L28" s="23"/>
      <c r="M28" s="204"/>
    </row>
    <row r="29" spans="1:13" ht="17.25" thickTop="1" thickBot="1" x14ac:dyDescent="0.3">
      <c r="A29" s="170">
        <f t="shared" si="0"/>
        <v>18</v>
      </c>
      <c r="B29" s="169"/>
      <c r="C29" s="281"/>
      <c r="D29" s="169"/>
      <c r="E29" s="169"/>
      <c r="F29" s="169"/>
      <c r="G29" s="169"/>
      <c r="H29" s="169"/>
      <c r="I29" s="174">
        <f t="shared" si="1"/>
        <v>18</v>
      </c>
    </row>
    <row r="31" spans="1:13" ht="16.5" thickBot="1" x14ac:dyDescent="0.3">
      <c r="A31" s="166"/>
      <c r="B31" s="207"/>
      <c r="C31" s="208"/>
      <c r="D31" s="208"/>
      <c r="E31" s="208"/>
      <c r="F31" s="208"/>
      <c r="G31" s="208"/>
      <c r="H31" s="208"/>
      <c r="I31" s="166"/>
    </row>
    <row r="32" spans="1:13" ht="78.75" x14ac:dyDescent="0.25">
      <c r="A32" s="170" t="s">
        <v>2</v>
      </c>
      <c r="B32" s="167"/>
      <c r="C32" s="283" t="str">
        <f>C9</f>
        <v>Revised - Appendix X Cycle 9</v>
      </c>
      <c r="D32" s="167"/>
      <c r="E32" s="282" t="str">
        <f>E9</f>
        <v>As Filed - Appendix X Cycle 9 ER21-243 and ER22-139</v>
      </c>
      <c r="F32" s="167"/>
      <c r="G32" s="167" t="str">
        <f>G9</f>
        <v>Difference</v>
      </c>
      <c r="H32" s="167"/>
      <c r="I32" s="174" t="s">
        <v>2</v>
      </c>
    </row>
    <row r="33" spans="1:9" x14ac:dyDescent="0.25">
      <c r="A33" s="170" t="s">
        <v>6</v>
      </c>
      <c r="B33" s="175" t="s">
        <v>184</v>
      </c>
      <c r="C33" s="175" t="str">
        <f>C10</f>
        <v>Amounts</v>
      </c>
      <c r="D33" s="175"/>
      <c r="E33" s="175" t="str">
        <f>E10</f>
        <v>Amounts</v>
      </c>
      <c r="F33" s="175"/>
      <c r="G33" s="175" t="str">
        <f>G10</f>
        <v>Incr (Decr)</v>
      </c>
      <c r="H33" s="175" t="str">
        <f>H10</f>
        <v>Reference</v>
      </c>
      <c r="I33" s="174" t="s">
        <v>6</v>
      </c>
    </row>
    <row r="34" spans="1:9" x14ac:dyDescent="0.25">
      <c r="A34" s="170">
        <f>A29+1</f>
        <v>19</v>
      </c>
      <c r="B34" s="168"/>
      <c r="C34" s="179"/>
      <c r="D34" s="178"/>
      <c r="E34" s="178"/>
      <c r="F34" s="178"/>
      <c r="G34" s="178"/>
      <c r="H34" s="179"/>
      <c r="I34" s="174">
        <f>I29+1</f>
        <v>19</v>
      </c>
    </row>
    <row r="35" spans="1:9" x14ac:dyDescent="0.25">
      <c r="A35" s="170">
        <f>A34+1</f>
        <v>20</v>
      </c>
      <c r="B35" s="189" t="str">
        <f>B12</f>
        <v>Section 1 - Direct Maintenance Expense Cost Component</v>
      </c>
      <c r="C35" s="212">
        <f>'Pg3 Rev App. X C9'!C34</f>
        <v>15.216269555955739</v>
      </c>
      <c r="D35" s="212"/>
      <c r="E35" s="212">
        <f>'Pg4 App.X C9 Adj-Cost Adj'!C35</f>
        <v>15.216269555955739</v>
      </c>
      <c r="F35" s="212"/>
      <c r="G35" s="212">
        <f>C35-E35</f>
        <v>0</v>
      </c>
      <c r="H35" s="8" t="s">
        <v>567</v>
      </c>
      <c r="I35" s="174">
        <f>I34+1</f>
        <v>20</v>
      </c>
    </row>
    <row r="36" spans="1:9" x14ac:dyDescent="0.25">
      <c r="A36" s="170">
        <f t="shared" ref="A36:A54" si="2">A35+1</f>
        <v>21</v>
      </c>
      <c r="B36" s="275"/>
      <c r="C36" s="214"/>
      <c r="D36" s="214"/>
      <c r="E36" s="214"/>
      <c r="F36" s="214"/>
      <c r="G36" s="214"/>
      <c r="H36" s="215"/>
      <c r="I36" s="174">
        <f t="shared" ref="I36:I54" si="3">I35+1</f>
        <v>21</v>
      </c>
    </row>
    <row r="37" spans="1:9" x14ac:dyDescent="0.25">
      <c r="A37" s="170">
        <f t="shared" si="2"/>
        <v>22</v>
      </c>
      <c r="B37" s="189" t="str">
        <f>B14</f>
        <v>Section 2 - Non-Direct Expense Cost Component</v>
      </c>
      <c r="C37" s="284">
        <f>'Pg3 Rev App. X C9'!C36</f>
        <v>231.4166863989702</v>
      </c>
      <c r="D37" s="27" t="s">
        <v>16</v>
      </c>
      <c r="E37" s="289">
        <f>'Pg4 App.X C9 Adj-Cost Adj'!C37</f>
        <v>231.13048902947546</v>
      </c>
      <c r="F37" s="162"/>
      <c r="G37" s="664">
        <f>C37-E37</f>
        <v>0.28619736949474373</v>
      </c>
      <c r="H37" s="8" t="s">
        <v>568</v>
      </c>
      <c r="I37" s="174">
        <f t="shared" si="3"/>
        <v>22</v>
      </c>
    </row>
    <row r="38" spans="1:9" x14ac:dyDescent="0.25">
      <c r="A38" s="170">
        <f t="shared" si="2"/>
        <v>23</v>
      </c>
      <c r="B38" s="275"/>
      <c r="C38" s="285"/>
      <c r="D38" s="218"/>
      <c r="E38" s="218"/>
      <c r="F38" s="218"/>
      <c r="G38" s="218"/>
      <c r="H38" s="219"/>
      <c r="I38" s="174">
        <f t="shared" si="3"/>
        <v>23</v>
      </c>
    </row>
    <row r="39" spans="1:9" x14ac:dyDescent="0.25">
      <c r="A39" s="170">
        <f t="shared" si="2"/>
        <v>24</v>
      </c>
      <c r="B39" s="189" t="str">
        <f>B16</f>
        <v>Section 3 - Cost Component Containing Other Specific Expenses</v>
      </c>
      <c r="C39" s="290">
        <f>'Pg3 Rev App. X C9'!C38</f>
        <v>78.854417373128271</v>
      </c>
      <c r="D39" s="220"/>
      <c r="E39" s="290">
        <f>'Pg4 App.X C9 Adj-Cost Adj'!C39</f>
        <v>78.854417373128271</v>
      </c>
      <c r="F39" s="220"/>
      <c r="G39" s="290">
        <f>C39-E39</f>
        <v>0</v>
      </c>
      <c r="H39" s="8" t="s">
        <v>569</v>
      </c>
      <c r="I39" s="174">
        <f t="shared" si="3"/>
        <v>24</v>
      </c>
    </row>
    <row r="40" spans="1:9" x14ac:dyDescent="0.25">
      <c r="A40" s="170">
        <f t="shared" si="2"/>
        <v>25</v>
      </c>
      <c r="B40" s="191"/>
      <c r="C40" s="218"/>
      <c r="D40" s="218"/>
      <c r="E40" s="218"/>
      <c r="F40" s="218"/>
      <c r="G40" s="218"/>
      <c r="H40" s="183"/>
      <c r="I40" s="174">
        <f t="shared" si="3"/>
        <v>25</v>
      </c>
    </row>
    <row r="41" spans="1:9" x14ac:dyDescent="0.25">
      <c r="A41" s="170">
        <f t="shared" si="2"/>
        <v>26</v>
      </c>
      <c r="B41" s="276" t="s">
        <v>428</v>
      </c>
      <c r="C41" s="286">
        <f>C35+C37+C39</f>
        <v>325.48737332805422</v>
      </c>
      <c r="D41" s="27" t="s">
        <v>16</v>
      </c>
      <c r="E41" s="293">
        <f>E35+E37+E39</f>
        <v>325.20117595855947</v>
      </c>
      <c r="F41" s="162"/>
      <c r="G41" s="665">
        <f>C41-E41</f>
        <v>0.28619736949474373</v>
      </c>
      <c r="H41" s="194" t="str">
        <f>"Sum Lines "&amp;A35&amp;", "&amp;A37&amp;", "&amp;A39</f>
        <v>Sum Lines 20, 22, 24</v>
      </c>
      <c r="I41" s="174">
        <f t="shared" si="3"/>
        <v>26</v>
      </c>
    </row>
    <row r="42" spans="1:9" x14ac:dyDescent="0.25">
      <c r="A42" s="170">
        <f t="shared" si="2"/>
        <v>27</v>
      </c>
      <c r="B42" s="168"/>
      <c r="C42" s="285"/>
      <c r="D42" s="218"/>
      <c r="E42" s="218"/>
      <c r="F42" s="218"/>
      <c r="G42" s="218"/>
      <c r="H42" s="188"/>
      <c r="I42" s="174">
        <f t="shared" si="3"/>
        <v>27</v>
      </c>
    </row>
    <row r="43" spans="1:9" x14ac:dyDescent="0.25">
      <c r="A43" s="170">
        <f t="shared" si="2"/>
        <v>28</v>
      </c>
      <c r="B43" s="189" t="str">
        <f>LEFT(B20,45)</f>
        <v>Section 4 - True-Up Adjustment Cost Component</v>
      </c>
      <c r="C43" s="284">
        <f>'Pg3 Rev App. X C9'!C42</f>
        <v>133.76415696635578</v>
      </c>
      <c r="D43" s="27" t="s">
        <v>16</v>
      </c>
      <c r="E43" s="291">
        <f>'Pg4 App.X C9 Adj-Cost Adj'!C43</f>
        <v>133.47000333671664</v>
      </c>
      <c r="F43" s="162"/>
      <c r="G43" s="664">
        <f>C43-E43</f>
        <v>0.29415362963914049</v>
      </c>
      <c r="H43" s="8" t="s">
        <v>570</v>
      </c>
      <c r="I43" s="174">
        <f t="shared" si="3"/>
        <v>28</v>
      </c>
    </row>
    <row r="44" spans="1:9" x14ac:dyDescent="0.25">
      <c r="A44" s="170">
        <f t="shared" si="2"/>
        <v>29</v>
      </c>
      <c r="B44" s="189"/>
      <c r="C44" s="285"/>
      <c r="D44" s="218"/>
      <c r="E44" s="218"/>
      <c r="F44" s="218"/>
      <c r="G44" s="218"/>
      <c r="H44" s="222"/>
      <c r="I44" s="174">
        <f t="shared" si="3"/>
        <v>29</v>
      </c>
    </row>
    <row r="45" spans="1:9" x14ac:dyDescent="0.25">
      <c r="A45" s="170">
        <f t="shared" si="2"/>
        <v>30</v>
      </c>
      <c r="B45" s="189" t="str">
        <f>B22</f>
        <v>Section 5 - Interest True-Up Adjustment Cost Component</v>
      </c>
      <c r="C45" s="220">
        <f>'Pg3 Rev App. X C9'!C44</f>
        <v>4.1532757689829225</v>
      </c>
      <c r="D45" s="220"/>
      <c r="E45" s="220">
        <f>'Pg4 App.X C9 Adj-Cost Adj'!C45</f>
        <v>4.1532757689829225</v>
      </c>
      <c r="F45" s="220"/>
      <c r="G45" s="220">
        <f>C45-E45</f>
        <v>0</v>
      </c>
      <c r="H45" s="8" t="s">
        <v>571</v>
      </c>
      <c r="I45" s="174">
        <f t="shared" si="3"/>
        <v>30</v>
      </c>
    </row>
    <row r="46" spans="1:9" x14ac:dyDescent="0.25">
      <c r="A46" s="170">
        <f t="shared" si="2"/>
        <v>31</v>
      </c>
      <c r="B46" s="191"/>
      <c r="C46" s="31"/>
      <c r="D46" s="30"/>
      <c r="E46" s="30"/>
      <c r="F46" s="30"/>
      <c r="G46" s="30"/>
      <c r="H46" s="224"/>
      <c r="I46" s="174">
        <f t="shared" si="3"/>
        <v>31</v>
      </c>
    </row>
    <row r="47" spans="1:9" x14ac:dyDescent="0.25">
      <c r="A47" s="170">
        <f t="shared" si="2"/>
        <v>32</v>
      </c>
      <c r="B47" s="189" t="str">
        <f>B26</f>
        <v>Other Adjustments</v>
      </c>
      <c r="C47" s="290">
        <f>'Pg3 Rev App. X C9'!C46</f>
        <v>0</v>
      </c>
      <c r="D47" s="220"/>
      <c r="E47" s="290">
        <f>'Pg4 App.X C9 Adj-Cost Adj'!C47</f>
        <v>0</v>
      </c>
      <c r="F47" s="220"/>
      <c r="G47" s="290">
        <f>C47-E47</f>
        <v>0</v>
      </c>
      <c r="H47" s="8" t="s">
        <v>572</v>
      </c>
      <c r="I47" s="174">
        <f t="shared" si="3"/>
        <v>32</v>
      </c>
    </row>
    <row r="48" spans="1:9" x14ac:dyDescent="0.25">
      <c r="A48" s="170">
        <f t="shared" si="2"/>
        <v>33</v>
      </c>
      <c r="B48" s="191"/>
      <c r="C48" s="31"/>
      <c r="D48" s="30"/>
      <c r="E48" s="30"/>
      <c r="F48" s="30"/>
      <c r="G48" s="30"/>
      <c r="H48" s="224"/>
      <c r="I48" s="174">
        <f t="shared" si="3"/>
        <v>33</v>
      </c>
    </row>
    <row r="49" spans="1:9" x14ac:dyDescent="0.25">
      <c r="A49" s="170">
        <f t="shared" si="2"/>
        <v>34</v>
      </c>
      <c r="B49" s="191" t="s">
        <v>185</v>
      </c>
      <c r="C49" s="287">
        <f>C41+C43+C45+C47</f>
        <v>463.40480606339293</v>
      </c>
      <c r="D49" s="27" t="s">
        <v>16</v>
      </c>
      <c r="E49" s="292">
        <f>E41+E43+E45+E47</f>
        <v>462.82445506425904</v>
      </c>
      <c r="F49" s="162"/>
      <c r="G49" s="287">
        <f>G41+G43+G45+G47</f>
        <v>0.58035099913388422</v>
      </c>
      <c r="H49" s="194" t="str">
        <f>"Sum Lines "&amp;A41&amp;", "&amp;A43&amp;", "&amp;A45&amp;", "&amp;A47</f>
        <v>Sum Lines 26, 28, 30, 32</v>
      </c>
      <c r="I49" s="174">
        <f t="shared" si="3"/>
        <v>34</v>
      </c>
    </row>
    <row r="50" spans="1:9" x14ac:dyDescent="0.25">
      <c r="A50" s="170">
        <f t="shared" si="2"/>
        <v>35</v>
      </c>
      <c r="B50" s="168"/>
      <c r="C50" s="288"/>
      <c r="D50" s="226"/>
      <c r="E50" s="226"/>
      <c r="F50" s="226"/>
      <c r="G50" s="226"/>
      <c r="H50" s="227"/>
      <c r="I50" s="174">
        <f t="shared" si="3"/>
        <v>35</v>
      </c>
    </row>
    <row r="51" spans="1:9" x14ac:dyDescent="0.25">
      <c r="A51" s="170">
        <f t="shared" si="2"/>
        <v>36</v>
      </c>
      <c r="B51" s="275" t="s">
        <v>186</v>
      </c>
      <c r="C51" s="296">
        <f>'Pg3 Rev App. X C9'!C50</f>
        <v>12</v>
      </c>
      <c r="D51" s="228"/>
      <c r="E51" s="296">
        <f>'Pg4 App.X C9 Adj-Cost Adj'!C51</f>
        <v>12</v>
      </c>
      <c r="F51" s="228"/>
      <c r="G51" s="297">
        <f>C51-E51</f>
        <v>0</v>
      </c>
      <c r="H51" s="8" t="s">
        <v>573</v>
      </c>
      <c r="I51" s="174">
        <f t="shared" si="3"/>
        <v>36</v>
      </c>
    </row>
    <row r="52" spans="1:9" x14ac:dyDescent="0.25">
      <c r="A52" s="170">
        <f t="shared" si="2"/>
        <v>37</v>
      </c>
      <c r="B52" s="168"/>
      <c r="C52" s="288"/>
      <c r="D52" s="226"/>
      <c r="E52" s="226"/>
      <c r="F52" s="226"/>
      <c r="G52" s="226"/>
      <c r="H52" s="229"/>
      <c r="I52" s="174">
        <f t="shared" si="3"/>
        <v>37</v>
      </c>
    </row>
    <row r="53" spans="1:9" ht="16.5" thickBot="1" x14ac:dyDescent="0.3">
      <c r="A53" s="170">
        <f t="shared" si="2"/>
        <v>38</v>
      </c>
      <c r="B53" s="276" t="str">
        <f>B28</f>
        <v>Total Annual Costs</v>
      </c>
      <c r="C53" s="295">
        <f>C49*C51</f>
        <v>5560.8576727607151</v>
      </c>
      <c r="D53" s="27" t="s">
        <v>16</v>
      </c>
      <c r="E53" s="295">
        <f>E49*E51</f>
        <v>5553.8934607711089</v>
      </c>
      <c r="F53" s="162"/>
      <c r="G53" s="270">
        <f>C53-E53</f>
        <v>6.9642119896061558</v>
      </c>
      <c r="H53" s="8" t="s">
        <v>574</v>
      </c>
      <c r="I53" s="174">
        <f t="shared" si="3"/>
        <v>38</v>
      </c>
    </row>
    <row r="54" spans="1:9" ht="17.25" thickTop="1" thickBot="1" x14ac:dyDescent="0.3">
      <c r="A54" s="170">
        <f t="shared" si="2"/>
        <v>39</v>
      </c>
      <c r="B54" s="169"/>
      <c r="C54" s="294"/>
      <c r="D54" s="231"/>
      <c r="E54" s="231"/>
      <c r="F54" s="231"/>
      <c r="G54" s="231"/>
      <c r="H54" s="232"/>
      <c r="I54" s="174">
        <f t="shared" si="3"/>
        <v>39</v>
      </c>
    </row>
    <row r="56" spans="1:9" x14ac:dyDescent="0.25">
      <c r="A56" s="27" t="s">
        <v>16</v>
      </c>
      <c r="B56" s="25" t="s">
        <v>614</v>
      </c>
    </row>
    <row r="57" spans="1:9" x14ac:dyDescent="0.25">
      <c r="B57" s="25" t="s">
        <v>629</v>
      </c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60" orientation="portrait" r:id="rId1"/>
  <headerFooter scaleWithDoc="0" alignWithMargins="0">
    <oddFooter>&amp;L&amp;F&amp;CPage 2&amp;R&amp;A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L85"/>
  <sheetViews>
    <sheetView zoomScale="80" zoomScaleNormal="80" workbookViewId="0"/>
  </sheetViews>
  <sheetFormatPr defaultColWidth="9.140625" defaultRowHeight="15.75" x14ac:dyDescent="0.25"/>
  <cols>
    <col min="1" max="1" width="5.140625" style="553" customWidth="1"/>
    <col min="2" max="2" width="12.5703125" style="669" customWidth="1"/>
    <col min="3" max="3" width="20" style="669" customWidth="1"/>
    <col min="4" max="8" width="21.5703125" style="669" customWidth="1"/>
    <col min="9" max="9" width="5.140625" style="553" customWidth="1"/>
    <col min="10" max="10" width="13.5703125" style="669" customWidth="1"/>
    <col min="11" max="11" width="12.5703125" style="669" customWidth="1"/>
    <col min="12" max="16384" width="9.140625" style="669"/>
  </cols>
  <sheetData>
    <row r="1" spans="1:9" x14ac:dyDescent="0.25">
      <c r="D1" s="670"/>
    </row>
    <row r="2" spans="1:9" x14ac:dyDescent="0.25">
      <c r="B2" s="787" t="s">
        <v>21</v>
      </c>
      <c r="C2" s="787"/>
      <c r="D2" s="787"/>
      <c r="E2" s="787"/>
      <c r="F2" s="787"/>
      <c r="G2" s="787"/>
      <c r="H2" s="787"/>
      <c r="I2" s="671"/>
    </row>
    <row r="3" spans="1:9" x14ac:dyDescent="0.25">
      <c r="B3" s="787" t="s">
        <v>435</v>
      </c>
      <c r="C3" s="787"/>
      <c r="D3" s="787"/>
      <c r="E3" s="787"/>
      <c r="F3" s="787"/>
      <c r="G3" s="787"/>
      <c r="H3" s="787"/>
      <c r="I3" s="671"/>
    </row>
    <row r="4" spans="1:9" x14ac:dyDescent="0.25">
      <c r="B4" s="788" t="s">
        <v>628</v>
      </c>
      <c r="C4" s="788"/>
      <c r="D4" s="788"/>
      <c r="E4" s="788"/>
      <c r="F4" s="788"/>
      <c r="G4" s="788"/>
      <c r="H4" s="788"/>
      <c r="I4" s="671"/>
    </row>
    <row r="5" spans="1:9" x14ac:dyDescent="0.25">
      <c r="B5" s="788" t="s">
        <v>446</v>
      </c>
      <c r="C5" s="788"/>
      <c r="D5" s="788"/>
      <c r="E5" s="788"/>
      <c r="F5" s="788"/>
      <c r="G5" s="788"/>
      <c r="H5" s="788"/>
      <c r="I5" s="671"/>
    </row>
    <row r="6" spans="1:9" x14ac:dyDescent="0.25">
      <c r="B6" s="789" t="s">
        <v>1</v>
      </c>
      <c r="C6" s="789"/>
      <c r="D6" s="789"/>
      <c r="E6" s="789"/>
      <c r="F6" s="789"/>
      <c r="G6" s="789"/>
      <c r="H6" s="789"/>
      <c r="I6" s="671"/>
    </row>
    <row r="7" spans="1:9" x14ac:dyDescent="0.25">
      <c r="A7" s="671"/>
      <c r="B7" s="671"/>
      <c r="C7" s="671"/>
      <c r="D7" s="671"/>
      <c r="E7" s="671"/>
      <c r="F7" s="671"/>
      <c r="G7" s="671"/>
      <c r="H7" s="671"/>
      <c r="I7" s="671"/>
    </row>
    <row r="8" spans="1:9" x14ac:dyDescent="0.25">
      <c r="A8" s="39" t="s">
        <v>2</v>
      </c>
      <c r="B8" s="57"/>
      <c r="I8" s="39" t="s">
        <v>2</v>
      </c>
    </row>
    <row r="9" spans="1:9" x14ac:dyDescent="0.25">
      <c r="A9" s="672" t="s">
        <v>6</v>
      </c>
      <c r="B9" s="57"/>
      <c r="I9" s="672" t="s">
        <v>6</v>
      </c>
    </row>
    <row r="10" spans="1:9" x14ac:dyDescent="0.25">
      <c r="A10" s="39">
        <v>1</v>
      </c>
      <c r="C10" s="301" t="s">
        <v>189</v>
      </c>
      <c r="D10" s="301" t="s">
        <v>190</v>
      </c>
      <c r="E10" s="301" t="s">
        <v>191</v>
      </c>
      <c r="F10" s="301" t="s">
        <v>192</v>
      </c>
      <c r="G10" s="301" t="s">
        <v>193</v>
      </c>
      <c r="H10" s="301" t="s">
        <v>194</v>
      </c>
      <c r="I10" s="39">
        <v>1</v>
      </c>
    </row>
    <row r="11" spans="1:9" x14ac:dyDescent="0.25">
      <c r="A11" s="39">
        <f t="shared" ref="A11:A53" si="0">A10+1</f>
        <v>2</v>
      </c>
      <c r="B11" s="673" t="s">
        <v>200</v>
      </c>
      <c r="C11" s="39"/>
      <c r="D11" s="72" t="s">
        <v>438</v>
      </c>
      <c r="E11" s="39"/>
      <c r="F11" s="39" t="s">
        <v>439</v>
      </c>
      <c r="G11" s="39" t="s">
        <v>440</v>
      </c>
      <c r="H11" s="72" t="s">
        <v>441</v>
      </c>
      <c r="I11" s="39">
        <f t="shared" ref="I11:I74" si="1">I10+1</f>
        <v>2</v>
      </c>
    </row>
    <row r="12" spans="1:9" x14ac:dyDescent="0.25">
      <c r="A12" s="39">
        <f t="shared" si="0"/>
        <v>3</v>
      </c>
      <c r="B12" s="673"/>
      <c r="C12" s="39"/>
      <c r="D12" s="72"/>
      <c r="E12" s="39"/>
      <c r="F12" s="39"/>
      <c r="G12" s="39"/>
      <c r="H12" s="72"/>
      <c r="I12" s="39">
        <f t="shared" si="1"/>
        <v>3</v>
      </c>
    </row>
    <row r="13" spans="1:9" x14ac:dyDescent="0.25">
      <c r="A13" s="39">
        <f t="shared" si="0"/>
        <v>4</v>
      </c>
      <c r="C13" s="301"/>
      <c r="F13" s="387" t="s">
        <v>201</v>
      </c>
      <c r="H13" s="387" t="s">
        <v>201</v>
      </c>
      <c r="I13" s="39">
        <f t="shared" si="1"/>
        <v>4</v>
      </c>
    </row>
    <row r="14" spans="1:9" x14ac:dyDescent="0.25">
      <c r="A14" s="39">
        <f t="shared" si="0"/>
        <v>5</v>
      </c>
      <c r="C14" s="301"/>
      <c r="D14" s="387" t="s">
        <v>202</v>
      </c>
      <c r="E14" s="387"/>
      <c r="F14" s="387" t="s">
        <v>203</v>
      </c>
      <c r="H14" s="387" t="s">
        <v>203</v>
      </c>
      <c r="I14" s="39">
        <f t="shared" si="1"/>
        <v>5</v>
      </c>
    </row>
    <row r="15" spans="1:9" x14ac:dyDescent="0.25">
      <c r="A15" s="39">
        <f t="shared" si="0"/>
        <v>6</v>
      </c>
      <c r="C15" s="387"/>
      <c r="D15" s="387" t="s">
        <v>203</v>
      </c>
      <c r="E15" s="387" t="s">
        <v>202</v>
      </c>
      <c r="F15" s="387" t="s">
        <v>206</v>
      </c>
      <c r="H15" s="387" t="s">
        <v>206</v>
      </c>
      <c r="I15" s="39">
        <f t="shared" si="1"/>
        <v>6</v>
      </c>
    </row>
    <row r="16" spans="1:9" x14ac:dyDescent="0.25">
      <c r="A16" s="39">
        <f t="shared" si="0"/>
        <v>7</v>
      </c>
      <c r="C16" s="387"/>
      <c r="D16" s="387" t="s">
        <v>206</v>
      </c>
      <c r="E16" s="387" t="s">
        <v>209</v>
      </c>
      <c r="F16" s="387" t="s">
        <v>210</v>
      </c>
      <c r="G16" s="387"/>
      <c r="H16" s="387" t="s">
        <v>210</v>
      </c>
      <c r="I16" s="39">
        <f t="shared" si="1"/>
        <v>7</v>
      </c>
    </row>
    <row r="17" spans="1:12" ht="18.75" x14ac:dyDescent="0.25">
      <c r="A17" s="39">
        <f t="shared" si="0"/>
        <v>8</v>
      </c>
      <c r="B17" s="667" t="s">
        <v>211</v>
      </c>
      <c r="C17" s="667" t="s">
        <v>212</v>
      </c>
      <c r="D17" s="674" t="s">
        <v>210</v>
      </c>
      <c r="E17" s="674" t="s">
        <v>442</v>
      </c>
      <c r="F17" s="674" t="s">
        <v>219</v>
      </c>
      <c r="G17" s="675" t="s">
        <v>209</v>
      </c>
      <c r="H17" s="674" t="s">
        <v>220</v>
      </c>
      <c r="I17" s="39">
        <f t="shared" si="1"/>
        <v>8</v>
      </c>
    </row>
    <row r="18" spans="1:12" x14ac:dyDescent="0.25">
      <c r="A18" s="39">
        <f t="shared" si="0"/>
        <v>9</v>
      </c>
      <c r="B18" s="101" t="s">
        <v>221</v>
      </c>
      <c r="C18" s="303">
        <v>2019</v>
      </c>
      <c r="D18" s="755">
        <f>'Pg2 Appendix X C9 Comparison'!G28/12</f>
        <v>0.58035099913392207</v>
      </c>
      <c r="E18" s="677">
        <v>4.4000000000000003E-3</v>
      </c>
      <c r="F18" s="678">
        <f>D18</f>
        <v>0.58035099913392207</v>
      </c>
      <c r="G18" s="749">
        <f>(D18/2)*E18</f>
        <v>1.2767721980946286E-3</v>
      </c>
      <c r="H18" s="679">
        <f t="shared" ref="H18:H53" si="2">F18+G18</f>
        <v>0.58162777133201671</v>
      </c>
      <c r="I18" s="39">
        <f t="shared" si="1"/>
        <v>9</v>
      </c>
      <c r="J18" s="680"/>
    </row>
    <row r="19" spans="1:12" x14ac:dyDescent="0.25">
      <c r="A19" s="39">
        <f t="shared" si="0"/>
        <v>10</v>
      </c>
      <c r="B19" s="101" t="s">
        <v>222</v>
      </c>
      <c r="C19" s="303">
        <f>C18</f>
        <v>2019</v>
      </c>
      <c r="D19" s="756">
        <f>D18</f>
        <v>0.58035099913392207</v>
      </c>
      <c r="E19" s="677">
        <v>4.0000000000000001E-3</v>
      </c>
      <c r="F19" s="681">
        <f>H18+D19</f>
        <v>1.1619787704659388</v>
      </c>
      <c r="G19" s="750">
        <f t="shared" ref="G19:G53" si="3">(H18+F19)/2*E19</f>
        <v>3.4872130835959113E-3</v>
      </c>
      <c r="H19" s="682">
        <f t="shared" si="2"/>
        <v>1.1654659835495347</v>
      </c>
      <c r="I19" s="39">
        <f t="shared" si="1"/>
        <v>10</v>
      </c>
      <c r="J19" s="683"/>
    </row>
    <row r="20" spans="1:12" x14ac:dyDescent="0.25">
      <c r="A20" s="39">
        <f t="shared" si="0"/>
        <v>11</v>
      </c>
      <c r="B20" s="101" t="s">
        <v>223</v>
      </c>
      <c r="C20" s="303">
        <f t="shared" ref="C20:D29" si="4">C19</f>
        <v>2019</v>
      </c>
      <c r="D20" s="756">
        <f t="shared" si="4"/>
        <v>0.58035099913392207</v>
      </c>
      <c r="E20" s="677">
        <v>4.4000000000000003E-3</v>
      </c>
      <c r="F20" s="681">
        <f>H19+D20</f>
        <v>1.7458169826834569</v>
      </c>
      <c r="G20" s="750">
        <f>(H19+F20)/2*E20</f>
        <v>6.4048225257125812E-3</v>
      </c>
      <c r="H20" s="682">
        <f t="shared" si="2"/>
        <v>1.7522218052091694</v>
      </c>
      <c r="I20" s="39">
        <f t="shared" si="1"/>
        <v>11</v>
      </c>
      <c r="J20" s="683"/>
    </row>
    <row r="21" spans="1:12" x14ac:dyDescent="0.25">
      <c r="A21" s="39">
        <f t="shared" si="0"/>
        <v>12</v>
      </c>
      <c r="B21" s="101" t="s">
        <v>224</v>
      </c>
      <c r="C21" s="303">
        <f t="shared" si="4"/>
        <v>2019</v>
      </c>
      <c r="D21" s="756">
        <f t="shared" si="4"/>
        <v>0.58035099913392207</v>
      </c>
      <c r="E21" s="677">
        <v>4.4999999999999997E-3</v>
      </c>
      <c r="F21" s="681">
        <f>H20+D21</f>
        <v>2.3325728043430916</v>
      </c>
      <c r="G21" s="750">
        <f>(H20+F21)/2*E21</f>
        <v>9.1907878714925853E-3</v>
      </c>
      <c r="H21" s="682">
        <f t="shared" si="2"/>
        <v>2.3417635922145843</v>
      </c>
      <c r="I21" s="39">
        <f t="shared" si="1"/>
        <v>12</v>
      </c>
      <c r="J21" s="683"/>
      <c r="L21" s="684"/>
    </row>
    <row r="22" spans="1:12" x14ac:dyDescent="0.25">
      <c r="A22" s="39">
        <f t="shared" si="0"/>
        <v>13</v>
      </c>
      <c r="B22" s="101" t="s">
        <v>225</v>
      </c>
      <c r="C22" s="303">
        <f t="shared" si="4"/>
        <v>2019</v>
      </c>
      <c r="D22" s="756">
        <f t="shared" si="4"/>
        <v>0.58035099913392207</v>
      </c>
      <c r="E22" s="677">
        <v>4.5999999999999999E-3</v>
      </c>
      <c r="F22" s="681">
        <f t="shared" ref="F22:F53" si="5">H21+D22</f>
        <v>2.9221145913485063</v>
      </c>
      <c r="G22" s="750">
        <f t="shared" si="3"/>
        <v>1.2106919822195108E-2</v>
      </c>
      <c r="H22" s="682">
        <f t="shared" si="2"/>
        <v>2.9342215111707013</v>
      </c>
      <c r="I22" s="39">
        <f t="shared" si="1"/>
        <v>13</v>
      </c>
      <c r="J22" s="683"/>
    </row>
    <row r="23" spans="1:12" x14ac:dyDescent="0.25">
      <c r="A23" s="39">
        <f t="shared" si="0"/>
        <v>14</v>
      </c>
      <c r="B23" s="101" t="s">
        <v>226</v>
      </c>
      <c r="C23" s="303">
        <f t="shared" si="4"/>
        <v>2019</v>
      </c>
      <c r="D23" s="756">
        <f t="shared" si="4"/>
        <v>0.58035099913392207</v>
      </c>
      <c r="E23" s="677">
        <v>4.4999999999999997E-3</v>
      </c>
      <c r="F23" s="681">
        <f t="shared" si="5"/>
        <v>3.5145725103046233</v>
      </c>
      <c r="G23" s="750">
        <f>(H22+F23)/2*E23</f>
        <v>1.4509786548319479E-2</v>
      </c>
      <c r="H23" s="682">
        <f t="shared" si="2"/>
        <v>3.5290822968529429</v>
      </c>
      <c r="I23" s="39">
        <f t="shared" si="1"/>
        <v>14</v>
      </c>
      <c r="J23" s="683"/>
    </row>
    <row r="24" spans="1:12" x14ac:dyDescent="0.25">
      <c r="A24" s="39">
        <f t="shared" si="0"/>
        <v>15</v>
      </c>
      <c r="B24" s="101" t="s">
        <v>227</v>
      </c>
      <c r="C24" s="303">
        <f t="shared" si="4"/>
        <v>2019</v>
      </c>
      <c r="D24" s="756">
        <f t="shared" si="4"/>
        <v>0.58035099913392207</v>
      </c>
      <c r="E24" s="677">
        <v>4.7000000000000002E-3</v>
      </c>
      <c r="F24" s="681">
        <f t="shared" si="5"/>
        <v>4.1094332959868654</v>
      </c>
      <c r="G24" s="750">
        <f t="shared" si="3"/>
        <v>1.7950511643173551E-2</v>
      </c>
      <c r="H24" s="682">
        <f t="shared" si="2"/>
        <v>4.1273838076300393</v>
      </c>
      <c r="I24" s="39">
        <f t="shared" si="1"/>
        <v>15</v>
      </c>
      <c r="J24" s="683"/>
    </row>
    <row r="25" spans="1:12" x14ac:dyDescent="0.25">
      <c r="A25" s="39">
        <f t="shared" si="0"/>
        <v>16</v>
      </c>
      <c r="B25" s="101" t="s">
        <v>228</v>
      </c>
      <c r="C25" s="303">
        <f t="shared" si="4"/>
        <v>2019</v>
      </c>
      <c r="D25" s="756">
        <f t="shared" si="4"/>
        <v>0.58035099913392207</v>
      </c>
      <c r="E25" s="677">
        <v>4.7000000000000002E-3</v>
      </c>
      <c r="F25" s="681">
        <f t="shared" si="5"/>
        <v>4.7077348067639617</v>
      </c>
      <c r="G25" s="750">
        <f t="shared" si="3"/>
        <v>2.0762528743825906E-2</v>
      </c>
      <c r="H25" s="682">
        <f t="shared" si="2"/>
        <v>4.7284973355077877</v>
      </c>
      <c r="I25" s="39">
        <f t="shared" si="1"/>
        <v>16</v>
      </c>
      <c r="J25" s="683"/>
    </row>
    <row r="26" spans="1:12" x14ac:dyDescent="0.25">
      <c r="A26" s="39">
        <f t="shared" si="0"/>
        <v>17</v>
      </c>
      <c r="B26" s="101" t="s">
        <v>229</v>
      </c>
      <c r="C26" s="303">
        <f t="shared" si="4"/>
        <v>2019</v>
      </c>
      <c r="D26" s="756">
        <f t="shared" si="4"/>
        <v>0.58035099913392207</v>
      </c>
      <c r="E26" s="677">
        <v>4.4999999999999997E-3</v>
      </c>
      <c r="F26" s="681">
        <f t="shared" si="5"/>
        <v>5.3088483346417101</v>
      </c>
      <c r="G26" s="750">
        <f t="shared" si="3"/>
        <v>2.258402775783637E-2</v>
      </c>
      <c r="H26" s="682">
        <f t="shared" si="2"/>
        <v>5.3314323623995463</v>
      </c>
      <c r="I26" s="39">
        <f t="shared" si="1"/>
        <v>17</v>
      </c>
      <c r="J26" s="683"/>
    </row>
    <row r="27" spans="1:12" x14ac:dyDescent="0.25">
      <c r="A27" s="39">
        <f t="shared" si="0"/>
        <v>18</v>
      </c>
      <c r="B27" s="101" t="s">
        <v>230</v>
      </c>
      <c r="C27" s="303">
        <f t="shared" si="4"/>
        <v>2019</v>
      </c>
      <c r="D27" s="756">
        <f t="shared" si="4"/>
        <v>0.58035099913392207</v>
      </c>
      <c r="E27" s="677">
        <v>4.5999999999999999E-3</v>
      </c>
      <c r="F27" s="681">
        <f t="shared" si="5"/>
        <v>5.9117833615334687</v>
      </c>
      <c r="G27" s="750">
        <f t="shared" si="3"/>
        <v>2.5859396165045935E-2</v>
      </c>
      <c r="H27" s="682">
        <f t="shared" si="2"/>
        <v>5.9376427576985149</v>
      </c>
      <c r="I27" s="39">
        <f t="shared" si="1"/>
        <v>18</v>
      </c>
      <c r="J27" s="683"/>
    </row>
    <row r="28" spans="1:12" x14ac:dyDescent="0.25">
      <c r="A28" s="39">
        <f t="shared" si="0"/>
        <v>19</v>
      </c>
      <c r="B28" s="101" t="s">
        <v>231</v>
      </c>
      <c r="C28" s="303">
        <f t="shared" si="4"/>
        <v>2019</v>
      </c>
      <c r="D28" s="756">
        <f t="shared" si="4"/>
        <v>0.58035099913392207</v>
      </c>
      <c r="E28" s="677">
        <v>4.4999999999999997E-3</v>
      </c>
      <c r="F28" s="681">
        <f t="shared" si="5"/>
        <v>6.5179937568324373</v>
      </c>
      <c r="G28" s="751">
        <f t="shared" si="3"/>
        <v>2.8025182157694638E-2</v>
      </c>
      <c r="H28" s="685">
        <f t="shared" si="2"/>
        <v>6.546018938990132</v>
      </c>
      <c r="I28" s="39">
        <f t="shared" si="1"/>
        <v>19</v>
      </c>
      <c r="J28" s="683"/>
    </row>
    <row r="29" spans="1:12" x14ac:dyDescent="0.25">
      <c r="A29" s="39">
        <f t="shared" si="0"/>
        <v>20</v>
      </c>
      <c r="B29" s="686" t="s">
        <v>232</v>
      </c>
      <c r="C29" s="687">
        <f>C28</f>
        <v>2019</v>
      </c>
      <c r="D29" s="757">
        <f t="shared" si="4"/>
        <v>0.58035099913392207</v>
      </c>
      <c r="E29" s="689">
        <v>4.5999999999999999E-3</v>
      </c>
      <c r="F29" s="690">
        <f t="shared" si="5"/>
        <v>7.1263699381240544</v>
      </c>
      <c r="G29" s="752">
        <f t="shared" si="3"/>
        <v>3.1446494417362629E-2</v>
      </c>
      <c r="H29" s="691">
        <f t="shared" si="2"/>
        <v>7.1578164325414173</v>
      </c>
      <c r="I29" s="39">
        <f t="shared" si="1"/>
        <v>20</v>
      </c>
      <c r="J29" s="683"/>
    </row>
    <row r="30" spans="1:12" x14ac:dyDescent="0.25">
      <c r="A30" s="39">
        <f t="shared" si="0"/>
        <v>21</v>
      </c>
      <c r="B30" s="101" t="s">
        <v>221</v>
      </c>
      <c r="C30" s="303">
        <f>C29+1</f>
        <v>2020</v>
      </c>
      <c r="D30" s="676"/>
      <c r="E30" s="677">
        <v>4.1999999999999997E-3</v>
      </c>
      <c r="F30" s="692">
        <f t="shared" si="5"/>
        <v>7.1578164325414173</v>
      </c>
      <c r="G30" s="753">
        <f t="shared" si="3"/>
        <v>3.006282901667395E-2</v>
      </c>
      <c r="H30" s="190">
        <f t="shared" si="2"/>
        <v>7.1878792615580913</v>
      </c>
      <c r="I30" s="39">
        <f t="shared" si="1"/>
        <v>21</v>
      </c>
      <c r="J30" s="683"/>
    </row>
    <row r="31" spans="1:12" x14ac:dyDescent="0.25">
      <c r="A31" s="39">
        <f t="shared" si="0"/>
        <v>22</v>
      </c>
      <c r="B31" s="101" t="s">
        <v>222</v>
      </c>
      <c r="C31" s="303">
        <f>C30</f>
        <v>2020</v>
      </c>
      <c r="D31" s="676"/>
      <c r="E31" s="677">
        <v>3.8999999999999998E-3</v>
      </c>
      <c r="F31" s="692">
        <f t="shared" si="5"/>
        <v>7.1878792615580913</v>
      </c>
      <c r="G31" s="753">
        <f t="shared" si="3"/>
        <v>2.8032729120076556E-2</v>
      </c>
      <c r="H31" s="190">
        <f t="shared" si="2"/>
        <v>7.2159119906781681</v>
      </c>
      <c r="I31" s="39">
        <f t="shared" si="1"/>
        <v>22</v>
      </c>
      <c r="J31" s="683"/>
    </row>
    <row r="32" spans="1:12" x14ac:dyDescent="0.25">
      <c r="A32" s="39">
        <f t="shared" si="0"/>
        <v>23</v>
      </c>
      <c r="B32" s="101" t="s">
        <v>223</v>
      </c>
      <c r="C32" s="303">
        <f t="shared" ref="C32:C40" si="6">C31</f>
        <v>2020</v>
      </c>
      <c r="D32" s="676"/>
      <c r="E32" s="677">
        <v>4.1999999999999997E-3</v>
      </c>
      <c r="F32" s="692">
        <f t="shared" si="5"/>
        <v>7.2159119906781681</v>
      </c>
      <c r="G32" s="753">
        <f t="shared" si="3"/>
        <v>3.0306830360848306E-2</v>
      </c>
      <c r="H32" s="190">
        <f t="shared" si="2"/>
        <v>7.2462188210390162</v>
      </c>
      <c r="I32" s="39">
        <f t="shared" si="1"/>
        <v>23</v>
      </c>
      <c r="J32" s="683"/>
    </row>
    <row r="33" spans="1:11" x14ac:dyDescent="0.25">
      <c r="A33" s="39">
        <f t="shared" si="0"/>
        <v>24</v>
      </c>
      <c r="B33" s="101" t="s">
        <v>224</v>
      </c>
      <c r="C33" s="303">
        <f t="shared" si="6"/>
        <v>2020</v>
      </c>
      <c r="D33" s="676"/>
      <c r="E33" s="677">
        <v>3.8999999999999998E-3</v>
      </c>
      <c r="F33" s="692">
        <f t="shared" si="5"/>
        <v>7.2462188210390162</v>
      </c>
      <c r="G33" s="753">
        <f t="shared" si="3"/>
        <v>2.8260253402052161E-2</v>
      </c>
      <c r="H33" s="190">
        <f t="shared" si="2"/>
        <v>7.2744790744410679</v>
      </c>
      <c r="I33" s="39">
        <f t="shared" si="1"/>
        <v>24</v>
      </c>
      <c r="J33" s="683"/>
    </row>
    <row r="34" spans="1:11" x14ac:dyDescent="0.25">
      <c r="A34" s="39">
        <f t="shared" si="0"/>
        <v>25</v>
      </c>
      <c r="B34" s="101" t="s">
        <v>225</v>
      </c>
      <c r="C34" s="303">
        <f t="shared" si="6"/>
        <v>2020</v>
      </c>
      <c r="D34" s="676"/>
      <c r="E34" s="677">
        <v>4.0000000000000001E-3</v>
      </c>
      <c r="F34" s="692">
        <f t="shared" si="5"/>
        <v>7.2744790744410679</v>
      </c>
      <c r="G34" s="753">
        <f t="shared" si="3"/>
        <v>2.9097916297764273E-2</v>
      </c>
      <c r="H34" s="190">
        <f t="shared" si="2"/>
        <v>7.3035769907388319</v>
      </c>
      <c r="I34" s="39">
        <f t="shared" si="1"/>
        <v>25</v>
      </c>
      <c r="J34" s="683"/>
    </row>
    <row r="35" spans="1:11" x14ac:dyDescent="0.25">
      <c r="A35" s="39">
        <f t="shared" si="0"/>
        <v>26</v>
      </c>
      <c r="B35" s="101" t="s">
        <v>226</v>
      </c>
      <c r="C35" s="303">
        <f t="shared" si="6"/>
        <v>2020</v>
      </c>
      <c r="D35" s="676"/>
      <c r="E35" s="677">
        <v>3.8999999999999998E-3</v>
      </c>
      <c r="F35" s="692">
        <f t="shared" si="5"/>
        <v>7.3035769907388319</v>
      </c>
      <c r="G35" s="753">
        <f t="shared" si="3"/>
        <v>2.8483950263881442E-2</v>
      </c>
      <c r="H35" s="190">
        <f t="shared" si="2"/>
        <v>7.3320609410027133</v>
      </c>
      <c r="I35" s="39">
        <f t="shared" si="1"/>
        <v>26</v>
      </c>
      <c r="J35" s="683"/>
    </row>
    <row r="36" spans="1:11" x14ac:dyDescent="0.25">
      <c r="A36" s="39">
        <f t="shared" si="0"/>
        <v>27</v>
      </c>
      <c r="B36" s="101" t="s">
        <v>227</v>
      </c>
      <c r="C36" s="303">
        <f t="shared" si="6"/>
        <v>2020</v>
      </c>
      <c r="D36" s="676"/>
      <c r="E36" s="677">
        <v>2.8999999999999998E-3</v>
      </c>
      <c r="F36" s="692">
        <f t="shared" si="5"/>
        <v>7.3320609410027133</v>
      </c>
      <c r="G36" s="753">
        <f t="shared" si="3"/>
        <v>2.1262976728907867E-2</v>
      </c>
      <c r="H36" s="190">
        <f t="shared" si="2"/>
        <v>7.353323917731621</v>
      </c>
      <c r="I36" s="39">
        <f t="shared" si="1"/>
        <v>27</v>
      </c>
      <c r="J36" s="683"/>
    </row>
    <row r="37" spans="1:11" x14ac:dyDescent="0.25">
      <c r="A37" s="39">
        <f t="shared" si="0"/>
        <v>28</v>
      </c>
      <c r="B37" s="101" t="s">
        <v>228</v>
      </c>
      <c r="C37" s="303">
        <f t="shared" si="6"/>
        <v>2020</v>
      </c>
      <c r="D37" s="676"/>
      <c r="E37" s="677">
        <v>2.8999999999999998E-3</v>
      </c>
      <c r="F37" s="692">
        <f t="shared" si="5"/>
        <v>7.353323917731621</v>
      </c>
      <c r="G37" s="753">
        <f t="shared" si="3"/>
        <v>2.1324639361421701E-2</v>
      </c>
      <c r="H37" s="190">
        <f t="shared" si="2"/>
        <v>7.3746485570930425</v>
      </c>
      <c r="I37" s="39">
        <f t="shared" si="1"/>
        <v>28</v>
      </c>
      <c r="J37" s="683"/>
    </row>
    <row r="38" spans="1:11" x14ac:dyDescent="0.25">
      <c r="A38" s="39">
        <f t="shared" si="0"/>
        <v>29</v>
      </c>
      <c r="B38" s="101" t="s">
        <v>229</v>
      </c>
      <c r="C38" s="303">
        <f t="shared" si="6"/>
        <v>2020</v>
      </c>
      <c r="D38" s="676"/>
      <c r="E38" s="677">
        <v>2.8E-3</v>
      </c>
      <c r="F38" s="692">
        <f t="shared" si="5"/>
        <v>7.3746485570930425</v>
      </c>
      <c r="G38" s="753">
        <f t="shared" si="3"/>
        <v>2.0649015959860517E-2</v>
      </c>
      <c r="H38" s="190">
        <f t="shared" si="2"/>
        <v>7.3952975730529031</v>
      </c>
      <c r="I38" s="39">
        <f t="shared" si="1"/>
        <v>29</v>
      </c>
      <c r="J38" s="683"/>
    </row>
    <row r="39" spans="1:11" x14ac:dyDescent="0.25">
      <c r="A39" s="39">
        <f t="shared" si="0"/>
        <v>30</v>
      </c>
      <c r="B39" s="101" t="s">
        <v>230</v>
      </c>
      <c r="C39" s="303">
        <f t="shared" si="6"/>
        <v>2020</v>
      </c>
      <c r="D39" s="676"/>
      <c r="E39" s="677">
        <v>2.8E-3</v>
      </c>
      <c r="F39" s="692">
        <f t="shared" si="5"/>
        <v>7.3952975730529031</v>
      </c>
      <c r="G39" s="753">
        <f t="shared" si="3"/>
        <v>2.0706833204548129E-2</v>
      </c>
      <c r="H39" s="190">
        <f t="shared" si="2"/>
        <v>7.4160044062574508</v>
      </c>
      <c r="I39" s="39">
        <f t="shared" si="1"/>
        <v>30</v>
      </c>
      <c r="J39" s="683"/>
    </row>
    <row r="40" spans="1:11" x14ac:dyDescent="0.25">
      <c r="A40" s="39">
        <f t="shared" si="0"/>
        <v>31</v>
      </c>
      <c r="B40" s="101" t="s">
        <v>231</v>
      </c>
      <c r="C40" s="303">
        <f t="shared" si="6"/>
        <v>2020</v>
      </c>
      <c r="D40" s="676"/>
      <c r="E40" s="677">
        <v>2.7000000000000001E-3</v>
      </c>
      <c r="F40" s="692">
        <f t="shared" si="5"/>
        <v>7.4160044062574508</v>
      </c>
      <c r="G40" s="753">
        <f t="shared" si="3"/>
        <v>2.002321189689512E-2</v>
      </c>
      <c r="H40" s="190">
        <f t="shared" si="2"/>
        <v>7.4360276181543457</v>
      </c>
      <c r="I40" s="39">
        <f t="shared" si="1"/>
        <v>31</v>
      </c>
      <c r="J40" s="683"/>
    </row>
    <row r="41" spans="1:11" x14ac:dyDescent="0.25">
      <c r="A41" s="39">
        <f t="shared" si="0"/>
        <v>32</v>
      </c>
      <c r="B41" s="686" t="s">
        <v>232</v>
      </c>
      <c r="C41" s="687">
        <f>C40</f>
        <v>2020</v>
      </c>
      <c r="D41" s="688"/>
      <c r="E41" s="689">
        <v>2.8E-3</v>
      </c>
      <c r="F41" s="690">
        <f t="shared" si="5"/>
        <v>7.4360276181543457</v>
      </c>
      <c r="G41" s="752">
        <f t="shared" si="3"/>
        <v>2.0820877330832169E-2</v>
      </c>
      <c r="H41" s="691">
        <f t="shared" si="2"/>
        <v>7.4568484954851781</v>
      </c>
      <c r="I41" s="39">
        <f t="shared" si="1"/>
        <v>32</v>
      </c>
      <c r="J41" s="683"/>
    </row>
    <row r="42" spans="1:11" x14ac:dyDescent="0.25">
      <c r="A42" s="39">
        <f t="shared" si="0"/>
        <v>33</v>
      </c>
      <c r="B42" s="101" t="s">
        <v>221</v>
      </c>
      <c r="C42" s="303">
        <f>C41+1</f>
        <v>2021</v>
      </c>
      <c r="D42" s="676"/>
      <c r="E42" s="677">
        <v>2.8E-3</v>
      </c>
      <c r="F42" s="692">
        <f t="shared" si="5"/>
        <v>7.4568484954851781</v>
      </c>
      <c r="G42" s="753">
        <f t="shared" si="3"/>
        <v>2.0879175787358498E-2</v>
      </c>
      <c r="H42" s="190">
        <f t="shared" si="2"/>
        <v>7.4777276712725369</v>
      </c>
      <c r="I42" s="39">
        <f t="shared" si="1"/>
        <v>33</v>
      </c>
      <c r="J42" s="683"/>
    </row>
    <row r="43" spans="1:11" x14ac:dyDescent="0.25">
      <c r="A43" s="39">
        <f t="shared" si="0"/>
        <v>34</v>
      </c>
      <c r="B43" s="101" t="s">
        <v>222</v>
      </c>
      <c r="C43" s="303">
        <f>C42</f>
        <v>2021</v>
      </c>
      <c r="D43" s="676"/>
      <c r="E43" s="677">
        <v>2.5000000000000001E-3</v>
      </c>
      <c r="F43" s="692">
        <f t="shared" si="5"/>
        <v>7.4777276712725369</v>
      </c>
      <c r="G43" s="753">
        <f t="shared" si="3"/>
        <v>1.8694319178181342E-2</v>
      </c>
      <c r="H43" s="190">
        <f t="shared" si="2"/>
        <v>7.4964219904507186</v>
      </c>
      <c r="I43" s="39">
        <f t="shared" si="1"/>
        <v>34</v>
      </c>
      <c r="J43" s="683"/>
    </row>
    <row r="44" spans="1:11" x14ac:dyDescent="0.25">
      <c r="A44" s="39">
        <f t="shared" si="0"/>
        <v>35</v>
      </c>
      <c r="B44" s="101" t="s">
        <v>223</v>
      </c>
      <c r="C44" s="303">
        <f t="shared" ref="C44:C52" si="7">C43</f>
        <v>2021</v>
      </c>
      <c r="D44" s="676"/>
      <c r="E44" s="677">
        <v>2.8E-3</v>
      </c>
      <c r="F44" s="692">
        <f t="shared" si="5"/>
        <v>7.4964219904507186</v>
      </c>
      <c r="G44" s="753">
        <f t="shared" si="3"/>
        <v>2.0989981573262012E-2</v>
      </c>
      <c r="H44" s="190">
        <f t="shared" si="2"/>
        <v>7.5174119720239805</v>
      </c>
      <c r="I44" s="39">
        <f t="shared" si="1"/>
        <v>35</v>
      </c>
      <c r="J44" s="683"/>
      <c r="K44" s="760"/>
    </row>
    <row r="45" spans="1:11" x14ac:dyDescent="0.25">
      <c r="A45" s="39">
        <f t="shared" si="0"/>
        <v>36</v>
      </c>
      <c r="B45" s="101" t="s">
        <v>224</v>
      </c>
      <c r="C45" s="303">
        <f t="shared" si="7"/>
        <v>2021</v>
      </c>
      <c r="D45" s="676"/>
      <c r="E45" s="677">
        <v>2.7000000000000001E-3</v>
      </c>
      <c r="F45" s="692">
        <f t="shared" si="5"/>
        <v>7.5174119720239805</v>
      </c>
      <c r="G45" s="753">
        <f t="shared" si="3"/>
        <v>2.029701232446475E-2</v>
      </c>
      <c r="H45" s="190">
        <f t="shared" si="2"/>
        <v>7.5377089843484448</v>
      </c>
      <c r="I45" s="39">
        <f t="shared" si="1"/>
        <v>36</v>
      </c>
      <c r="J45" s="683"/>
    </row>
    <row r="46" spans="1:11" x14ac:dyDescent="0.25">
      <c r="A46" s="39">
        <f t="shared" si="0"/>
        <v>37</v>
      </c>
      <c r="B46" s="101" t="s">
        <v>225</v>
      </c>
      <c r="C46" s="303">
        <f t="shared" si="7"/>
        <v>2021</v>
      </c>
      <c r="D46" s="676"/>
      <c r="E46" s="677">
        <v>2.8E-3</v>
      </c>
      <c r="F46" s="692">
        <f t="shared" si="5"/>
        <v>7.5377089843484448</v>
      </c>
      <c r="G46" s="753">
        <f t="shared" si="3"/>
        <v>2.1105585156175645E-2</v>
      </c>
      <c r="H46" s="190">
        <f t="shared" si="2"/>
        <v>7.5588145695046203</v>
      </c>
      <c r="I46" s="39">
        <f t="shared" si="1"/>
        <v>37</v>
      </c>
      <c r="J46" s="683"/>
    </row>
    <row r="47" spans="1:11" x14ac:dyDescent="0.25">
      <c r="A47" s="39">
        <f t="shared" si="0"/>
        <v>38</v>
      </c>
      <c r="B47" s="101" t="s">
        <v>226</v>
      </c>
      <c r="C47" s="303">
        <f t="shared" si="7"/>
        <v>2021</v>
      </c>
      <c r="D47" s="676"/>
      <c r="E47" s="677">
        <v>2.7000000000000001E-3</v>
      </c>
      <c r="F47" s="692">
        <f t="shared" si="5"/>
        <v>7.5588145695046203</v>
      </c>
      <c r="G47" s="753">
        <f t="shared" si="3"/>
        <v>2.0408799337662476E-2</v>
      </c>
      <c r="H47" s="190">
        <f t="shared" si="2"/>
        <v>7.5792233688422828</v>
      </c>
      <c r="I47" s="39">
        <f t="shared" si="1"/>
        <v>38</v>
      </c>
      <c r="J47" s="683"/>
    </row>
    <row r="48" spans="1:11" x14ac:dyDescent="0.25">
      <c r="A48" s="39">
        <f t="shared" si="0"/>
        <v>39</v>
      </c>
      <c r="B48" s="101" t="s">
        <v>227</v>
      </c>
      <c r="C48" s="303">
        <f t="shared" si="7"/>
        <v>2021</v>
      </c>
      <c r="D48" s="676"/>
      <c r="E48" s="700">
        <v>2.8E-3</v>
      </c>
      <c r="F48" s="692">
        <f t="shared" si="5"/>
        <v>7.5792233688422828</v>
      </c>
      <c r="G48" s="753">
        <f t="shared" si="3"/>
        <v>2.1221825432758391E-2</v>
      </c>
      <c r="H48" s="190">
        <f t="shared" si="2"/>
        <v>7.6004451942750411</v>
      </c>
      <c r="I48" s="39">
        <f t="shared" si="1"/>
        <v>39</v>
      </c>
      <c r="J48" s="683"/>
    </row>
    <row r="49" spans="1:10" x14ac:dyDescent="0.25">
      <c r="A49" s="39">
        <f t="shared" si="0"/>
        <v>40</v>
      </c>
      <c r="B49" s="101" t="s">
        <v>228</v>
      </c>
      <c r="C49" s="303">
        <f t="shared" si="7"/>
        <v>2021</v>
      </c>
      <c r="D49" s="676"/>
      <c r="E49" s="700">
        <v>2.8E-3</v>
      </c>
      <c r="F49" s="692">
        <f t="shared" si="5"/>
        <v>7.6004451942750411</v>
      </c>
      <c r="G49" s="753">
        <f t="shared" si="3"/>
        <v>2.1281246543970116E-2</v>
      </c>
      <c r="H49" s="190">
        <f t="shared" si="2"/>
        <v>7.6217264408190113</v>
      </c>
      <c r="I49" s="39">
        <f t="shared" si="1"/>
        <v>40</v>
      </c>
      <c r="J49" s="683"/>
    </row>
    <row r="50" spans="1:10" x14ac:dyDescent="0.25">
      <c r="A50" s="39">
        <f t="shared" si="0"/>
        <v>41</v>
      </c>
      <c r="B50" s="101" t="s">
        <v>229</v>
      </c>
      <c r="C50" s="303">
        <f t="shared" si="7"/>
        <v>2021</v>
      </c>
      <c r="D50" s="676"/>
      <c r="E50" s="700">
        <v>2.7000000000000001E-3</v>
      </c>
      <c r="F50" s="692">
        <f t="shared" si="5"/>
        <v>7.6217264408190113</v>
      </c>
      <c r="G50" s="753">
        <f t="shared" si="3"/>
        <v>2.057866139021133E-2</v>
      </c>
      <c r="H50" s="190">
        <f t="shared" si="2"/>
        <v>7.6423051022092228</v>
      </c>
      <c r="I50" s="39">
        <f t="shared" si="1"/>
        <v>41</v>
      </c>
      <c r="J50" s="683"/>
    </row>
    <row r="51" spans="1:10" x14ac:dyDescent="0.25">
      <c r="A51" s="39">
        <f t="shared" si="0"/>
        <v>42</v>
      </c>
      <c r="B51" s="101" t="s">
        <v>230</v>
      </c>
      <c r="C51" s="303">
        <f t="shared" si="7"/>
        <v>2021</v>
      </c>
      <c r="D51" s="676"/>
      <c r="E51" s="677">
        <v>2.8E-3</v>
      </c>
      <c r="F51" s="692">
        <f t="shared" si="5"/>
        <v>7.6423051022092228</v>
      </c>
      <c r="G51" s="753">
        <f t="shared" si="3"/>
        <v>2.1398454286185822E-2</v>
      </c>
      <c r="H51" s="190">
        <f t="shared" si="2"/>
        <v>7.6637035564954088</v>
      </c>
      <c r="I51" s="39">
        <f t="shared" si="1"/>
        <v>42</v>
      </c>
      <c r="J51" s="683"/>
    </row>
    <row r="52" spans="1:10" x14ac:dyDescent="0.25">
      <c r="A52" s="39">
        <f t="shared" si="0"/>
        <v>43</v>
      </c>
      <c r="B52" s="101" t="s">
        <v>231</v>
      </c>
      <c r="C52" s="303">
        <f t="shared" si="7"/>
        <v>2021</v>
      </c>
      <c r="D52" s="676"/>
      <c r="E52" s="677">
        <v>2.7000000000000001E-3</v>
      </c>
      <c r="F52" s="692">
        <f t="shared" si="5"/>
        <v>7.6637035564954088</v>
      </c>
      <c r="G52" s="753">
        <f t="shared" si="3"/>
        <v>2.0691999602537606E-2</v>
      </c>
      <c r="H52" s="190">
        <f t="shared" si="2"/>
        <v>7.6843955560979467</v>
      </c>
      <c r="I52" s="39">
        <f t="shared" si="1"/>
        <v>43</v>
      </c>
      <c r="J52" s="683"/>
    </row>
    <row r="53" spans="1:10" x14ac:dyDescent="0.25">
      <c r="A53" s="39">
        <f t="shared" si="0"/>
        <v>44</v>
      </c>
      <c r="B53" s="686" t="s">
        <v>232</v>
      </c>
      <c r="C53" s="687">
        <f>C52</f>
        <v>2021</v>
      </c>
      <c r="D53" s="688"/>
      <c r="E53" s="689">
        <v>2.8E-3</v>
      </c>
      <c r="F53" s="747">
        <f t="shared" si="5"/>
        <v>7.6843955560979467</v>
      </c>
      <c r="G53" s="754">
        <f t="shared" si="3"/>
        <v>2.151630755707425E-2</v>
      </c>
      <c r="H53" s="315">
        <f t="shared" si="2"/>
        <v>7.7059118636550208</v>
      </c>
      <c r="I53" s="39">
        <f t="shared" si="1"/>
        <v>44</v>
      </c>
      <c r="J53" s="683"/>
    </row>
    <row r="54" spans="1:10" x14ac:dyDescent="0.25">
      <c r="A54" s="39">
        <f t="shared" ref="A54" si="8">A53+1</f>
        <v>45</v>
      </c>
      <c r="B54" s="101" t="s">
        <v>221</v>
      </c>
      <c r="C54" s="303">
        <v>2022</v>
      </c>
      <c r="D54" s="676"/>
      <c r="E54" s="677">
        <v>2.8E-3</v>
      </c>
      <c r="F54" s="692">
        <f t="shared" ref="F54:F77" si="9">H53+D54</f>
        <v>7.7059118636550208</v>
      </c>
      <c r="G54" s="753">
        <f t="shared" ref="G54:G77" si="10">(H53+F54)/2*E54</f>
        <v>2.1576553218234058E-2</v>
      </c>
      <c r="H54" s="190">
        <f t="shared" ref="H54:H77" si="11">F54+G54</f>
        <v>7.7274884168732552</v>
      </c>
      <c r="I54" s="39">
        <f t="shared" si="1"/>
        <v>45</v>
      </c>
      <c r="J54" s="683"/>
    </row>
    <row r="55" spans="1:10" x14ac:dyDescent="0.25">
      <c r="A55" s="39">
        <f t="shared" ref="A55" si="12">A54+1</f>
        <v>46</v>
      </c>
      <c r="B55" s="101" t="s">
        <v>222</v>
      </c>
      <c r="C55" s="303">
        <v>2022</v>
      </c>
      <c r="D55" s="676"/>
      <c r="E55" s="677">
        <v>2.5000000000000001E-3</v>
      </c>
      <c r="F55" s="692">
        <f t="shared" si="9"/>
        <v>7.7274884168732552</v>
      </c>
      <c r="G55" s="753">
        <f t="shared" si="10"/>
        <v>1.9318721042183139E-2</v>
      </c>
      <c r="H55" s="190">
        <f t="shared" si="11"/>
        <v>7.7468071379154386</v>
      </c>
      <c r="I55" s="39">
        <f t="shared" si="1"/>
        <v>46</v>
      </c>
      <c r="J55" s="683"/>
    </row>
    <row r="56" spans="1:10" x14ac:dyDescent="0.25">
      <c r="A56" s="39">
        <f t="shared" ref="A56" si="13">A55+1</f>
        <v>47</v>
      </c>
      <c r="B56" s="101" t="s">
        <v>223</v>
      </c>
      <c r="C56" s="303">
        <v>2022</v>
      </c>
      <c r="D56" s="676"/>
      <c r="E56" s="677">
        <v>2.8E-3</v>
      </c>
      <c r="F56" s="692">
        <f t="shared" si="9"/>
        <v>7.7468071379154386</v>
      </c>
      <c r="G56" s="753">
        <f t="shared" si="10"/>
        <v>2.169105998616323E-2</v>
      </c>
      <c r="H56" s="190">
        <f t="shared" si="11"/>
        <v>7.7684981979016019</v>
      </c>
      <c r="I56" s="39">
        <f t="shared" si="1"/>
        <v>47</v>
      </c>
      <c r="J56" s="683"/>
    </row>
    <row r="57" spans="1:10" x14ac:dyDescent="0.25">
      <c r="A57" s="39">
        <f t="shared" ref="A57" si="14">A56+1</f>
        <v>48</v>
      </c>
      <c r="B57" s="101" t="s">
        <v>224</v>
      </c>
      <c r="C57" s="303">
        <v>2022</v>
      </c>
      <c r="D57" s="676"/>
      <c r="E57" s="677">
        <v>2.7000000000000001E-3</v>
      </c>
      <c r="F57" s="692">
        <f t="shared" si="9"/>
        <v>7.7684981979016019</v>
      </c>
      <c r="G57" s="753">
        <f t="shared" si="10"/>
        <v>2.0974945134334327E-2</v>
      </c>
      <c r="H57" s="190">
        <f t="shared" si="11"/>
        <v>7.7894731430359361</v>
      </c>
      <c r="I57" s="39">
        <f t="shared" si="1"/>
        <v>48</v>
      </c>
      <c r="J57" s="683"/>
    </row>
    <row r="58" spans="1:10" x14ac:dyDescent="0.25">
      <c r="A58" s="39">
        <f t="shared" ref="A58" si="15">A57+1</f>
        <v>49</v>
      </c>
      <c r="B58" s="101" t="s">
        <v>225</v>
      </c>
      <c r="C58" s="303">
        <v>2022</v>
      </c>
      <c r="D58" s="676"/>
      <c r="E58" s="677">
        <v>2.8E-3</v>
      </c>
      <c r="F58" s="692">
        <f t="shared" si="9"/>
        <v>7.7894731430359361</v>
      </c>
      <c r="G58" s="753">
        <f t="shared" si="10"/>
        <v>2.1810524800500622E-2</v>
      </c>
      <c r="H58" s="190">
        <f t="shared" si="11"/>
        <v>7.8112836678364364</v>
      </c>
      <c r="I58" s="39">
        <f t="shared" si="1"/>
        <v>49</v>
      </c>
      <c r="J58" s="683"/>
    </row>
    <row r="59" spans="1:10" x14ac:dyDescent="0.25">
      <c r="A59" s="39">
        <f t="shared" ref="A59" si="16">A58+1</f>
        <v>50</v>
      </c>
      <c r="B59" s="101" t="s">
        <v>226</v>
      </c>
      <c r="C59" s="303">
        <v>2022</v>
      </c>
      <c r="D59" s="676"/>
      <c r="E59" s="677">
        <v>2.7000000000000001E-3</v>
      </c>
      <c r="F59" s="692">
        <f t="shared" si="9"/>
        <v>7.8112836678364364</v>
      </c>
      <c r="G59" s="753">
        <f t="shared" si="10"/>
        <v>2.1090465903158381E-2</v>
      </c>
      <c r="H59" s="190">
        <f t="shared" si="11"/>
        <v>7.8323741337395951</v>
      </c>
      <c r="I59" s="39">
        <f t="shared" si="1"/>
        <v>50</v>
      </c>
      <c r="J59" s="683"/>
    </row>
    <row r="60" spans="1:10" x14ac:dyDescent="0.25">
      <c r="A60" s="39">
        <f t="shared" ref="A60" si="17">A59+1</f>
        <v>51</v>
      </c>
      <c r="B60" s="101" t="s">
        <v>227</v>
      </c>
      <c r="C60" s="303">
        <v>2022</v>
      </c>
      <c r="D60" s="676"/>
      <c r="E60" s="677">
        <v>3.0999999999999999E-3</v>
      </c>
      <c r="F60" s="692">
        <f t="shared" si="9"/>
        <v>7.8323741337395951</v>
      </c>
      <c r="G60" s="753">
        <f t="shared" si="10"/>
        <v>2.4280359814592745E-2</v>
      </c>
      <c r="H60" s="190">
        <f t="shared" si="11"/>
        <v>7.8566544935541875</v>
      </c>
      <c r="I60" s="39">
        <f t="shared" si="1"/>
        <v>51</v>
      </c>
      <c r="J60" s="683"/>
    </row>
    <row r="61" spans="1:10" x14ac:dyDescent="0.25">
      <c r="A61" s="39">
        <f t="shared" ref="A61" si="18">A60+1</f>
        <v>52</v>
      </c>
      <c r="B61" s="101" t="s">
        <v>228</v>
      </c>
      <c r="C61" s="303">
        <v>2022</v>
      </c>
      <c r="D61" s="676"/>
      <c r="E61" s="677">
        <v>3.0999999999999999E-3</v>
      </c>
      <c r="F61" s="692">
        <f t="shared" si="9"/>
        <v>7.8566544935541875</v>
      </c>
      <c r="G61" s="753">
        <f t="shared" si="10"/>
        <v>2.435562893001798E-2</v>
      </c>
      <c r="H61" s="190">
        <f t="shared" si="11"/>
        <v>7.8810101224842057</v>
      </c>
      <c r="I61" s="39">
        <f t="shared" si="1"/>
        <v>52</v>
      </c>
      <c r="J61" s="683"/>
    </row>
    <row r="62" spans="1:10" x14ac:dyDescent="0.25">
      <c r="A62" s="39">
        <f t="shared" ref="A62" si="19">A61+1</f>
        <v>53</v>
      </c>
      <c r="B62" s="101" t="s">
        <v>229</v>
      </c>
      <c r="C62" s="303">
        <v>2022</v>
      </c>
      <c r="D62" s="676"/>
      <c r="E62" s="677">
        <v>3.0000000000000001E-3</v>
      </c>
      <c r="F62" s="692">
        <f t="shared" si="9"/>
        <v>7.8810101224842057</v>
      </c>
      <c r="G62" s="753">
        <f t="shared" si="10"/>
        <v>2.3643030367452619E-2</v>
      </c>
      <c r="H62" s="190">
        <f t="shared" si="11"/>
        <v>7.9046531528516581</v>
      </c>
      <c r="I62" s="39">
        <f t="shared" si="1"/>
        <v>53</v>
      </c>
      <c r="J62" s="683"/>
    </row>
    <row r="63" spans="1:10" x14ac:dyDescent="0.25">
      <c r="A63" s="39">
        <f t="shared" ref="A63" si="20">A62+1</f>
        <v>54</v>
      </c>
      <c r="B63" s="101" t="s">
        <v>230</v>
      </c>
      <c r="C63" s="303">
        <v>2022</v>
      </c>
      <c r="D63" s="676"/>
      <c r="E63" s="677">
        <v>4.1999999999999997E-3</v>
      </c>
      <c r="F63" s="692">
        <f t="shared" si="9"/>
        <v>7.9046531528516581</v>
      </c>
      <c r="G63" s="753">
        <f t="shared" si="10"/>
        <v>3.3199543241976964E-2</v>
      </c>
      <c r="H63" s="190">
        <f t="shared" si="11"/>
        <v>7.9378526960936355</v>
      </c>
      <c r="I63" s="39">
        <f t="shared" si="1"/>
        <v>54</v>
      </c>
      <c r="J63" s="683"/>
    </row>
    <row r="64" spans="1:10" x14ac:dyDescent="0.25">
      <c r="A64" s="39">
        <f t="shared" ref="A64" si="21">A63+1</f>
        <v>55</v>
      </c>
      <c r="B64" s="101" t="s">
        <v>231</v>
      </c>
      <c r="C64" s="303">
        <v>2022</v>
      </c>
      <c r="D64" s="676"/>
      <c r="E64" s="677">
        <v>4.0000000000000001E-3</v>
      </c>
      <c r="F64" s="692">
        <f t="shared" si="9"/>
        <v>7.9378526960936355</v>
      </c>
      <c r="G64" s="753">
        <f t="shared" si="10"/>
        <v>3.1751410784374545E-2</v>
      </c>
      <c r="H64" s="190">
        <f t="shared" si="11"/>
        <v>7.9696041068780099</v>
      </c>
      <c r="I64" s="39">
        <f t="shared" si="1"/>
        <v>55</v>
      </c>
      <c r="J64" s="683"/>
    </row>
    <row r="65" spans="1:10" x14ac:dyDescent="0.25">
      <c r="A65" s="39">
        <f t="shared" ref="A65" si="22">A64+1</f>
        <v>56</v>
      </c>
      <c r="B65" s="312" t="s">
        <v>232</v>
      </c>
      <c r="C65" s="313">
        <v>2022</v>
      </c>
      <c r="D65" s="746"/>
      <c r="E65" s="745">
        <v>4.1999999999999997E-3</v>
      </c>
      <c r="F65" s="747">
        <f t="shared" si="9"/>
        <v>7.9696041068780099</v>
      </c>
      <c r="G65" s="754">
        <f t="shared" si="10"/>
        <v>3.3472337248887638E-2</v>
      </c>
      <c r="H65" s="315">
        <f t="shared" si="11"/>
        <v>8.0030764441268971</v>
      </c>
      <c r="I65" s="39">
        <f t="shared" si="1"/>
        <v>56</v>
      </c>
      <c r="J65" s="683"/>
    </row>
    <row r="66" spans="1:10" x14ac:dyDescent="0.25">
      <c r="A66" s="39">
        <f t="shared" ref="A66" si="23">A65+1</f>
        <v>57</v>
      </c>
      <c r="B66" s="101" t="s">
        <v>221</v>
      </c>
      <c r="C66" s="303">
        <v>2023</v>
      </c>
      <c r="D66" s="676"/>
      <c r="E66" s="677">
        <v>5.4000000000000003E-3</v>
      </c>
      <c r="F66" s="692">
        <f t="shared" si="9"/>
        <v>8.0030764441268971</v>
      </c>
      <c r="G66" s="753">
        <f t="shared" si="10"/>
        <v>4.3216612798285245E-2</v>
      </c>
      <c r="H66" s="190">
        <f t="shared" si="11"/>
        <v>8.0462930569251832</v>
      </c>
      <c r="I66" s="39">
        <f t="shared" si="1"/>
        <v>57</v>
      </c>
      <c r="J66" s="683"/>
    </row>
    <row r="67" spans="1:10" x14ac:dyDescent="0.25">
      <c r="A67" s="39">
        <f t="shared" ref="A67" si="24">A66+1</f>
        <v>58</v>
      </c>
      <c r="B67" s="101" t="s">
        <v>222</v>
      </c>
      <c r="C67" s="303">
        <v>2023</v>
      </c>
      <c r="D67" s="676"/>
      <c r="E67" s="677">
        <v>4.7999999999999996E-3</v>
      </c>
      <c r="F67" s="692">
        <f t="shared" si="9"/>
        <v>8.0462930569251832</v>
      </c>
      <c r="G67" s="753">
        <f t="shared" si="10"/>
        <v>3.8622206673240879E-2</v>
      </c>
      <c r="H67" s="190">
        <f t="shared" si="11"/>
        <v>8.0849152635984236</v>
      </c>
      <c r="I67" s="39">
        <f t="shared" si="1"/>
        <v>58</v>
      </c>
      <c r="J67" s="683"/>
    </row>
    <row r="68" spans="1:10" x14ac:dyDescent="0.25">
      <c r="A68" s="39">
        <f t="shared" ref="A68" si="25">A67+1</f>
        <v>59</v>
      </c>
      <c r="B68" s="101" t="s">
        <v>223</v>
      </c>
      <c r="C68" s="303">
        <v>2023</v>
      </c>
      <c r="D68" s="676"/>
      <c r="E68" s="677">
        <v>5.4000000000000003E-3</v>
      </c>
      <c r="F68" s="692">
        <f t="shared" si="9"/>
        <v>8.0849152635984236</v>
      </c>
      <c r="G68" s="753">
        <f t="shared" si="10"/>
        <v>4.3658542423431493E-2</v>
      </c>
      <c r="H68" s="190">
        <f t="shared" si="11"/>
        <v>8.1285738060218549</v>
      </c>
      <c r="I68" s="39">
        <f t="shared" si="1"/>
        <v>59</v>
      </c>
      <c r="J68" s="683"/>
    </row>
    <row r="69" spans="1:10" x14ac:dyDescent="0.25">
      <c r="A69" s="39">
        <f t="shared" ref="A69" si="26">A68+1</f>
        <v>60</v>
      </c>
      <c r="B69" s="101" t="s">
        <v>224</v>
      </c>
      <c r="C69" s="303">
        <v>2023</v>
      </c>
      <c r="D69" s="676"/>
      <c r="E69" s="677">
        <v>6.1999999999999998E-3</v>
      </c>
      <c r="F69" s="692">
        <f t="shared" si="9"/>
        <v>8.1285738060218549</v>
      </c>
      <c r="G69" s="753">
        <f t="shared" si="10"/>
        <v>5.0397157597335498E-2</v>
      </c>
      <c r="H69" s="190">
        <f t="shared" si="11"/>
        <v>8.1789709636191912</v>
      </c>
      <c r="I69" s="39">
        <f t="shared" si="1"/>
        <v>60</v>
      </c>
      <c r="J69" s="683"/>
    </row>
    <row r="70" spans="1:10" x14ac:dyDescent="0.25">
      <c r="A70" s="39">
        <f t="shared" ref="A70" si="27">A69+1</f>
        <v>61</v>
      </c>
      <c r="B70" s="101" t="s">
        <v>225</v>
      </c>
      <c r="C70" s="303">
        <v>2023</v>
      </c>
      <c r="D70" s="676"/>
      <c r="E70" s="677">
        <v>6.4000000000000003E-3</v>
      </c>
      <c r="F70" s="692">
        <f t="shared" si="9"/>
        <v>8.1789709636191912</v>
      </c>
      <c r="G70" s="753">
        <f t="shared" si="10"/>
        <v>5.2345414167162825E-2</v>
      </c>
      <c r="H70" s="190">
        <f t="shared" si="11"/>
        <v>8.2313163777863547</v>
      </c>
      <c r="I70" s="39">
        <f t="shared" si="1"/>
        <v>61</v>
      </c>
      <c r="J70" s="683"/>
    </row>
    <row r="71" spans="1:10" x14ac:dyDescent="0.25">
      <c r="A71" s="39">
        <f t="shared" ref="A71" si="28">A70+1</f>
        <v>62</v>
      </c>
      <c r="B71" s="101" t="s">
        <v>226</v>
      </c>
      <c r="C71" s="303">
        <v>2023</v>
      </c>
      <c r="D71" s="676"/>
      <c r="E71" s="677">
        <v>6.1999999999999998E-3</v>
      </c>
      <c r="F71" s="692">
        <f t="shared" si="9"/>
        <v>8.2313163777863547</v>
      </c>
      <c r="G71" s="753">
        <f t="shared" si="10"/>
        <v>5.10341615422754E-2</v>
      </c>
      <c r="H71" s="190">
        <f t="shared" si="11"/>
        <v>8.2823505393286307</v>
      </c>
      <c r="I71" s="39">
        <f t="shared" si="1"/>
        <v>62</v>
      </c>
      <c r="J71" s="683"/>
    </row>
    <row r="72" spans="1:10" x14ac:dyDescent="0.25">
      <c r="A72" s="39">
        <f t="shared" ref="A72" si="29">A71+1</f>
        <v>63</v>
      </c>
      <c r="B72" s="101" t="s">
        <v>227</v>
      </c>
      <c r="C72" s="303">
        <v>2023</v>
      </c>
      <c r="D72" s="676"/>
      <c r="E72" s="677">
        <v>6.7999999999999996E-3</v>
      </c>
      <c r="F72" s="692">
        <f t="shared" si="9"/>
        <v>8.2823505393286307</v>
      </c>
      <c r="G72" s="753">
        <f t="shared" si="10"/>
        <v>5.6319983667434688E-2</v>
      </c>
      <c r="H72" s="190">
        <f t="shared" si="11"/>
        <v>8.3386705229960647</v>
      </c>
      <c r="I72" s="39">
        <f t="shared" si="1"/>
        <v>63</v>
      </c>
      <c r="J72" s="683"/>
    </row>
    <row r="73" spans="1:10" x14ac:dyDescent="0.25">
      <c r="A73" s="39">
        <f t="shared" ref="A73" si="30">A72+1</f>
        <v>64</v>
      </c>
      <c r="B73" s="101" t="s">
        <v>228</v>
      </c>
      <c r="C73" s="303">
        <v>2023</v>
      </c>
      <c r="D73" s="676"/>
      <c r="E73" s="677">
        <v>6.7999999999999996E-3</v>
      </c>
      <c r="F73" s="692">
        <f t="shared" si="9"/>
        <v>8.3386705229960647</v>
      </c>
      <c r="G73" s="753">
        <f t="shared" si="10"/>
        <v>5.6702959556373236E-2</v>
      </c>
      <c r="H73" s="190">
        <f t="shared" si="11"/>
        <v>8.3953734825524382</v>
      </c>
      <c r="I73" s="39">
        <f t="shared" si="1"/>
        <v>64</v>
      </c>
      <c r="J73" s="683"/>
    </row>
    <row r="74" spans="1:10" x14ac:dyDescent="0.25">
      <c r="A74" s="39">
        <f t="shared" ref="A74" si="31">A73+1</f>
        <v>65</v>
      </c>
      <c r="B74" s="101" t="s">
        <v>229</v>
      </c>
      <c r="C74" s="303">
        <v>2023</v>
      </c>
      <c r="D74" s="676"/>
      <c r="E74" s="677">
        <v>6.6E-3</v>
      </c>
      <c r="F74" s="692">
        <f t="shared" si="9"/>
        <v>8.3953734825524382</v>
      </c>
      <c r="G74" s="753">
        <f t="shared" si="10"/>
        <v>5.5409464984846092E-2</v>
      </c>
      <c r="H74" s="190">
        <f t="shared" si="11"/>
        <v>8.4507829475372844</v>
      </c>
      <c r="I74" s="39">
        <f t="shared" si="1"/>
        <v>65</v>
      </c>
      <c r="J74" s="683"/>
    </row>
    <row r="75" spans="1:10" x14ac:dyDescent="0.25">
      <c r="A75" s="39">
        <f t="shared" ref="A75" si="32">A74+1</f>
        <v>66</v>
      </c>
      <c r="B75" s="101" t="s">
        <v>230</v>
      </c>
      <c r="C75" s="303">
        <v>2023</v>
      </c>
      <c r="D75" s="676"/>
      <c r="E75" s="677">
        <v>7.1000000000000004E-3</v>
      </c>
      <c r="F75" s="692">
        <f t="shared" si="9"/>
        <v>8.4507829475372844</v>
      </c>
      <c r="G75" s="753">
        <f t="shared" si="10"/>
        <v>6.000055892751472E-2</v>
      </c>
      <c r="H75" s="190">
        <f t="shared" si="11"/>
        <v>8.510783506464799</v>
      </c>
      <c r="I75" s="39">
        <f t="shared" ref="I75:I78" si="33">I74+1</f>
        <v>66</v>
      </c>
      <c r="J75" s="683"/>
    </row>
    <row r="76" spans="1:10" x14ac:dyDescent="0.25">
      <c r="A76" s="39">
        <f t="shared" ref="A76" si="34">A75+1</f>
        <v>67</v>
      </c>
      <c r="B76" s="101" t="s">
        <v>231</v>
      </c>
      <c r="C76" s="303">
        <v>2023</v>
      </c>
      <c r="D76" s="676"/>
      <c r="E76" s="677">
        <v>6.8999999999999999E-3</v>
      </c>
      <c r="F76" s="692">
        <f t="shared" si="9"/>
        <v>8.510783506464799</v>
      </c>
      <c r="G76" s="753">
        <f t="shared" si="10"/>
        <v>5.8724406194607115E-2</v>
      </c>
      <c r="H76" s="190">
        <f t="shared" si="11"/>
        <v>8.5695079126594056</v>
      </c>
      <c r="I76" s="39">
        <f t="shared" si="33"/>
        <v>67</v>
      </c>
      <c r="J76" s="683"/>
    </row>
    <row r="77" spans="1:10" x14ac:dyDescent="0.25">
      <c r="A77" s="39">
        <f t="shared" ref="A77" si="35">A76+1</f>
        <v>68</v>
      </c>
      <c r="B77" s="312" t="s">
        <v>232</v>
      </c>
      <c r="C77" s="313">
        <v>2023</v>
      </c>
      <c r="D77" s="746"/>
      <c r="E77" s="745">
        <v>7.1000000000000004E-3</v>
      </c>
      <c r="F77" s="747">
        <f t="shared" si="9"/>
        <v>8.5695079126594056</v>
      </c>
      <c r="G77" s="754">
        <f t="shared" si="10"/>
        <v>6.0843506179881782E-2</v>
      </c>
      <c r="H77" s="315">
        <f t="shared" si="11"/>
        <v>8.6303514188392878</v>
      </c>
      <c r="I77" s="39">
        <f t="shared" si="33"/>
        <v>68</v>
      </c>
      <c r="J77" s="683"/>
    </row>
    <row r="78" spans="1:10" ht="16.5" thickBot="1" x14ac:dyDescent="0.3">
      <c r="A78" s="39">
        <f t="shared" ref="A78" si="36">A77+1</f>
        <v>69</v>
      </c>
      <c r="D78" s="748">
        <f>SUM(D18:D77)</f>
        <v>6.9642119896070662</v>
      </c>
      <c r="E78" s="693"/>
      <c r="F78" s="694"/>
      <c r="G78" s="761">
        <f>SUM(G18:G77)</f>
        <v>1.6661394292322187</v>
      </c>
      <c r="H78" s="695"/>
      <c r="I78" s="39">
        <f t="shared" si="33"/>
        <v>69</v>
      </c>
    </row>
    <row r="79" spans="1:10" ht="16.5" thickTop="1" x14ac:dyDescent="0.25">
      <c r="D79" s="696"/>
      <c r="E79" s="696"/>
      <c r="F79" s="696"/>
      <c r="G79" s="325"/>
      <c r="H79" s="325"/>
    </row>
    <row r="80" spans="1:10" x14ac:dyDescent="0.25">
      <c r="B80" s="697"/>
    </row>
    <row r="81" spans="1:3" ht="18.75" x14ac:dyDescent="0.25">
      <c r="A81" s="327">
        <v>1</v>
      </c>
      <c r="B81" s="669" t="s">
        <v>237</v>
      </c>
      <c r="C81" s="698"/>
    </row>
    <row r="82" spans="1:3" ht="18.75" x14ac:dyDescent="0.25">
      <c r="A82" s="327">
        <v>2</v>
      </c>
      <c r="B82" s="669" t="s">
        <v>443</v>
      </c>
    </row>
    <row r="83" spans="1:3" ht="18.75" x14ac:dyDescent="0.25">
      <c r="A83" s="327">
        <v>3</v>
      </c>
      <c r="B83" s="669" t="s">
        <v>444</v>
      </c>
    </row>
    <row r="84" spans="1:3" x14ac:dyDescent="0.25">
      <c r="B84" s="669" t="s">
        <v>445</v>
      </c>
    </row>
    <row r="85" spans="1:3" x14ac:dyDescent="0.25">
      <c r="A85" s="758"/>
      <c r="B85" s="759" t="s">
        <v>612</v>
      </c>
      <c r="C85" s="759"/>
    </row>
  </sheetData>
  <mergeCells count="5">
    <mergeCell ref="B2:H2"/>
    <mergeCell ref="B4:H4"/>
    <mergeCell ref="B5:H5"/>
    <mergeCell ref="B6:H6"/>
    <mergeCell ref="B3:H3"/>
  </mergeCells>
  <printOptions horizontalCentered="1"/>
  <pageMargins left="0.25" right="0.25" top="0.5" bottom="0.5" header="0.25" footer="0.25"/>
  <pageSetup scale="55" orientation="portrait" r:id="rId1"/>
  <headerFooter scaleWithDoc="0" alignWithMargins="0">
    <oddFooter>&amp;L&amp;F&amp;CPage 14&amp;R&amp;A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H56"/>
  <sheetViews>
    <sheetView zoomScale="80" zoomScaleNormal="80" workbookViewId="0"/>
  </sheetViews>
  <sheetFormatPr defaultColWidth="8.7109375" defaultRowHeight="15.75" x14ac:dyDescent="0.25"/>
  <cols>
    <col min="1" max="1" width="5.140625" style="39" customWidth="1"/>
    <col min="2" max="2" width="73.140625" style="20" bestFit="1" customWidth="1"/>
    <col min="3" max="3" width="14.85546875" style="20" customWidth="1"/>
    <col min="4" max="4" width="1.5703125" style="20" customWidth="1"/>
    <col min="5" max="5" width="51.42578125" style="20" bestFit="1" customWidth="1"/>
    <col min="6" max="6" width="5.140625" style="39" customWidth="1"/>
    <col min="7" max="16384" width="8.7109375" style="20"/>
  </cols>
  <sheetData>
    <row r="1" spans="1:6" x14ac:dyDescent="0.25">
      <c r="A1" s="166"/>
      <c r="B1" s="167"/>
      <c r="C1" s="167"/>
      <c r="D1" s="167"/>
      <c r="E1" s="389"/>
      <c r="F1" s="166"/>
    </row>
    <row r="2" spans="1:6" x14ac:dyDescent="0.25">
      <c r="A2" s="166"/>
      <c r="B2" s="765" t="s">
        <v>21</v>
      </c>
      <c r="C2" s="765"/>
      <c r="D2" s="765"/>
      <c r="E2" s="765"/>
      <c r="F2" s="167"/>
    </row>
    <row r="3" spans="1:6" x14ac:dyDescent="0.25">
      <c r="B3" s="765" t="s">
        <v>277</v>
      </c>
      <c r="C3" s="765"/>
      <c r="D3" s="765"/>
      <c r="E3" s="765"/>
      <c r="F3" s="163"/>
    </row>
    <row r="4" spans="1:6" x14ac:dyDescent="0.25">
      <c r="B4" s="765" t="s">
        <v>174</v>
      </c>
      <c r="C4" s="765"/>
      <c r="D4" s="765"/>
      <c r="E4" s="765"/>
      <c r="F4" s="163"/>
    </row>
    <row r="5" spans="1:6" x14ac:dyDescent="0.25">
      <c r="A5" s="166"/>
      <c r="B5" s="767" t="s">
        <v>448</v>
      </c>
      <c r="C5" s="767"/>
      <c r="D5" s="767"/>
      <c r="E5" s="767"/>
      <c r="F5" s="166"/>
    </row>
    <row r="6" spans="1:6" x14ac:dyDescent="0.25">
      <c r="B6" s="766" t="s">
        <v>1</v>
      </c>
      <c r="C6" s="765"/>
      <c r="D6" s="765"/>
      <c r="E6" s="765"/>
      <c r="F6" s="163"/>
    </row>
    <row r="7" spans="1:6" ht="16.5" thickBot="1" x14ac:dyDescent="0.3">
      <c r="A7" s="166"/>
      <c r="B7" s="167"/>
      <c r="C7" s="168"/>
      <c r="D7" s="169"/>
      <c r="E7" s="168"/>
      <c r="F7" s="166"/>
    </row>
    <row r="8" spans="1:6" x14ac:dyDescent="0.25">
      <c r="A8" s="170" t="s">
        <v>2</v>
      </c>
      <c r="B8" s="171"/>
      <c r="C8" s="172"/>
      <c r="D8" s="167"/>
      <c r="E8" s="173"/>
      <c r="F8" s="174" t="s">
        <v>2</v>
      </c>
    </row>
    <row r="9" spans="1:6" x14ac:dyDescent="0.25">
      <c r="A9" s="170" t="s">
        <v>6</v>
      </c>
      <c r="B9" s="390" t="s">
        <v>175</v>
      </c>
      <c r="C9" s="654" t="s">
        <v>4</v>
      </c>
      <c r="D9" s="391"/>
      <c r="E9" s="391" t="s">
        <v>5</v>
      </c>
      <c r="F9" s="174" t="s">
        <v>6</v>
      </c>
    </row>
    <row r="10" spans="1:6" x14ac:dyDescent="0.25">
      <c r="A10" s="170"/>
      <c r="B10" s="176"/>
      <c r="C10" s="177"/>
      <c r="D10" s="178"/>
      <c r="E10" s="179"/>
      <c r="F10" s="174"/>
    </row>
    <row r="11" spans="1:6" x14ac:dyDescent="0.25">
      <c r="A11" s="170">
        <v>1</v>
      </c>
      <c r="B11" s="180" t="s">
        <v>176</v>
      </c>
      <c r="C11" s="181">
        <v>182.59523467146886</v>
      </c>
      <c r="D11" s="182"/>
      <c r="E11" s="183" t="s">
        <v>449</v>
      </c>
      <c r="F11" s="174">
        <f>A11</f>
        <v>1</v>
      </c>
    </row>
    <row r="12" spans="1:6" x14ac:dyDescent="0.25">
      <c r="A12" s="170">
        <f>A11+1</f>
        <v>2</v>
      </c>
      <c r="B12" s="184"/>
      <c r="C12" s="185"/>
      <c r="D12" s="186"/>
      <c r="E12" s="167"/>
      <c r="F12" s="174">
        <f>F11+1</f>
        <v>2</v>
      </c>
    </row>
    <row r="13" spans="1:6" x14ac:dyDescent="0.25">
      <c r="A13" s="170">
        <f t="shared" ref="A13:A28" si="0">A12+1</f>
        <v>3</v>
      </c>
      <c r="B13" s="180" t="s">
        <v>177</v>
      </c>
      <c r="C13" s="187">
        <f>'Pg5 Rev Sec.2-Non-Direct Exp'!E35</f>
        <v>2777.0002367876423</v>
      </c>
      <c r="D13" s="27" t="s">
        <v>16</v>
      </c>
      <c r="E13" s="183" t="s">
        <v>618</v>
      </c>
      <c r="F13" s="174">
        <f t="shared" ref="F13:F28" si="1">F12+1</f>
        <v>3</v>
      </c>
    </row>
    <row r="14" spans="1:6" x14ac:dyDescent="0.25">
      <c r="A14" s="170">
        <f t="shared" si="0"/>
        <v>4</v>
      </c>
      <c r="B14" s="184"/>
      <c r="C14" s="185"/>
      <c r="D14" s="186"/>
      <c r="E14" s="188"/>
      <c r="F14" s="174">
        <f t="shared" si="1"/>
        <v>4</v>
      </c>
    </row>
    <row r="15" spans="1:6" x14ac:dyDescent="0.25">
      <c r="A15" s="170">
        <f t="shared" si="0"/>
        <v>5</v>
      </c>
      <c r="B15" s="189" t="s">
        <v>178</v>
      </c>
      <c r="C15" s="557">
        <v>946.2530084775392</v>
      </c>
      <c r="D15" s="190"/>
      <c r="E15" s="183" t="s">
        <v>451</v>
      </c>
      <c r="F15" s="174">
        <f t="shared" si="1"/>
        <v>5</v>
      </c>
    </row>
    <row r="16" spans="1:6" x14ac:dyDescent="0.25">
      <c r="A16" s="170">
        <f t="shared" si="0"/>
        <v>6</v>
      </c>
      <c r="B16" s="191"/>
      <c r="C16" s="88"/>
      <c r="D16" s="190"/>
      <c r="E16" s="183"/>
      <c r="F16" s="174">
        <f t="shared" si="1"/>
        <v>6</v>
      </c>
    </row>
    <row r="17" spans="1:8" x14ac:dyDescent="0.25">
      <c r="A17" s="170">
        <f t="shared" si="0"/>
        <v>7</v>
      </c>
      <c r="B17" s="192" t="s">
        <v>429</v>
      </c>
      <c r="C17" s="193">
        <f>C11+C13+C15</f>
        <v>3905.8484799366506</v>
      </c>
      <c r="D17" s="27" t="s">
        <v>16</v>
      </c>
      <c r="E17" s="194" t="s">
        <v>452</v>
      </c>
      <c r="F17" s="174">
        <f t="shared" si="1"/>
        <v>7</v>
      </c>
    </row>
    <row r="18" spans="1:8" x14ac:dyDescent="0.25">
      <c r="A18" s="170">
        <f t="shared" si="0"/>
        <v>8</v>
      </c>
      <c r="B18" s="195"/>
      <c r="C18" s="185"/>
      <c r="D18" s="186"/>
      <c r="E18" s="196"/>
      <c r="F18" s="174">
        <f t="shared" si="1"/>
        <v>8</v>
      </c>
    </row>
    <row r="19" spans="1:8" x14ac:dyDescent="0.25">
      <c r="A19" s="170">
        <f t="shared" si="0"/>
        <v>9</v>
      </c>
      <c r="B19" s="180" t="s">
        <v>179</v>
      </c>
      <c r="C19" s="187">
        <f>'Pg7 Rev Sec.4-TU'!N30</f>
        <v>1605.1698835962693</v>
      </c>
      <c r="D19" s="27" t="s">
        <v>16</v>
      </c>
      <c r="E19" s="183" t="s">
        <v>619</v>
      </c>
      <c r="F19" s="174">
        <f t="shared" si="1"/>
        <v>9</v>
      </c>
    </row>
    <row r="20" spans="1:8" x14ac:dyDescent="0.25">
      <c r="A20" s="170">
        <f t="shared" si="0"/>
        <v>10</v>
      </c>
      <c r="B20" s="180"/>
      <c r="C20" s="185"/>
      <c r="D20" s="186"/>
      <c r="E20" s="197"/>
      <c r="F20" s="174">
        <f t="shared" si="1"/>
        <v>10</v>
      </c>
    </row>
    <row r="21" spans="1:8" x14ac:dyDescent="0.25">
      <c r="A21" s="170">
        <f t="shared" si="0"/>
        <v>11</v>
      </c>
      <c r="B21" s="180" t="s">
        <v>180</v>
      </c>
      <c r="C21" s="557">
        <v>49.83930922779507</v>
      </c>
      <c r="D21" s="190"/>
      <c r="E21" s="194" t="s">
        <v>454</v>
      </c>
      <c r="F21" s="174">
        <f t="shared" si="1"/>
        <v>11</v>
      </c>
    </row>
    <row r="22" spans="1:8" x14ac:dyDescent="0.25">
      <c r="A22" s="170">
        <f t="shared" si="0"/>
        <v>12</v>
      </c>
      <c r="B22" s="191"/>
      <c r="C22" s="198"/>
      <c r="D22" s="199"/>
      <c r="E22" s="194"/>
      <c r="F22" s="174">
        <f t="shared" si="1"/>
        <v>12</v>
      </c>
    </row>
    <row r="23" spans="1:8" x14ac:dyDescent="0.25">
      <c r="A23" s="170">
        <f t="shared" si="0"/>
        <v>13</v>
      </c>
      <c r="B23" s="191" t="s">
        <v>181</v>
      </c>
      <c r="C23" s="82">
        <f>C17+C19+C21</f>
        <v>5560.8576727607142</v>
      </c>
      <c r="D23" s="27" t="s">
        <v>16</v>
      </c>
      <c r="E23" s="194" t="s">
        <v>455</v>
      </c>
      <c r="F23" s="174">
        <f t="shared" si="1"/>
        <v>13</v>
      </c>
    </row>
    <row r="24" spans="1:8" x14ac:dyDescent="0.25">
      <c r="A24" s="170">
        <f t="shared" si="0"/>
        <v>14</v>
      </c>
      <c r="B24" s="200"/>
      <c r="C24" s="78"/>
      <c r="D24" s="79"/>
      <c r="E24" s="194"/>
      <c r="F24" s="174">
        <f t="shared" si="1"/>
        <v>14</v>
      </c>
    </row>
    <row r="25" spans="1:8" x14ac:dyDescent="0.25">
      <c r="A25" s="170">
        <f t="shared" si="0"/>
        <v>15</v>
      </c>
      <c r="B25" s="189" t="s">
        <v>182</v>
      </c>
      <c r="C25" s="558">
        <v>0</v>
      </c>
      <c r="D25" s="79"/>
      <c r="E25" s="194" t="s">
        <v>20</v>
      </c>
      <c r="F25" s="174">
        <f t="shared" si="1"/>
        <v>15</v>
      </c>
    </row>
    <row r="26" spans="1:8" x14ac:dyDescent="0.25">
      <c r="A26" s="170">
        <f t="shared" si="0"/>
        <v>16</v>
      </c>
      <c r="B26" s="168"/>
      <c r="C26" s="201"/>
      <c r="D26" s="202"/>
      <c r="E26" s="194"/>
      <c r="F26" s="174">
        <f t="shared" si="1"/>
        <v>16</v>
      </c>
    </row>
    <row r="27" spans="1:8" x14ac:dyDescent="0.25">
      <c r="A27" s="170">
        <f t="shared" si="0"/>
        <v>17</v>
      </c>
      <c r="B27" s="192" t="s">
        <v>183</v>
      </c>
      <c r="C27" s="203">
        <f>C23+C25</f>
        <v>5560.8576727607142</v>
      </c>
      <c r="D27" s="27" t="s">
        <v>16</v>
      </c>
      <c r="E27" s="194" t="s">
        <v>456</v>
      </c>
      <c r="F27" s="174">
        <f t="shared" si="1"/>
        <v>17</v>
      </c>
      <c r="H27" s="204"/>
    </row>
    <row r="28" spans="1:8" ht="17.25" thickTop="1" thickBot="1" x14ac:dyDescent="0.3">
      <c r="A28" s="170">
        <f t="shared" si="0"/>
        <v>18</v>
      </c>
      <c r="B28" s="205"/>
      <c r="C28" s="206"/>
      <c r="D28" s="248"/>
      <c r="E28" s="169"/>
      <c r="F28" s="174">
        <f t="shared" si="1"/>
        <v>18</v>
      </c>
    </row>
    <row r="30" spans="1:8" ht="16.5" thickBot="1" x14ac:dyDescent="0.3">
      <c r="A30" s="166"/>
      <c r="B30" s="207"/>
      <c r="C30" s="208"/>
      <c r="D30" s="208"/>
      <c r="E30" s="208"/>
      <c r="F30" s="166"/>
    </row>
    <row r="31" spans="1:8" x14ac:dyDescent="0.25">
      <c r="A31" s="170" t="s">
        <v>2</v>
      </c>
      <c r="B31" s="209"/>
      <c r="C31" s="172"/>
      <c r="D31" s="167"/>
      <c r="E31" s="167"/>
      <c r="F31" s="174" t="s">
        <v>2</v>
      </c>
    </row>
    <row r="32" spans="1:8" x14ac:dyDescent="0.25">
      <c r="A32" s="170" t="s">
        <v>6</v>
      </c>
      <c r="B32" s="390" t="s">
        <v>184</v>
      </c>
      <c r="C32" s="654" t="str">
        <f>C9</f>
        <v>Amounts</v>
      </c>
      <c r="D32" s="391"/>
      <c r="E32" s="391" t="str">
        <f>E9</f>
        <v>Reference</v>
      </c>
      <c r="F32" s="174" t="s">
        <v>6</v>
      </c>
    </row>
    <row r="33" spans="1:6" x14ac:dyDescent="0.25">
      <c r="A33" s="170">
        <f>A28+1</f>
        <v>19</v>
      </c>
      <c r="B33" s="210"/>
      <c r="C33" s="177"/>
      <c r="D33" s="178"/>
      <c r="E33" s="179"/>
      <c r="F33" s="174">
        <f>F28+1</f>
        <v>19</v>
      </c>
    </row>
    <row r="34" spans="1:6" x14ac:dyDescent="0.25">
      <c r="A34" s="170">
        <f>A33+1</f>
        <v>20</v>
      </c>
      <c r="B34" s="180" t="str">
        <f>B11</f>
        <v>Section 1 - Direct Maintenance Expense Cost Component</v>
      </c>
      <c r="C34" s="211">
        <f>C11/12</f>
        <v>15.216269555955739</v>
      </c>
      <c r="D34" s="212"/>
      <c r="E34" s="183" t="str">
        <f>"Line "&amp;A11&amp;" / "&amp;C50&amp;" Months"</f>
        <v>Line 1 / 12 Months</v>
      </c>
      <c r="F34" s="174">
        <f>F33+1</f>
        <v>20</v>
      </c>
    </row>
    <row r="35" spans="1:6" x14ac:dyDescent="0.25">
      <c r="A35" s="170">
        <f t="shared" ref="A35:A53" si="2">A34+1</f>
        <v>21</v>
      </c>
      <c r="B35" s="184"/>
      <c r="C35" s="213"/>
      <c r="D35" s="214"/>
      <c r="E35" s="215"/>
      <c r="F35" s="174">
        <f t="shared" ref="F35:F53" si="3">F34+1</f>
        <v>21</v>
      </c>
    </row>
    <row r="36" spans="1:6" x14ac:dyDescent="0.25">
      <c r="A36" s="170">
        <f t="shared" si="2"/>
        <v>22</v>
      </c>
      <c r="B36" s="180" t="str">
        <f>B13</f>
        <v>Section 2 - Non-Direct Expense Cost Component</v>
      </c>
      <c r="C36" s="216">
        <f>C13/12</f>
        <v>231.4166863989702</v>
      </c>
      <c r="D36" s="27" t="s">
        <v>16</v>
      </c>
      <c r="E36" s="183" t="str">
        <f>"Line "&amp;A13&amp;" / "&amp;C50&amp;" Months"</f>
        <v>Line 3 / 12 Months</v>
      </c>
      <c r="F36" s="174">
        <f t="shared" si="3"/>
        <v>22</v>
      </c>
    </row>
    <row r="37" spans="1:6" x14ac:dyDescent="0.25">
      <c r="A37" s="170">
        <f t="shared" si="2"/>
        <v>23</v>
      </c>
      <c r="B37" s="184"/>
      <c r="C37" s="217"/>
      <c r="D37" s="218"/>
      <c r="E37" s="219"/>
      <c r="F37" s="174">
        <f t="shared" si="3"/>
        <v>23</v>
      </c>
    </row>
    <row r="38" spans="1:6" x14ac:dyDescent="0.25">
      <c r="A38" s="170">
        <f t="shared" si="2"/>
        <v>24</v>
      </c>
      <c r="B38" s="180" t="str">
        <f>B15</f>
        <v>Section 3 - Cost Component Containing Other Specific Expenses</v>
      </c>
      <c r="C38" s="559">
        <f>C15/12</f>
        <v>78.854417373128271</v>
      </c>
      <c r="D38" s="220"/>
      <c r="E38" s="183" t="str">
        <f>"Line "&amp;A15&amp;" / "&amp;C50&amp;" Months"</f>
        <v>Line 5 / 12 Months</v>
      </c>
      <c r="F38" s="174">
        <f t="shared" si="3"/>
        <v>24</v>
      </c>
    </row>
    <row r="39" spans="1:6" x14ac:dyDescent="0.25">
      <c r="A39" s="170">
        <f t="shared" si="2"/>
        <v>25</v>
      </c>
      <c r="B39" s="195"/>
      <c r="C39" s="221"/>
      <c r="D39" s="218"/>
      <c r="E39" s="183"/>
      <c r="F39" s="174">
        <f t="shared" si="3"/>
        <v>25</v>
      </c>
    </row>
    <row r="40" spans="1:6" x14ac:dyDescent="0.25">
      <c r="A40" s="170">
        <f t="shared" si="2"/>
        <v>26</v>
      </c>
      <c r="B40" s="192" t="s">
        <v>430</v>
      </c>
      <c r="C40" s="392">
        <f>C34+C36+C38</f>
        <v>325.48737332805422</v>
      </c>
      <c r="D40" s="27" t="s">
        <v>16</v>
      </c>
      <c r="E40" s="194" t="str">
        <f>"Sum Lines "&amp;A34&amp;", "&amp;A36&amp;", "&amp;A38</f>
        <v>Sum Lines 20, 22, 24</v>
      </c>
      <c r="F40" s="174">
        <f t="shared" si="3"/>
        <v>26</v>
      </c>
    </row>
    <row r="41" spans="1:6" x14ac:dyDescent="0.25">
      <c r="A41" s="170">
        <f t="shared" si="2"/>
        <v>27</v>
      </c>
      <c r="B41" s="210"/>
      <c r="C41" s="221"/>
      <c r="D41" s="218"/>
      <c r="E41" s="188"/>
      <c r="F41" s="174">
        <f t="shared" si="3"/>
        <v>27</v>
      </c>
    </row>
    <row r="42" spans="1:6" x14ac:dyDescent="0.25">
      <c r="A42" s="170">
        <f t="shared" si="2"/>
        <v>28</v>
      </c>
      <c r="B42" s="180" t="str">
        <f>LEFT(B19,45)</f>
        <v>Section 4 - True-Up Adjustment Cost Component</v>
      </c>
      <c r="C42" s="392">
        <f>C19/12</f>
        <v>133.76415696635578</v>
      </c>
      <c r="D42" s="27" t="s">
        <v>16</v>
      </c>
      <c r="E42" s="183" t="str">
        <f>"Line "&amp;A19&amp;" / "&amp;C50&amp;" Months"</f>
        <v>Line 9 / 12 Months</v>
      </c>
      <c r="F42" s="174">
        <f t="shared" si="3"/>
        <v>28</v>
      </c>
    </row>
    <row r="43" spans="1:6" x14ac:dyDescent="0.25">
      <c r="A43" s="170">
        <f t="shared" si="2"/>
        <v>29</v>
      </c>
      <c r="B43" s="180"/>
      <c r="C43" s="217"/>
      <c r="D43" s="218"/>
      <c r="E43" s="222"/>
      <c r="F43" s="174">
        <f t="shared" si="3"/>
        <v>29</v>
      </c>
    </row>
    <row r="44" spans="1:6" x14ac:dyDescent="0.25">
      <c r="A44" s="170">
        <f t="shared" si="2"/>
        <v>30</v>
      </c>
      <c r="B44" s="180" t="str">
        <f>B21</f>
        <v>Section 5 - Interest True-Up Adjustment Cost Component</v>
      </c>
      <c r="C44" s="393">
        <f>C21/12</f>
        <v>4.1532757689829225</v>
      </c>
      <c r="D44" s="394"/>
      <c r="E44" s="194" t="str">
        <f>"Line "&amp;A21&amp;" / "&amp;C50&amp;" Months"</f>
        <v>Line 11 / 12 Months</v>
      </c>
      <c r="F44" s="174">
        <f t="shared" si="3"/>
        <v>30</v>
      </c>
    </row>
    <row r="45" spans="1:6" x14ac:dyDescent="0.25">
      <c r="A45" s="170">
        <f t="shared" si="2"/>
        <v>31</v>
      </c>
      <c r="B45" s="195"/>
      <c r="C45" s="223"/>
      <c r="D45" s="30"/>
      <c r="E45" s="224"/>
      <c r="F45" s="174">
        <f t="shared" si="3"/>
        <v>31</v>
      </c>
    </row>
    <row r="46" spans="1:6" x14ac:dyDescent="0.25">
      <c r="A46" s="170">
        <f t="shared" si="2"/>
        <v>32</v>
      </c>
      <c r="B46" s="189" t="str">
        <f>B25</f>
        <v>Other Adjustments</v>
      </c>
      <c r="C46" s="559">
        <f>C25/12</f>
        <v>0</v>
      </c>
      <c r="D46" s="220"/>
      <c r="E46" s="194" t="str">
        <f>"Line "&amp;A25&amp;" / "&amp;C50&amp;" Months"</f>
        <v>Line 15 / 12 Months</v>
      </c>
      <c r="F46" s="174">
        <f t="shared" si="3"/>
        <v>32</v>
      </c>
    </row>
    <row r="47" spans="1:6" x14ac:dyDescent="0.25">
      <c r="A47" s="170">
        <f t="shared" si="2"/>
        <v>33</v>
      </c>
      <c r="B47" s="191"/>
      <c r="C47" s="223"/>
      <c r="D47" s="30"/>
      <c r="E47" s="224"/>
      <c r="F47" s="174">
        <f t="shared" si="3"/>
        <v>33</v>
      </c>
    </row>
    <row r="48" spans="1:6" ht="16.5" thickBot="1" x14ac:dyDescent="0.3">
      <c r="A48" s="170">
        <f t="shared" si="2"/>
        <v>34</v>
      </c>
      <c r="B48" s="191" t="s">
        <v>185</v>
      </c>
      <c r="C48" s="395">
        <f>C40+C42+C44+C46</f>
        <v>463.40480606339293</v>
      </c>
      <c r="D48" s="27" t="s">
        <v>16</v>
      </c>
      <c r="E48" s="194" t="str">
        <f>"Sum Lines "&amp;A40&amp;", "&amp;A42&amp;", "&amp;A44&amp;", "&amp;A46</f>
        <v>Sum Lines 26, 28, 30, 32</v>
      </c>
      <c r="F48" s="174">
        <f t="shared" si="3"/>
        <v>34</v>
      </c>
    </row>
    <row r="49" spans="1:6" ht="16.5" thickTop="1" x14ac:dyDescent="0.25">
      <c r="A49" s="170">
        <f t="shared" si="2"/>
        <v>35</v>
      </c>
      <c r="B49" s="210"/>
      <c r="C49" s="225"/>
      <c r="D49" s="226"/>
      <c r="E49" s="227"/>
      <c r="F49" s="174">
        <f t="shared" si="3"/>
        <v>35</v>
      </c>
    </row>
    <row r="50" spans="1:6" x14ac:dyDescent="0.25">
      <c r="A50" s="170">
        <f t="shared" si="2"/>
        <v>36</v>
      </c>
      <c r="B50" s="184" t="s">
        <v>186</v>
      </c>
      <c r="C50" s="560">
        <v>12</v>
      </c>
      <c r="D50" s="228"/>
      <c r="E50" s="227"/>
      <c r="F50" s="174">
        <f t="shared" si="3"/>
        <v>36</v>
      </c>
    </row>
    <row r="51" spans="1:6" x14ac:dyDescent="0.25">
      <c r="A51" s="170">
        <f t="shared" si="2"/>
        <v>37</v>
      </c>
      <c r="B51" s="210"/>
      <c r="C51" s="225"/>
      <c r="D51" s="226"/>
      <c r="E51" s="229"/>
      <c r="F51" s="174">
        <f t="shared" si="3"/>
        <v>37</v>
      </c>
    </row>
    <row r="52" spans="1:6" ht="16.5" thickBot="1" x14ac:dyDescent="0.3">
      <c r="A52" s="170">
        <f t="shared" si="2"/>
        <v>38</v>
      </c>
      <c r="B52" s="192" t="str">
        <f>B27</f>
        <v>Total Annual Costs</v>
      </c>
      <c r="C52" s="396">
        <f>C48*C50</f>
        <v>5560.8576727607151</v>
      </c>
      <c r="D52" s="27" t="s">
        <v>16</v>
      </c>
      <c r="E52" s="194" t="str">
        <f>"Line "&amp;A48&amp;" x Line "&amp;A50</f>
        <v>Line 34 x Line 36</v>
      </c>
      <c r="F52" s="174">
        <f t="shared" si="3"/>
        <v>38</v>
      </c>
    </row>
    <row r="53" spans="1:6" ht="17.25" thickTop="1" thickBot="1" x14ac:dyDescent="0.3">
      <c r="A53" s="170">
        <f t="shared" si="2"/>
        <v>39</v>
      </c>
      <c r="B53" s="169"/>
      <c r="C53" s="230"/>
      <c r="D53" s="397"/>
      <c r="E53" s="232"/>
      <c r="F53" s="174">
        <f t="shared" si="3"/>
        <v>39</v>
      </c>
    </row>
    <row r="55" spans="1:6" x14ac:dyDescent="0.25">
      <c r="A55" s="27" t="s">
        <v>16</v>
      </c>
      <c r="B55" s="25" t="s">
        <v>615</v>
      </c>
    </row>
    <row r="56" spans="1:6" x14ac:dyDescent="0.25">
      <c r="B56" s="25" t="s">
        <v>630</v>
      </c>
    </row>
  </sheetData>
  <mergeCells count="5">
    <mergeCell ref="B2:E2"/>
    <mergeCell ref="B3:E3"/>
    <mergeCell ref="B4:E4"/>
    <mergeCell ref="B5:E5"/>
    <mergeCell ref="B6:E6"/>
  </mergeCells>
  <printOptions horizontalCentered="1"/>
  <pageMargins left="0.25" right="0.25" top="0.5" bottom="0.5" header="0.35" footer="0.25"/>
  <pageSetup scale="67" orientation="portrait" r:id="rId1"/>
  <headerFooter scaleWithDoc="0" alignWithMargins="0">
    <oddHeader>&amp;C&amp;"Times New Roman,Bold"&amp;8REVISED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EF55-8058-4416-97B4-9DDF9626F173}">
  <sheetPr>
    <pageSetUpPr fitToPage="1"/>
  </sheetPr>
  <dimension ref="A1:H56"/>
  <sheetViews>
    <sheetView zoomScale="80" zoomScaleNormal="80" workbookViewId="0"/>
  </sheetViews>
  <sheetFormatPr defaultColWidth="8.7109375" defaultRowHeight="15.75" x14ac:dyDescent="0.25"/>
  <cols>
    <col min="1" max="1" width="5.140625" style="39" customWidth="1"/>
    <col min="2" max="2" width="73.140625" style="20" bestFit="1" customWidth="1"/>
    <col min="3" max="3" width="14.85546875" style="20" customWidth="1"/>
    <col min="4" max="4" width="1.5703125" style="20" customWidth="1"/>
    <col min="5" max="5" width="51.42578125" style="20" bestFit="1" customWidth="1"/>
    <col min="6" max="6" width="5.140625" style="39" customWidth="1"/>
    <col min="7" max="16384" width="8.7109375" style="20"/>
  </cols>
  <sheetData>
    <row r="1" spans="1:6" x14ac:dyDescent="0.25">
      <c r="A1" s="702" t="s">
        <v>616</v>
      </c>
    </row>
    <row r="2" spans="1:6" x14ac:dyDescent="0.25">
      <c r="A2" s="166"/>
      <c r="B2" s="167"/>
      <c r="C2" s="167"/>
      <c r="D2" s="167"/>
      <c r="E2" s="389"/>
      <c r="F2" s="166"/>
    </row>
    <row r="3" spans="1:6" x14ac:dyDescent="0.25">
      <c r="A3" s="166"/>
      <c r="B3" s="765" t="s">
        <v>21</v>
      </c>
      <c r="C3" s="765"/>
      <c r="D3" s="765"/>
      <c r="E3" s="765"/>
      <c r="F3" s="167"/>
    </row>
    <row r="4" spans="1:6" x14ac:dyDescent="0.25">
      <c r="B4" s="765" t="s">
        <v>277</v>
      </c>
      <c r="C4" s="765"/>
      <c r="D4" s="765"/>
      <c r="E4" s="765"/>
      <c r="F4" s="163"/>
    </row>
    <row r="5" spans="1:6" x14ac:dyDescent="0.25">
      <c r="B5" s="765" t="s">
        <v>174</v>
      </c>
      <c r="C5" s="765"/>
      <c r="D5" s="765"/>
      <c r="E5" s="765"/>
      <c r="F5" s="163"/>
    </row>
    <row r="6" spans="1:6" x14ac:dyDescent="0.25">
      <c r="A6" s="166"/>
      <c r="B6" s="767" t="s">
        <v>448</v>
      </c>
      <c r="C6" s="767"/>
      <c r="D6" s="767"/>
      <c r="E6" s="767"/>
      <c r="F6" s="166"/>
    </row>
    <row r="7" spans="1:6" x14ac:dyDescent="0.25">
      <c r="B7" s="766" t="s">
        <v>1</v>
      </c>
      <c r="C7" s="765"/>
      <c r="D7" s="765"/>
      <c r="E7" s="765"/>
      <c r="F7" s="163"/>
    </row>
    <row r="8" spans="1:6" ht="16.5" thickBot="1" x14ac:dyDescent="0.3">
      <c r="A8" s="166"/>
      <c r="B8" s="167"/>
      <c r="C8" s="168"/>
      <c r="D8" s="169"/>
      <c r="E8" s="168"/>
      <c r="F8" s="166"/>
    </row>
    <row r="9" spans="1:6" x14ac:dyDescent="0.25">
      <c r="A9" s="170" t="s">
        <v>2</v>
      </c>
      <c r="B9" s="171"/>
      <c r="C9" s="172"/>
      <c r="D9" s="167"/>
      <c r="E9" s="173"/>
      <c r="F9" s="174" t="s">
        <v>2</v>
      </c>
    </row>
    <row r="10" spans="1:6" x14ac:dyDescent="0.25">
      <c r="A10" s="170" t="s">
        <v>6</v>
      </c>
      <c r="B10" s="390" t="s">
        <v>175</v>
      </c>
      <c r="C10" s="654" t="s">
        <v>4</v>
      </c>
      <c r="D10" s="391"/>
      <c r="E10" s="391" t="s">
        <v>5</v>
      </c>
      <c r="F10" s="174" t="s">
        <v>6</v>
      </c>
    </row>
    <row r="11" spans="1:6" x14ac:dyDescent="0.25">
      <c r="A11" s="170"/>
      <c r="B11" s="176"/>
      <c r="C11" s="177"/>
      <c r="D11" s="178"/>
      <c r="E11" s="179"/>
      <c r="F11" s="174"/>
    </row>
    <row r="12" spans="1:6" x14ac:dyDescent="0.25">
      <c r="A12" s="170">
        <v>1</v>
      </c>
      <c r="B12" s="180" t="s">
        <v>176</v>
      </c>
      <c r="C12" s="181">
        <v>182.59523467146886</v>
      </c>
      <c r="D12" s="182"/>
      <c r="E12" s="183" t="s">
        <v>449</v>
      </c>
      <c r="F12" s="174">
        <f>A12</f>
        <v>1</v>
      </c>
    </row>
    <row r="13" spans="1:6" x14ac:dyDescent="0.25">
      <c r="A13" s="170">
        <f>A12+1</f>
        <v>2</v>
      </c>
      <c r="B13" s="184"/>
      <c r="C13" s="185"/>
      <c r="D13" s="186"/>
      <c r="E13" s="167"/>
      <c r="F13" s="174">
        <f>F12+1</f>
        <v>2</v>
      </c>
    </row>
    <row r="14" spans="1:6" x14ac:dyDescent="0.25">
      <c r="A14" s="170">
        <f t="shared" ref="A14:A29" si="0">A13+1</f>
        <v>3</v>
      </c>
      <c r="B14" s="180" t="s">
        <v>177</v>
      </c>
      <c r="C14" s="187">
        <v>2773.5658683537054</v>
      </c>
      <c r="D14" s="27" t="s">
        <v>16</v>
      </c>
      <c r="E14" s="183" t="s">
        <v>450</v>
      </c>
      <c r="F14" s="174">
        <f t="shared" ref="F14:F29" si="1">F13+1</f>
        <v>3</v>
      </c>
    </row>
    <row r="15" spans="1:6" x14ac:dyDescent="0.25">
      <c r="A15" s="170">
        <f t="shared" si="0"/>
        <v>4</v>
      </c>
      <c r="B15" s="184"/>
      <c r="C15" s="185"/>
      <c r="D15" s="186"/>
      <c r="E15" s="188"/>
      <c r="F15" s="174">
        <f t="shared" si="1"/>
        <v>4</v>
      </c>
    </row>
    <row r="16" spans="1:6" x14ac:dyDescent="0.25">
      <c r="A16" s="170">
        <f t="shared" si="0"/>
        <v>5</v>
      </c>
      <c r="B16" s="189" t="s">
        <v>178</v>
      </c>
      <c r="C16" s="557">
        <v>946.2530084775392</v>
      </c>
      <c r="D16" s="190"/>
      <c r="E16" s="183" t="s">
        <v>451</v>
      </c>
      <c r="F16" s="174">
        <f t="shared" si="1"/>
        <v>5</v>
      </c>
    </row>
    <row r="17" spans="1:8" x14ac:dyDescent="0.25">
      <c r="A17" s="170">
        <f t="shared" si="0"/>
        <v>6</v>
      </c>
      <c r="B17" s="191"/>
      <c r="C17" s="88"/>
      <c r="D17" s="190"/>
      <c r="E17" s="183"/>
      <c r="F17" s="174">
        <f t="shared" si="1"/>
        <v>6</v>
      </c>
    </row>
    <row r="18" spans="1:8" x14ac:dyDescent="0.25">
      <c r="A18" s="170">
        <f t="shared" si="0"/>
        <v>7</v>
      </c>
      <c r="B18" s="192" t="s">
        <v>429</v>
      </c>
      <c r="C18" s="193">
        <f>C12+C14+C16</f>
        <v>3902.4141115027132</v>
      </c>
      <c r="D18" s="27" t="s">
        <v>16</v>
      </c>
      <c r="E18" s="194" t="s">
        <v>452</v>
      </c>
      <c r="F18" s="174">
        <f t="shared" si="1"/>
        <v>7</v>
      </c>
    </row>
    <row r="19" spans="1:8" x14ac:dyDescent="0.25">
      <c r="A19" s="170">
        <f t="shared" si="0"/>
        <v>8</v>
      </c>
      <c r="B19" s="195"/>
      <c r="C19" s="185"/>
      <c r="D19" s="186"/>
      <c r="E19" s="196"/>
      <c r="F19" s="174">
        <f t="shared" si="1"/>
        <v>8</v>
      </c>
    </row>
    <row r="20" spans="1:8" x14ac:dyDescent="0.25">
      <c r="A20" s="170">
        <f t="shared" si="0"/>
        <v>9</v>
      </c>
      <c r="B20" s="180" t="s">
        <v>179</v>
      </c>
      <c r="C20" s="187">
        <v>1601.6400400405996</v>
      </c>
      <c r="D20" s="27" t="s">
        <v>16</v>
      </c>
      <c r="E20" s="183" t="s">
        <v>453</v>
      </c>
      <c r="F20" s="174">
        <f t="shared" si="1"/>
        <v>9</v>
      </c>
    </row>
    <row r="21" spans="1:8" x14ac:dyDescent="0.25">
      <c r="A21" s="170">
        <f t="shared" si="0"/>
        <v>10</v>
      </c>
      <c r="B21" s="180"/>
      <c r="C21" s="185"/>
      <c r="D21" s="186"/>
      <c r="E21" s="197"/>
      <c r="F21" s="174">
        <f t="shared" si="1"/>
        <v>10</v>
      </c>
    </row>
    <row r="22" spans="1:8" x14ac:dyDescent="0.25">
      <c r="A22" s="170">
        <f t="shared" si="0"/>
        <v>11</v>
      </c>
      <c r="B22" s="180" t="s">
        <v>180</v>
      </c>
      <c r="C22" s="557">
        <v>49.83930922779507</v>
      </c>
      <c r="D22" s="190"/>
      <c r="E22" s="194" t="s">
        <v>454</v>
      </c>
      <c r="F22" s="174">
        <f t="shared" si="1"/>
        <v>11</v>
      </c>
    </row>
    <row r="23" spans="1:8" x14ac:dyDescent="0.25">
      <c r="A23" s="170">
        <f t="shared" si="0"/>
        <v>12</v>
      </c>
      <c r="B23" s="191"/>
      <c r="C23" s="198"/>
      <c r="D23" s="199"/>
      <c r="E23" s="194"/>
      <c r="F23" s="174">
        <f t="shared" si="1"/>
        <v>12</v>
      </c>
    </row>
    <row r="24" spans="1:8" x14ac:dyDescent="0.25">
      <c r="A24" s="170">
        <f t="shared" si="0"/>
        <v>13</v>
      </c>
      <c r="B24" s="191" t="s">
        <v>181</v>
      </c>
      <c r="C24" s="82">
        <f>C18+C20+C22</f>
        <v>5553.8934607711071</v>
      </c>
      <c r="D24" s="27" t="s">
        <v>16</v>
      </c>
      <c r="E24" s="194" t="s">
        <v>455</v>
      </c>
      <c r="F24" s="174">
        <f t="shared" si="1"/>
        <v>13</v>
      </c>
    </row>
    <row r="25" spans="1:8" x14ac:dyDescent="0.25">
      <c r="A25" s="170">
        <f t="shared" si="0"/>
        <v>14</v>
      </c>
      <c r="B25" s="200"/>
      <c r="C25" s="78"/>
      <c r="D25" s="79"/>
      <c r="E25" s="194"/>
      <c r="F25" s="174">
        <f t="shared" si="1"/>
        <v>14</v>
      </c>
    </row>
    <row r="26" spans="1:8" x14ac:dyDescent="0.25">
      <c r="A26" s="170">
        <f t="shared" si="0"/>
        <v>15</v>
      </c>
      <c r="B26" s="189" t="s">
        <v>182</v>
      </c>
      <c r="C26" s="558">
        <v>0</v>
      </c>
      <c r="D26" s="79"/>
      <c r="E26" s="194" t="s">
        <v>20</v>
      </c>
      <c r="F26" s="174">
        <f t="shared" si="1"/>
        <v>15</v>
      </c>
    </row>
    <row r="27" spans="1:8" x14ac:dyDescent="0.25">
      <c r="A27" s="170">
        <f t="shared" si="0"/>
        <v>16</v>
      </c>
      <c r="B27" s="168"/>
      <c r="C27" s="201"/>
      <c r="D27" s="202"/>
      <c r="E27" s="194"/>
      <c r="F27" s="174">
        <f t="shared" si="1"/>
        <v>16</v>
      </c>
    </row>
    <row r="28" spans="1:8" ht="16.5" thickBot="1" x14ac:dyDescent="0.3">
      <c r="A28" s="170">
        <f t="shared" si="0"/>
        <v>17</v>
      </c>
      <c r="B28" s="192" t="s">
        <v>183</v>
      </c>
      <c r="C28" s="203">
        <f>C24+C26</f>
        <v>5553.8934607711071</v>
      </c>
      <c r="D28" s="27" t="s">
        <v>16</v>
      </c>
      <c r="E28" s="194" t="s">
        <v>456</v>
      </c>
      <c r="F28" s="174">
        <f t="shared" si="1"/>
        <v>17</v>
      </c>
      <c r="H28" s="204"/>
    </row>
    <row r="29" spans="1:8" ht="17.25" thickTop="1" thickBot="1" x14ac:dyDescent="0.3">
      <c r="A29" s="170">
        <f t="shared" si="0"/>
        <v>18</v>
      </c>
      <c r="B29" s="205"/>
      <c r="C29" s="206"/>
      <c r="D29" s="248"/>
      <c r="E29" s="169"/>
      <c r="F29" s="174">
        <f t="shared" si="1"/>
        <v>18</v>
      </c>
    </row>
    <row r="31" spans="1:8" ht="16.5" thickBot="1" x14ac:dyDescent="0.3">
      <c r="A31" s="166"/>
      <c r="B31" s="207"/>
      <c r="C31" s="208"/>
      <c r="D31" s="208"/>
      <c r="E31" s="208"/>
      <c r="F31" s="166"/>
    </row>
    <row r="32" spans="1:8" x14ac:dyDescent="0.25">
      <c r="A32" s="170" t="s">
        <v>2</v>
      </c>
      <c r="B32" s="209"/>
      <c r="C32" s="172"/>
      <c r="D32" s="167"/>
      <c r="E32" s="167"/>
      <c r="F32" s="174" t="s">
        <v>2</v>
      </c>
    </row>
    <row r="33" spans="1:6" x14ac:dyDescent="0.25">
      <c r="A33" s="170" t="s">
        <v>6</v>
      </c>
      <c r="B33" s="390" t="s">
        <v>184</v>
      </c>
      <c r="C33" s="654" t="str">
        <f>C10</f>
        <v>Amounts</v>
      </c>
      <c r="D33" s="391"/>
      <c r="E33" s="391" t="str">
        <f>E10</f>
        <v>Reference</v>
      </c>
      <c r="F33" s="174" t="s">
        <v>6</v>
      </c>
    </row>
    <row r="34" spans="1:6" x14ac:dyDescent="0.25">
      <c r="A34" s="170">
        <f>A29+1</f>
        <v>19</v>
      </c>
      <c r="B34" s="210"/>
      <c r="C34" s="177"/>
      <c r="D34" s="178"/>
      <c r="E34" s="179"/>
      <c r="F34" s="174">
        <f>F29+1</f>
        <v>19</v>
      </c>
    </row>
    <row r="35" spans="1:6" x14ac:dyDescent="0.25">
      <c r="A35" s="170">
        <f>A34+1</f>
        <v>20</v>
      </c>
      <c r="B35" s="180" t="str">
        <f>B12</f>
        <v>Section 1 - Direct Maintenance Expense Cost Component</v>
      </c>
      <c r="C35" s="211">
        <f>C12/12</f>
        <v>15.216269555955739</v>
      </c>
      <c r="D35" s="212"/>
      <c r="E35" s="183" t="str">
        <f>"Line "&amp;A12&amp;" / "&amp;C51&amp;" Months"</f>
        <v>Line 1 / 12 Months</v>
      </c>
      <c r="F35" s="174">
        <f>F34+1</f>
        <v>20</v>
      </c>
    </row>
    <row r="36" spans="1:6" x14ac:dyDescent="0.25">
      <c r="A36" s="170">
        <f t="shared" ref="A36:A54" si="2">A35+1</f>
        <v>21</v>
      </c>
      <c r="B36" s="184"/>
      <c r="C36" s="213"/>
      <c r="D36" s="214"/>
      <c r="E36" s="215"/>
      <c r="F36" s="174">
        <f t="shared" ref="F36:F54" si="3">F35+1</f>
        <v>21</v>
      </c>
    </row>
    <row r="37" spans="1:6" x14ac:dyDescent="0.25">
      <c r="A37" s="170">
        <f t="shared" si="2"/>
        <v>22</v>
      </c>
      <c r="B37" s="180" t="str">
        <f>B14</f>
        <v>Section 2 - Non-Direct Expense Cost Component</v>
      </c>
      <c r="C37" s="216">
        <f>C14/12</f>
        <v>231.13048902947546</v>
      </c>
      <c r="D37" s="27" t="s">
        <v>16</v>
      </c>
      <c r="E37" s="183" t="str">
        <f>"Line "&amp;A14&amp;" / "&amp;C51&amp;" Months"</f>
        <v>Line 3 / 12 Months</v>
      </c>
      <c r="F37" s="174">
        <f t="shared" si="3"/>
        <v>22</v>
      </c>
    </row>
    <row r="38" spans="1:6" x14ac:dyDescent="0.25">
      <c r="A38" s="170">
        <f t="shared" si="2"/>
        <v>23</v>
      </c>
      <c r="B38" s="184"/>
      <c r="C38" s="217"/>
      <c r="D38" s="218"/>
      <c r="E38" s="219"/>
      <c r="F38" s="174">
        <f t="shared" si="3"/>
        <v>23</v>
      </c>
    </row>
    <row r="39" spans="1:6" x14ac:dyDescent="0.25">
      <c r="A39" s="170">
        <f t="shared" si="2"/>
        <v>24</v>
      </c>
      <c r="B39" s="180" t="str">
        <f>B16</f>
        <v>Section 3 - Cost Component Containing Other Specific Expenses</v>
      </c>
      <c r="C39" s="559">
        <f>C16/12</f>
        <v>78.854417373128271</v>
      </c>
      <c r="D39" s="220"/>
      <c r="E39" s="183" t="str">
        <f>"Line "&amp;A16&amp;" / "&amp;C51&amp;" Months"</f>
        <v>Line 5 / 12 Months</v>
      </c>
      <c r="F39" s="174">
        <f t="shared" si="3"/>
        <v>24</v>
      </c>
    </row>
    <row r="40" spans="1:6" x14ac:dyDescent="0.25">
      <c r="A40" s="170">
        <f t="shared" si="2"/>
        <v>25</v>
      </c>
      <c r="B40" s="195"/>
      <c r="C40" s="221"/>
      <c r="D40" s="218"/>
      <c r="E40" s="183"/>
      <c r="F40" s="174">
        <f t="shared" si="3"/>
        <v>25</v>
      </c>
    </row>
    <row r="41" spans="1:6" x14ac:dyDescent="0.25">
      <c r="A41" s="170">
        <f t="shared" si="2"/>
        <v>26</v>
      </c>
      <c r="B41" s="192" t="s">
        <v>430</v>
      </c>
      <c r="C41" s="392">
        <f>C35+C37+C39</f>
        <v>325.20117595855947</v>
      </c>
      <c r="D41" s="27" t="s">
        <v>16</v>
      </c>
      <c r="E41" s="194" t="str">
        <f>"Sum Lines "&amp;A35&amp;", "&amp;A37&amp;", "&amp;A39</f>
        <v>Sum Lines 20, 22, 24</v>
      </c>
      <c r="F41" s="174">
        <f t="shared" si="3"/>
        <v>26</v>
      </c>
    </row>
    <row r="42" spans="1:6" x14ac:dyDescent="0.25">
      <c r="A42" s="170">
        <f t="shared" si="2"/>
        <v>27</v>
      </c>
      <c r="B42" s="210"/>
      <c r="C42" s="221"/>
      <c r="D42" s="218"/>
      <c r="E42" s="188"/>
      <c r="F42" s="174">
        <f t="shared" si="3"/>
        <v>27</v>
      </c>
    </row>
    <row r="43" spans="1:6" x14ac:dyDescent="0.25">
      <c r="A43" s="170">
        <f t="shared" si="2"/>
        <v>28</v>
      </c>
      <c r="B43" s="180" t="str">
        <f>LEFT(B20,45)</f>
        <v>Section 4 - True-Up Adjustment Cost Component</v>
      </c>
      <c r="C43" s="392">
        <f>C20/12</f>
        <v>133.47000333671664</v>
      </c>
      <c r="D43" s="27" t="s">
        <v>16</v>
      </c>
      <c r="E43" s="183" t="str">
        <f>"Line "&amp;A20&amp;" / "&amp;C51&amp;" Months"</f>
        <v>Line 9 / 12 Months</v>
      </c>
      <c r="F43" s="174">
        <f t="shared" si="3"/>
        <v>28</v>
      </c>
    </row>
    <row r="44" spans="1:6" x14ac:dyDescent="0.25">
      <c r="A44" s="170">
        <f t="shared" si="2"/>
        <v>29</v>
      </c>
      <c r="B44" s="180"/>
      <c r="C44" s="217"/>
      <c r="D44" s="218"/>
      <c r="E44" s="222"/>
      <c r="F44" s="174">
        <f t="shared" si="3"/>
        <v>29</v>
      </c>
    </row>
    <row r="45" spans="1:6" x14ac:dyDescent="0.25">
      <c r="A45" s="170">
        <f t="shared" si="2"/>
        <v>30</v>
      </c>
      <c r="B45" s="180" t="str">
        <f>B22</f>
        <v>Section 5 - Interest True-Up Adjustment Cost Component</v>
      </c>
      <c r="C45" s="393">
        <f>C22/12</f>
        <v>4.1532757689829225</v>
      </c>
      <c r="D45" s="394"/>
      <c r="E45" s="194" t="str">
        <f>"Line "&amp;A22&amp;" / "&amp;C51&amp;" Months"</f>
        <v>Line 11 / 12 Months</v>
      </c>
      <c r="F45" s="174">
        <f t="shared" si="3"/>
        <v>30</v>
      </c>
    </row>
    <row r="46" spans="1:6" x14ac:dyDescent="0.25">
      <c r="A46" s="170">
        <f t="shared" si="2"/>
        <v>31</v>
      </c>
      <c r="B46" s="195"/>
      <c r="C46" s="223"/>
      <c r="D46" s="30"/>
      <c r="E46" s="224"/>
      <c r="F46" s="174">
        <f t="shared" si="3"/>
        <v>31</v>
      </c>
    </row>
    <row r="47" spans="1:6" x14ac:dyDescent="0.25">
      <c r="A47" s="170">
        <f t="shared" si="2"/>
        <v>32</v>
      </c>
      <c r="B47" s="189" t="str">
        <f>B26</f>
        <v>Other Adjustments</v>
      </c>
      <c r="C47" s="559">
        <f>C26/12</f>
        <v>0</v>
      </c>
      <c r="D47" s="220"/>
      <c r="E47" s="194" t="str">
        <f>"Line "&amp;A26&amp;" / "&amp;C51&amp;" Months"</f>
        <v>Line 15 / 12 Months</v>
      </c>
      <c r="F47" s="174">
        <f t="shared" si="3"/>
        <v>32</v>
      </c>
    </row>
    <row r="48" spans="1:6" x14ac:dyDescent="0.25">
      <c r="A48" s="170">
        <f t="shared" si="2"/>
        <v>33</v>
      </c>
      <c r="B48" s="191"/>
      <c r="C48" s="223"/>
      <c r="D48" s="30"/>
      <c r="E48" s="224"/>
      <c r="F48" s="174">
        <f t="shared" si="3"/>
        <v>33</v>
      </c>
    </row>
    <row r="49" spans="1:6" ht="16.5" thickBot="1" x14ac:dyDescent="0.3">
      <c r="A49" s="170">
        <f t="shared" si="2"/>
        <v>34</v>
      </c>
      <c r="B49" s="191" t="s">
        <v>185</v>
      </c>
      <c r="C49" s="395">
        <f>C41+C43+C45+C47</f>
        <v>462.82445506425904</v>
      </c>
      <c r="D49" s="27" t="s">
        <v>16</v>
      </c>
      <c r="E49" s="194" t="str">
        <f>"Sum Lines "&amp;A41&amp;", "&amp;A43&amp;", "&amp;A45&amp;", "&amp;A47</f>
        <v>Sum Lines 26, 28, 30, 32</v>
      </c>
      <c r="F49" s="174">
        <f t="shared" si="3"/>
        <v>34</v>
      </c>
    </row>
    <row r="50" spans="1:6" ht="16.5" thickTop="1" x14ac:dyDescent="0.25">
      <c r="A50" s="170">
        <f t="shared" si="2"/>
        <v>35</v>
      </c>
      <c r="B50" s="210"/>
      <c r="C50" s="225"/>
      <c r="D50" s="226"/>
      <c r="E50" s="227"/>
      <c r="F50" s="174">
        <f t="shared" si="3"/>
        <v>35</v>
      </c>
    </row>
    <row r="51" spans="1:6" x14ac:dyDescent="0.25">
      <c r="A51" s="170">
        <f t="shared" si="2"/>
        <v>36</v>
      </c>
      <c r="B51" s="184" t="s">
        <v>186</v>
      </c>
      <c r="C51" s="560">
        <v>12</v>
      </c>
      <c r="D51" s="228"/>
      <c r="E51" s="227"/>
      <c r="F51" s="174">
        <f t="shared" si="3"/>
        <v>36</v>
      </c>
    </row>
    <row r="52" spans="1:6" x14ac:dyDescent="0.25">
      <c r="A52" s="170">
        <f t="shared" si="2"/>
        <v>37</v>
      </c>
      <c r="B52" s="210"/>
      <c r="C52" s="225"/>
      <c r="D52" s="226"/>
      <c r="E52" s="229"/>
      <c r="F52" s="174">
        <f t="shared" si="3"/>
        <v>37</v>
      </c>
    </row>
    <row r="53" spans="1:6" ht="16.5" thickBot="1" x14ac:dyDescent="0.3">
      <c r="A53" s="170">
        <f t="shared" si="2"/>
        <v>38</v>
      </c>
      <c r="B53" s="192" t="str">
        <f>B28</f>
        <v>Total Annual Costs</v>
      </c>
      <c r="C53" s="396">
        <f>C49*C51</f>
        <v>5553.8934607711089</v>
      </c>
      <c r="D53" s="27" t="s">
        <v>16</v>
      </c>
      <c r="E53" s="194" t="str">
        <f>"Line "&amp;A49&amp;" x Line "&amp;A51</f>
        <v>Line 34 x Line 36</v>
      </c>
      <c r="F53" s="174">
        <f t="shared" si="3"/>
        <v>38</v>
      </c>
    </row>
    <row r="54" spans="1:6" ht="17.25" thickTop="1" thickBot="1" x14ac:dyDescent="0.3">
      <c r="A54" s="170">
        <f t="shared" si="2"/>
        <v>39</v>
      </c>
      <c r="B54" s="169"/>
      <c r="C54" s="230"/>
      <c r="D54" s="397"/>
      <c r="E54" s="232"/>
      <c r="F54" s="174">
        <f t="shared" si="3"/>
        <v>39</v>
      </c>
    </row>
    <row r="56" spans="1:6" x14ac:dyDescent="0.25">
      <c r="A56" s="27" t="s">
        <v>16</v>
      </c>
      <c r="B56" s="25" t="s">
        <v>278</v>
      </c>
    </row>
  </sheetData>
  <mergeCells count="5"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7" orientation="portrait" r:id="rId1"/>
  <headerFooter scaleWithDoc="0" alignWithMargins="0">
    <oddHeader>&amp;C&amp;"Times New Roman,Bold"&amp;8AS FILED SUMMARY WITH COST ADJ INCL. IN APPENDIX X CYCLE 10 (ER22-139)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D66F-B29C-4CA8-8780-A2635AF8E741}">
  <sheetPr>
    <pageSetUpPr fitToPage="1"/>
  </sheetPr>
  <dimension ref="A1:I54"/>
  <sheetViews>
    <sheetView zoomScale="80" zoomScaleNormal="80" workbookViewId="0"/>
  </sheetViews>
  <sheetFormatPr defaultColWidth="8.7109375" defaultRowHeight="15.75" x14ac:dyDescent="0.25"/>
  <cols>
    <col min="1" max="1" width="5.140625" style="39" customWidth="1"/>
    <col min="2" max="2" width="73.140625" style="20" bestFit="1" customWidth="1"/>
    <col min="3" max="3" width="14.85546875" style="20" customWidth="1"/>
    <col min="4" max="4" width="51.42578125" style="20" bestFit="1" customWidth="1"/>
    <col min="5" max="5" width="5.140625" style="39" customWidth="1"/>
    <col min="6" max="16384" width="8.7109375" style="20"/>
  </cols>
  <sheetData>
    <row r="1" spans="1:7" x14ac:dyDescent="0.25">
      <c r="A1" s="702" t="s">
        <v>581</v>
      </c>
    </row>
    <row r="2" spans="1:7" x14ac:dyDescent="0.25">
      <c r="A2" s="166"/>
      <c r="B2" s="167"/>
      <c r="C2" s="167"/>
      <c r="D2" s="167"/>
      <c r="E2" s="166"/>
    </row>
    <row r="3" spans="1:7" x14ac:dyDescent="0.25">
      <c r="A3" s="166"/>
      <c r="B3" s="765" t="s">
        <v>21</v>
      </c>
      <c r="C3" s="765"/>
      <c r="D3" s="765"/>
      <c r="E3" s="167"/>
    </row>
    <row r="4" spans="1:7" x14ac:dyDescent="0.25">
      <c r="B4" s="765" t="s">
        <v>277</v>
      </c>
      <c r="C4" s="765"/>
      <c r="D4" s="765"/>
      <c r="E4" s="163"/>
    </row>
    <row r="5" spans="1:7" x14ac:dyDescent="0.25">
      <c r="B5" s="765" t="s">
        <v>174</v>
      </c>
      <c r="C5" s="765"/>
      <c r="D5" s="765"/>
      <c r="E5" s="163"/>
    </row>
    <row r="6" spans="1:7" x14ac:dyDescent="0.25">
      <c r="A6" s="166"/>
      <c r="B6" s="767" t="s">
        <v>448</v>
      </c>
      <c r="C6" s="767"/>
      <c r="D6" s="767"/>
      <c r="E6" s="166"/>
    </row>
    <row r="7" spans="1:7" x14ac:dyDescent="0.25">
      <c r="B7" s="766" t="s">
        <v>1</v>
      </c>
      <c r="C7" s="765"/>
      <c r="D7" s="765"/>
      <c r="E7" s="163"/>
    </row>
    <row r="8" spans="1:7" ht="16.5" thickBot="1" x14ac:dyDescent="0.3">
      <c r="A8" s="166"/>
      <c r="B8" s="167"/>
      <c r="C8" s="168"/>
      <c r="D8" s="168"/>
      <c r="E8" s="166"/>
    </row>
    <row r="9" spans="1:7" x14ac:dyDescent="0.25">
      <c r="A9" s="170" t="s">
        <v>2</v>
      </c>
      <c r="B9" s="171"/>
      <c r="C9" s="233"/>
      <c r="D9" s="234"/>
      <c r="E9" s="174" t="s">
        <v>2</v>
      </c>
    </row>
    <row r="10" spans="1:7" x14ac:dyDescent="0.25">
      <c r="A10" s="170" t="s">
        <v>6</v>
      </c>
      <c r="B10" s="390" t="s">
        <v>175</v>
      </c>
      <c r="C10" s="390" t="s">
        <v>4</v>
      </c>
      <c r="D10" s="556" t="s">
        <v>5</v>
      </c>
      <c r="E10" s="174" t="s">
        <v>6</v>
      </c>
    </row>
    <row r="11" spans="1:7" x14ac:dyDescent="0.25">
      <c r="A11" s="170"/>
      <c r="B11" s="176"/>
      <c r="C11" s="235"/>
      <c r="D11" s="236"/>
      <c r="E11" s="174"/>
    </row>
    <row r="12" spans="1:7" x14ac:dyDescent="0.25">
      <c r="A12" s="170">
        <v>1</v>
      </c>
      <c r="B12" s="180" t="s">
        <v>176</v>
      </c>
      <c r="C12" s="237">
        <v>182.59523526231177</v>
      </c>
      <c r="D12" s="238" t="s">
        <v>449</v>
      </c>
      <c r="E12" s="174">
        <f>A12</f>
        <v>1</v>
      </c>
      <c r="G12" s="23"/>
    </row>
    <row r="13" spans="1:7" x14ac:dyDescent="0.25">
      <c r="A13" s="170">
        <f>A12+1</f>
        <v>2</v>
      </c>
      <c r="B13" s="184"/>
      <c r="C13" s="239"/>
      <c r="D13" s="240"/>
      <c r="E13" s="174">
        <f>E12+1</f>
        <v>2</v>
      </c>
    </row>
    <row r="14" spans="1:7" x14ac:dyDescent="0.25">
      <c r="A14" s="170">
        <f t="shared" ref="A14:A29" si="0">A13+1</f>
        <v>3</v>
      </c>
      <c r="B14" s="180" t="s">
        <v>177</v>
      </c>
      <c r="C14" s="241">
        <v>2814.7722388133743</v>
      </c>
      <c r="D14" s="238" t="s">
        <v>450</v>
      </c>
      <c r="E14" s="174">
        <f t="shared" ref="E14:E29" si="1">E13+1</f>
        <v>3</v>
      </c>
      <c r="G14" s="29"/>
    </row>
    <row r="15" spans="1:7" x14ac:dyDescent="0.25">
      <c r="A15" s="170">
        <f t="shared" si="0"/>
        <v>4</v>
      </c>
      <c r="B15" s="184"/>
      <c r="C15" s="239"/>
      <c r="D15" s="242"/>
      <c r="E15" s="174">
        <f t="shared" si="1"/>
        <v>4</v>
      </c>
    </row>
    <row r="16" spans="1:7" x14ac:dyDescent="0.25">
      <c r="A16" s="170">
        <f t="shared" si="0"/>
        <v>5</v>
      </c>
      <c r="B16" s="189" t="s">
        <v>178</v>
      </c>
      <c r="C16" s="557">
        <v>946.25302817681541</v>
      </c>
      <c r="D16" s="183" t="s">
        <v>451</v>
      </c>
      <c r="E16" s="174">
        <f t="shared" si="1"/>
        <v>5</v>
      </c>
      <c r="G16" s="29"/>
    </row>
    <row r="17" spans="1:9" x14ac:dyDescent="0.25">
      <c r="A17" s="170">
        <f t="shared" si="0"/>
        <v>6</v>
      </c>
      <c r="B17" s="191"/>
      <c r="C17" s="88"/>
      <c r="D17" s="183"/>
      <c r="E17" s="174">
        <f t="shared" si="1"/>
        <v>6</v>
      </c>
      <c r="G17" s="29"/>
    </row>
    <row r="18" spans="1:9" x14ac:dyDescent="0.25">
      <c r="A18" s="170">
        <f t="shared" si="0"/>
        <v>7</v>
      </c>
      <c r="B18" s="192" t="s">
        <v>427</v>
      </c>
      <c r="C18" s="243">
        <f>C12+C14+C16</f>
        <v>3943.6205022525014</v>
      </c>
      <c r="D18" s="194" t="s">
        <v>452</v>
      </c>
      <c r="E18" s="174">
        <f t="shared" si="1"/>
        <v>7</v>
      </c>
      <c r="G18" s="29"/>
    </row>
    <row r="19" spans="1:9" x14ac:dyDescent="0.25">
      <c r="A19" s="170">
        <f t="shared" si="0"/>
        <v>8</v>
      </c>
      <c r="B19" s="195"/>
      <c r="C19" s="239"/>
      <c r="D19" s="244"/>
      <c r="E19" s="174">
        <f t="shared" si="1"/>
        <v>8</v>
      </c>
    </row>
    <row r="20" spans="1:9" x14ac:dyDescent="0.25">
      <c r="A20" s="170">
        <f t="shared" si="0"/>
        <v>9</v>
      </c>
      <c r="B20" s="180" t="s">
        <v>179</v>
      </c>
      <c r="C20" s="245">
        <v>1643.9919646050323</v>
      </c>
      <c r="D20" s="183" t="s">
        <v>453</v>
      </c>
      <c r="E20" s="174">
        <f t="shared" si="1"/>
        <v>9</v>
      </c>
    </row>
    <row r="21" spans="1:9" x14ac:dyDescent="0.25">
      <c r="A21" s="170">
        <f t="shared" si="0"/>
        <v>10</v>
      </c>
      <c r="B21" s="180"/>
      <c r="C21" s="239"/>
      <c r="D21" s="246"/>
      <c r="E21" s="174">
        <f t="shared" si="1"/>
        <v>10</v>
      </c>
    </row>
    <row r="22" spans="1:9" x14ac:dyDescent="0.25">
      <c r="A22" s="170">
        <f t="shared" si="0"/>
        <v>11</v>
      </c>
      <c r="B22" s="180" t="s">
        <v>180</v>
      </c>
      <c r="C22" s="557">
        <v>49.83930922779507</v>
      </c>
      <c r="D22" s="194" t="s">
        <v>454</v>
      </c>
      <c r="E22" s="174">
        <f t="shared" si="1"/>
        <v>11</v>
      </c>
    </row>
    <row r="23" spans="1:9" x14ac:dyDescent="0.25">
      <c r="A23" s="170">
        <f t="shared" si="0"/>
        <v>12</v>
      </c>
      <c r="B23" s="191"/>
      <c r="C23" s="198"/>
      <c r="D23" s="247"/>
      <c r="E23" s="174">
        <f t="shared" si="1"/>
        <v>12</v>
      </c>
    </row>
    <row r="24" spans="1:9" x14ac:dyDescent="0.25">
      <c r="A24" s="170">
        <f t="shared" si="0"/>
        <v>13</v>
      </c>
      <c r="B24" s="191" t="s">
        <v>181</v>
      </c>
      <c r="C24" s="76">
        <f>C18+C20+C22</f>
        <v>5637.4517760853287</v>
      </c>
      <c r="D24" s="194" t="s">
        <v>455</v>
      </c>
      <c r="E24" s="174">
        <f t="shared" si="1"/>
        <v>13</v>
      </c>
      <c r="G24" s="29"/>
    </row>
    <row r="25" spans="1:9" x14ac:dyDescent="0.25">
      <c r="A25" s="170">
        <f t="shared" si="0"/>
        <v>14</v>
      </c>
      <c r="B25" s="200"/>
      <c r="C25" s="78"/>
      <c r="D25" s="194"/>
      <c r="E25" s="174">
        <f t="shared" si="1"/>
        <v>14</v>
      </c>
      <c r="G25" s="29"/>
    </row>
    <row r="26" spans="1:9" x14ac:dyDescent="0.25">
      <c r="A26" s="170">
        <f t="shared" si="0"/>
        <v>15</v>
      </c>
      <c r="B26" s="189" t="s">
        <v>182</v>
      </c>
      <c r="C26" s="558">
        <v>0</v>
      </c>
      <c r="D26" s="194" t="s">
        <v>20</v>
      </c>
      <c r="E26" s="174">
        <f t="shared" si="1"/>
        <v>15</v>
      </c>
      <c r="G26" s="29"/>
    </row>
    <row r="27" spans="1:9" x14ac:dyDescent="0.25">
      <c r="A27" s="170">
        <f t="shared" si="0"/>
        <v>16</v>
      </c>
      <c r="B27" s="168"/>
      <c r="C27" s="201"/>
      <c r="D27" s="247"/>
      <c r="E27" s="174">
        <f t="shared" si="1"/>
        <v>16</v>
      </c>
    </row>
    <row r="28" spans="1:9" ht="16.5" thickBot="1" x14ac:dyDescent="0.3">
      <c r="A28" s="170">
        <f t="shared" si="0"/>
        <v>17</v>
      </c>
      <c r="B28" s="192" t="s">
        <v>183</v>
      </c>
      <c r="C28" s="203">
        <f>C24+C26</f>
        <v>5637.4517760853287</v>
      </c>
      <c r="D28" s="247" t="s">
        <v>456</v>
      </c>
      <c r="E28" s="174">
        <f t="shared" si="1"/>
        <v>17</v>
      </c>
      <c r="H28" s="23"/>
      <c r="I28" s="204"/>
    </row>
    <row r="29" spans="1:9" ht="17.25" thickTop="1" thickBot="1" x14ac:dyDescent="0.3">
      <c r="A29" s="170">
        <f t="shared" si="0"/>
        <v>18</v>
      </c>
      <c r="B29" s="205"/>
      <c r="C29" s="205"/>
      <c r="D29" s="248"/>
      <c r="E29" s="174">
        <f t="shared" si="1"/>
        <v>18</v>
      </c>
    </row>
    <row r="31" spans="1:9" ht="16.5" thickBot="1" x14ac:dyDescent="0.3">
      <c r="A31" s="166"/>
      <c r="B31" s="207"/>
      <c r="C31" s="208"/>
      <c r="D31" s="208"/>
      <c r="E31" s="166"/>
    </row>
    <row r="32" spans="1:9" x14ac:dyDescent="0.25">
      <c r="A32" s="170" t="s">
        <v>2</v>
      </c>
      <c r="B32" s="209"/>
      <c r="C32" s="209"/>
      <c r="D32" s="240"/>
      <c r="E32" s="174" t="s">
        <v>2</v>
      </c>
    </row>
    <row r="33" spans="1:5" x14ac:dyDescent="0.25">
      <c r="A33" s="170" t="s">
        <v>6</v>
      </c>
      <c r="B33" s="390" t="s">
        <v>184</v>
      </c>
      <c r="C33" s="390" t="str">
        <f>C10</f>
        <v>Amounts</v>
      </c>
      <c r="D33" s="556" t="str">
        <f>D10</f>
        <v>Reference</v>
      </c>
      <c r="E33" s="174" t="s">
        <v>6</v>
      </c>
    </row>
    <row r="34" spans="1:5" x14ac:dyDescent="0.25">
      <c r="A34" s="170">
        <f>A29+1</f>
        <v>19</v>
      </c>
      <c r="B34" s="210"/>
      <c r="C34" s="235"/>
      <c r="D34" s="236"/>
      <c r="E34" s="174">
        <f>E29+1</f>
        <v>19</v>
      </c>
    </row>
    <row r="35" spans="1:5" x14ac:dyDescent="0.25">
      <c r="A35" s="170">
        <f>A34+1</f>
        <v>20</v>
      </c>
      <c r="B35" s="180" t="str">
        <f>B12</f>
        <v>Section 1 - Direct Maintenance Expense Cost Component</v>
      </c>
      <c r="C35" s="249">
        <f>C12/12</f>
        <v>15.216269605192648</v>
      </c>
      <c r="D35" s="238" t="str">
        <f>"Line "&amp;A12&amp;" / "&amp;C51&amp;" Months"</f>
        <v>Line 1 / 12 Months</v>
      </c>
      <c r="E35" s="174">
        <f>E34+1</f>
        <v>20</v>
      </c>
    </row>
    <row r="36" spans="1:5" x14ac:dyDescent="0.25">
      <c r="A36" s="170">
        <f t="shared" ref="A36:A54" si="2">A35+1</f>
        <v>21</v>
      </c>
      <c r="B36" s="184"/>
      <c r="C36" s="250"/>
      <c r="D36" s="251"/>
      <c r="E36" s="174">
        <f t="shared" ref="E36:E54" si="3">E35+1</f>
        <v>21</v>
      </c>
    </row>
    <row r="37" spans="1:5" x14ac:dyDescent="0.25">
      <c r="A37" s="170">
        <f t="shared" si="2"/>
        <v>22</v>
      </c>
      <c r="B37" s="180" t="str">
        <f>B14</f>
        <v>Section 2 - Non-Direct Expense Cost Component</v>
      </c>
      <c r="C37" s="252">
        <f>C14/12</f>
        <v>234.56435323444785</v>
      </c>
      <c r="D37" s="238" t="str">
        <f>"Line "&amp;A14&amp;" / "&amp;C51&amp;" Months"</f>
        <v>Line 3 / 12 Months</v>
      </c>
      <c r="E37" s="174">
        <f t="shared" si="3"/>
        <v>22</v>
      </c>
    </row>
    <row r="38" spans="1:5" x14ac:dyDescent="0.25">
      <c r="A38" s="170">
        <f t="shared" si="2"/>
        <v>23</v>
      </c>
      <c r="B38" s="184"/>
      <c r="C38" s="253"/>
      <c r="D38" s="254"/>
      <c r="E38" s="174">
        <f t="shared" si="3"/>
        <v>23</v>
      </c>
    </row>
    <row r="39" spans="1:5" x14ac:dyDescent="0.25">
      <c r="A39" s="170">
        <f t="shared" si="2"/>
        <v>24</v>
      </c>
      <c r="B39" s="180" t="str">
        <f>B16</f>
        <v>Section 3 - Cost Component Containing Other Specific Expenses</v>
      </c>
      <c r="C39" s="559">
        <f>C16/12</f>
        <v>78.854419014734617</v>
      </c>
      <c r="D39" s="238" t="str">
        <f>"Line "&amp;A16&amp;" / "&amp;C51&amp;" Months"</f>
        <v>Line 5 / 12 Months</v>
      </c>
      <c r="E39" s="174">
        <f t="shared" si="3"/>
        <v>24</v>
      </c>
    </row>
    <row r="40" spans="1:5" x14ac:dyDescent="0.25">
      <c r="A40" s="170">
        <f t="shared" si="2"/>
        <v>25</v>
      </c>
      <c r="B40" s="195"/>
      <c r="C40" s="255"/>
      <c r="D40" s="238"/>
      <c r="E40" s="174">
        <f t="shared" si="3"/>
        <v>25</v>
      </c>
    </row>
    <row r="41" spans="1:5" x14ac:dyDescent="0.25">
      <c r="A41" s="170">
        <f t="shared" si="2"/>
        <v>26</v>
      </c>
      <c r="B41" s="192" t="s">
        <v>428</v>
      </c>
      <c r="C41" s="398">
        <f>C35+C37+C39</f>
        <v>328.63504185437512</v>
      </c>
      <c r="D41" s="194" t="str">
        <f>"Sum Lines "&amp;A35&amp;", "&amp;A37&amp;", "&amp;A39</f>
        <v>Sum Lines 20, 22, 24</v>
      </c>
      <c r="E41" s="174">
        <f t="shared" si="3"/>
        <v>26</v>
      </c>
    </row>
    <row r="42" spans="1:5" x14ac:dyDescent="0.25">
      <c r="A42" s="170">
        <f t="shared" si="2"/>
        <v>27</v>
      </c>
      <c r="B42" s="210"/>
      <c r="C42" s="253"/>
      <c r="D42" s="242"/>
      <c r="E42" s="174">
        <f t="shared" si="3"/>
        <v>27</v>
      </c>
    </row>
    <row r="43" spans="1:5" x14ac:dyDescent="0.25">
      <c r="A43" s="170">
        <f t="shared" si="2"/>
        <v>28</v>
      </c>
      <c r="B43" s="180" t="str">
        <f>LEFT(B20,45)</f>
        <v>Section 4 - True-Up Adjustment Cost Component</v>
      </c>
      <c r="C43" s="398">
        <f>C20/12</f>
        <v>136.99933038375269</v>
      </c>
      <c r="D43" s="238" t="str">
        <f>"Line "&amp;A20&amp;" / "&amp;C51&amp;" Months"</f>
        <v>Line 9 / 12 Months</v>
      </c>
      <c r="E43" s="174">
        <f t="shared" si="3"/>
        <v>28</v>
      </c>
    </row>
    <row r="44" spans="1:5" x14ac:dyDescent="0.25">
      <c r="A44" s="170">
        <f t="shared" si="2"/>
        <v>29</v>
      </c>
      <c r="B44" s="180"/>
      <c r="C44" s="253"/>
      <c r="D44" s="256"/>
      <c r="E44" s="174">
        <f t="shared" si="3"/>
        <v>29</v>
      </c>
    </row>
    <row r="45" spans="1:5" x14ac:dyDescent="0.25">
      <c r="A45" s="170">
        <f t="shared" si="2"/>
        <v>30</v>
      </c>
      <c r="B45" s="180" t="str">
        <f>B22</f>
        <v>Section 5 - Interest True-Up Adjustment Cost Component</v>
      </c>
      <c r="C45" s="399">
        <f>C22/12</f>
        <v>4.1532757689829225</v>
      </c>
      <c r="D45" s="247" t="str">
        <f>"Line "&amp;A22&amp;" / "&amp;C51&amp;" Months"</f>
        <v>Line 11 / 12 Months</v>
      </c>
      <c r="E45" s="174">
        <f t="shared" si="3"/>
        <v>30</v>
      </c>
    </row>
    <row r="46" spans="1:5" x14ac:dyDescent="0.25">
      <c r="A46" s="170">
        <f t="shared" si="2"/>
        <v>31</v>
      </c>
      <c r="B46" s="195"/>
      <c r="C46" s="223"/>
      <c r="D46" s="257"/>
      <c r="E46" s="174">
        <f t="shared" si="3"/>
        <v>31</v>
      </c>
    </row>
    <row r="47" spans="1:5" x14ac:dyDescent="0.25">
      <c r="A47" s="170">
        <f t="shared" si="2"/>
        <v>32</v>
      </c>
      <c r="B47" s="189" t="str">
        <f>B26</f>
        <v>Other Adjustments</v>
      </c>
      <c r="C47" s="559">
        <f>C26/12</f>
        <v>0</v>
      </c>
      <c r="D47" s="247" t="str">
        <f>"Line "&amp;A26&amp;" / "&amp;C51&amp;" Months"</f>
        <v>Line 15 / 12 Months</v>
      </c>
      <c r="E47" s="174">
        <f t="shared" si="3"/>
        <v>32</v>
      </c>
    </row>
    <row r="48" spans="1:5" x14ac:dyDescent="0.25">
      <c r="A48" s="170">
        <f t="shared" si="2"/>
        <v>33</v>
      </c>
      <c r="B48" s="191"/>
      <c r="C48" s="223"/>
      <c r="D48" s="224"/>
      <c r="E48" s="174">
        <f t="shared" si="3"/>
        <v>33</v>
      </c>
    </row>
    <row r="49" spans="1:5" ht="16.5" thickBot="1" x14ac:dyDescent="0.3">
      <c r="A49" s="170">
        <f t="shared" si="2"/>
        <v>34</v>
      </c>
      <c r="B49" s="191" t="s">
        <v>185</v>
      </c>
      <c r="C49" s="395">
        <f>C41+C43+C45+C47</f>
        <v>469.78764800711076</v>
      </c>
      <c r="D49" s="194" t="str">
        <f>"Sum Lines "&amp;A41&amp;", "&amp;A43&amp;", "&amp;A45&amp;", "&amp;A47</f>
        <v>Sum Lines 26, 28, 30, 32</v>
      </c>
      <c r="E49" s="174">
        <f t="shared" si="3"/>
        <v>34</v>
      </c>
    </row>
    <row r="50" spans="1:5" ht="16.5" thickTop="1" x14ac:dyDescent="0.25">
      <c r="A50" s="170">
        <f t="shared" si="2"/>
        <v>35</v>
      </c>
      <c r="B50" s="210"/>
      <c r="C50" s="225"/>
      <c r="D50" s="258"/>
      <c r="E50" s="174">
        <f t="shared" si="3"/>
        <v>35</v>
      </c>
    </row>
    <row r="51" spans="1:5" x14ac:dyDescent="0.25">
      <c r="A51" s="170">
        <f t="shared" si="2"/>
        <v>36</v>
      </c>
      <c r="B51" s="184" t="s">
        <v>186</v>
      </c>
      <c r="C51" s="560">
        <v>12</v>
      </c>
      <c r="D51" s="258"/>
      <c r="E51" s="174">
        <f t="shared" si="3"/>
        <v>36</v>
      </c>
    </row>
    <row r="52" spans="1:5" x14ac:dyDescent="0.25">
      <c r="A52" s="170">
        <f t="shared" si="2"/>
        <v>37</v>
      </c>
      <c r="B52" s="210"/>
      <c r="C52" s="225"/>
      <c r="D52" s="259"/>
      <c r="E52" s="174">
        <f t="shared" si="3"/>
        <v>37</v>
      </c>
    </row>
    <row r="53" spans="1:5" ht="16.5" thickBot="1" x14ac:dyDescent="0.3">
      <c r="A53" s="170">
        <f t="shared" si="2"/>
        <v>38</v>
      </c>
      <c r="B53" s="192" t="str">
        <f>B28</f>
        <v>Total Annual Costs</v>
      </c>
      <c r="C53" s="400">
        <f>C49*C51</f>
        <v>5637.4517760853287</v>
      </c>
      <c r="D53" s="247" t="str">
        <f>"Line "&amp;A49&amp;" x Line "&amp;A51</f>
        <v>Line 34 x Line 36</v>
      </c>
      <c r="E53" s="174">
        <f t="shared" si="3"/>
        <v>38</v>
      </c>
    </row>
    <row r="54" spans="1:5" ht="17.25" thickTop="1" thickBot="1" x14ac:dyDescent="0.3">
      <c r="A54" s="170">
        <f t="shared" si="2"/>
        <v>39</v>
      </c>
      <c r="B54" s="169"/>
      <c r="C54" s="230"/>
      <c r="D54" s="260"/>
      <c r="E54" s="174">
        <f t="shared" si="3"/>
        <v>39</v>
      </c>
    </row>
  </sheetData>
  <mergeCells count="5">
    <mergeCell ref="B3:D3"/>
    <mergeCell ref="B4:D4"/>
    <mergeCell ref="B5:D5"/>
    <mergeCell ref="B6:D6"/>
    <mergeCell ref="B7:D7"/>
  </mergeCells>
  <printOptions horizontalCentered="1"/>
  <pageMargins left="0.25" right="0.25" top="0.5" bottom="0.5" header="0.35" footer="0.25"/>
  <pageSetup scale="68" orientation="portrait" r:id="rId1"/>
  <headerFooter scaleWithDoc="0" alignWithMargins="0">
    <oddHeader>&amp;C&amp;"Times New Roman,Bold"&amp;8AS FILED</oddHeader>
    <oddFooter>&amp;L&amp;F&amp;CPage 4.1&amp;R&amp;A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0"/>
  <sheetViews>
    <sheetView zoomScale="80" zoomScaleNormal="80" workbookViewId="0"/>
  </sheetViews>
  <sheetFormatPr defaultColWidth="8.7109375" defaultRowHeight="15.75" x14ac:dyDescent="0.25"/>
  <cols>
    <col min="1" max="1" width="5.140625" style="40" customWidth="1"/>
    <col min="2" max="2" width="90.5703125" style="20" customWidth="1"/>
    <col min="3" max="3" width="10.42578125" style="20" customWidth="1"/>
    <col min="4" max="4" width="1.5703125" style="20" customWidth="1"/>
    <col min="5" max="5" width="16.85546875" style="20" customWidth="1"/>
    <col min="6" max="6" width="1.5703125" style="20" customWidth="1"/>
    <col min="7" max="7" width="43.42578125" style="20" customWidth="1"/>
    <col min="8" max="8" width="5.140625" style="39" customWidth="1"/>
    <col min="9" max="9" width="8.7109375" style="20"/>
    <col min="10" max="10" width="9.85546875" style="20" customWidth="1"/>
    <col min="11" max="16384" width="8.7109375" style="20"/>
  </cols>
  <sheetData>
    <row r="1" spans="1:8" x14ac:dyDescent="0.25">
      <c r="A1" s="410"/>
      <c r="B1" s="411"/>
      <c r="C1" s="411"/>
      <c r="D1" s="411"/>
      <c r="E1" s="412"/>
      <c r="F1" s="412"/>
      <c r="G1" s="656"/>
      <c r="H1" s="166"/>
    </row>
    <row r="2" spans="1:8" x14ac:dyDescent="0.25">
      <c r="A2" s="410"/>
      <c r="B2" s="770" t="s">
        <v>21</v>
      </c>
      <c r="C2" s="770"/>
      <c r="D2" s="770"/>
      <c r="E2" s="770"/>
      <c r="F2" s="770"/>
      <c r="G2" s="770"/>
      <c r="H2" s="166"/>
    </row>
    <row r="3" spans="1:8" x14ac:dyDescent="0.25">
      <c r="B3" s="770" t="s">
        <v>277</v>
      </c>
      <c r="C3" s="770"/>
      <c r="D3" s="770"/>
      <c r="E3" s="770"/>
      <c r="F3" s="770"/>
      <c r="G3" s="770"/>
      <c r="H3" s="410"/>
    </row>
    <row r="4" spans="1:8" x14ac:dyDescent="0.25">
      <c r="B4" s="770" t="s">
        <v>283</v>
      </c>
      <c r="C4" s="770"/>
      <c r="D4" s="770"/>
      <c r="E4" s="770"/>
      <c r="F4" s="770"/>
      <c r="G4" s="770"/>
      <c r="H4" s="410"/>
    </row>
    <row r="5" spans="1:8" x14ac:dyDescent="0.25">
      <c r="B5" s="771" t="s">
        <v>457</v>
      </c>
      <c r="C5" s="771"/>
      <c r="D5" s="771"/>
      <c r="E5" s="771"/>
      <c r="F5" s="771"/>
      <c r="G5" s="771"/>
      <c r="H5" s="410"/>
    </row>
    <row r="6" spans="1:8" x14ac:dyDescent="0.25">
      <c r="B6" s="768" t="s">
        <v>1</v>
      </c>
      <c r="C6" s="768"/>
      <c r="D6" s="768"/>
      <c r="E6" s="768"/>
      <c r="F6" s="768"/>
      <c r="G6" s="768"/>
      <c r="H6" s="413"/>
    </row>
    <row r="7" spans="1:8" x14ac:dyDescent="0.25">
      <c r="A7" s="414"/>
      <c r="B7" s="652"/>
      <c r="C7" s="652"/>
      <c r="D7" s="652"/>
      <c r="E7" s="652"/>
      <c r="F7" s="652"/>
      <c r="G7" s="412"/>
      <c r="H7" s="166"/>
    </row>
    <row r="8" spans="1:8" x14ac:dyDescent="0.25">
      <c r="A8" s="415" t="s">
        <v>2</v>
      </c>
      <c r="B8" s="411"/>
      <c r="C8" s="411"/>
      <c r="D8" s="411"/>
      <c r="E8" s="652"/>
      <c r="F8" s="652"/>
      <c r="G8" s="411"/>
      <c r="H8" s="415" t="s">
        <v>2</v>
      </c>
    </row>
    <row r="9" spans="1:8" x14ac:dyDescent="0.25">
      <c r="A9" s="415" t="s">
        <v>6</v>
      </c>
      <c r="B9" s="411"/>
      <c r="C9" s="411"/>
      <c r="D9" s="411"/>
      <c r="E9" s="657" t="s">
        <v>4</v>
      </c>
      <c r="F9" s="416"/>
      <c r="G9" s="657" t="s">
        <v>5</v>
      </c>
      <c r="H9" s="415" t="s">
        <v>6</v>
      </c>
    </row>
    <row r="10" spans="1:8" x14ac:dyDescent="0.25">
      <c r="A10" s="415"/>
      <c r="B10" s="411"/>
      <c r="C10" s="411"/>
      <c r="D10" s="411"/>
      <c r="E10" s="652"/>
      <c r="F10" s="416"/>
      <c r="G10" s="652"/>
      <c r="H10" s="415"/>
    </row>
    <row r="11" spans="1:8" x14ac:dyDescent="0.25">
      <c r="A11" s="415">
        <v>1</v>
      </c>
      <c r="B11" s="417" t="s">
        <v>284</v>
      </c>
      <c r="C11" s="417"/>
      <c r="D11" s="417"/>
      <c r="E11" s="412"/>
      <c r="F11" s="412"/>
      <c r="G11" s="652"/>
      <c r="H11" s="415">
        <f>A11</f>
        <v>1</v>
      </c>
    </row>
    <row r="12" spans="1:8" x14ac:dyDescent="0.25">
      <c r="A12" s="415">
        <f>A11+1</f>
        <v>2</v>
      </c>
      <c r="B12" s="418" t="s">
        <v>285</v>
      </c>
      <c r="C12" s="419"/>
      <c r="D12" s="419"/>
      <c r="E12" s="424">
        <f>E54</f>
        <v>8.4018398950358938E-3</v>
      </c>
      <c r="F12" s="27"/>
      <c r="G12" s="421" t="str">
        <f>"Page 2; Line "&amp;A54</f>
        <v>Page 2; Line 6</v>
      </c>
      <c r="H12" s="415">
        <f>H11+1</f>
        <v>2</v>
      </c>
    </row>
    <row r="13" spans="1:8" x14ac:dyDescent="0.25">
      <c r="A13" s="415">
        <f t="shared" ref="A13:A35" si="0">A12+1</f>
        <v>3</v>
      </c>
      <c r="B13" s="411"/>
      <c r="C13" s="422"/>
      <c r="D13" s="422"/>
      <c r="E13" s="423"/>
      <c r="F13" s="416"/>
      <c r="G13" s="421"/>
      <c r="H13" s="415">
        <f t="shared" ref="H13:H35" si="1">H12+1</f>
        <v>3</v>
      </c>
    </row>
    <row r="14" spans="1:8" x14ac:dyDescent="0.25">
      <c r="A14" s="415">
        <f t="shared" si="0"/>
        <v>4</v>
      </c>
      <c r="B14" s="418" t="s">
        <v>286</v>
      </c>
      <c r="C14" s="419"/>
      <c r="D14" s="419"/>
      <c r="E14" s="424">
        <f>E59</f>
        <v>7.8311887126803759E-3</v>
      </c>
      <c r="F14" s="27"/>
      <c r="G14" s="421" t="str">
        <f>"Page 2; Line "&amp;A59</f>
        <v>Page 2; Line 11</v>
      </c>
      <c r="H14" s="415">
        <f t="shared" si="1"/>
        <v>4</v>
      </c>
    </row>
    <row r="15" spans="1:8" x14ac:dyDescent="0.25">
      <c r="A15" s="415">
        <f t="shared" si="0"/>
        <v>5</v>
      </c>
      <c r="B15" s="412"/>
      <c r="C15" s="414"/>
      <c r="D15" s="414"/>
      <c r="E15" s="426"/>
      <c r="F15" s="427"/>
      <c r="G15" s="421"/>
      <c r="H15" s="415">
        <f t="shared" si="1"/>
        <v>5</v>
      </c>
    </row>
    <row r="16" spans="1:8" x14ac:dyDescent="0.25">
      <c r="A16" s="415">
        <f t="shared" si="0"/>
        <v>6</v>
      </c>
      <c r="B16" s="412" t="s">
        <v>287</v>
      </c>
      <c r="C16" s="414"/>
      <c r="D16" s="414"/>
      <c r="E16" s="424">
        <f>E64</f>
        <v>9.8675808260498075E-3</v>
      </c>
      <c r="F16" s="427"/>
      <c r="G16" s="421" t="str">
        <f>"Page 2; Line "&amp;A64</f>
        <v>Page 2; Line 16</v>
      </c>
      <c r="H16" s="415">
        <f t="shared" si="1"/>
        <v>6</v>
      </c>
    </row>
    <row r="17" spans="1:8" x14ac:dyDescent="0.25">
      <c r="A17" s="415">
        <f t="shared" si="0"/>
        <v>7</v>
      </c>
      <c r="B17" s="412"/>
      <c r="C17" s="414"/>
      <c r="D17" s="414"/>
      <c r="E17" s="426"/>
      <c r="F17" s="427"/>
      <c r="G17" s="421"/>
      <c r="H17" s="415">
        <f t="shared" si="1"/>
        <v>7</v>
      </c>
    </row>
    <row r="18" spans="1:8" x14ac:dyDescent="0.25">
      <c r="A18" s="415">
        <f t="shared" si="0"/>
        <v>8</v>
      </c>
      <c r="B18" s="418" t="s">
        <v>288</v>
      </c>
      <c r="C18" s="419"/>
      <c r="D18" s="419"/>
      <c r="E18" s="424">
        <f>E69</f>
        <v>2.7191790349101279E-4</v>
      </c>
      <c r="F18" s="425"/>
      <c r="G18" s="421" t="str">
        <f>"Page 2; Line "&amp;A69</f>
        <v>Page 2; Line 21</v>
      </c>
      <c r="H18" s="415">
        <f t="shared" si="1"/>
        <v>8</v>
      </c>
    </row>
    <row r="19" spans="1:8" x14ac:dyDescent="0.25">
      <c r="A19" s="415">
        <f t="shared" si="0"/>
        <v>9</v>
      </c>
      <c r="B19" s="411"/>
      <c r="C19" s="422"/>
      <c r="D19" s="422"/>
      <c r="E19" s="423"/>
      <c r="F19" s="416"/>
      <c r="G19" s="421"/>
      <c r="H19" s="415">
        <f t="shared" si="1"/>
        <v>9</v>
      </c>
    </row>
    <row r="20" spans="1:8" x14ac:dyDescent="0.25">
      <c r="A20" s="415">
        <f t="shared" si="0"/>
        <v>10</v>
      </c>
      <c r="B20" s="418" t="s">
        <v>289</v>
      </c>
      <c r="C20" s="422"/>
      <c r="D20" s="422"/>
      <c r="E20" s="424">
        <f>E82</f>
        <v>1.7555393228983276E-3</v>
      </c>
      <c r="F20" s="416"/>
      <c r="G20" s="421" t="str">
        <f>"Page 2; Line "&amp;A82</f>
        <v>Page 2; Line 34</v>
      </c>
      <c r="H20" s="415">
        <f t="shared" si="1"/>
        <v>10</v>
      </c>
    </row>
    <row r="21" spans="1:8" x14ac:dyDescent="0.25">
      <c r="A21" s="415">
        <f t="shared" si="0"/>
        <v>11</v>
      </c>
      <c r="B21" s="411"/>
      <c r="C21" s="422"/>
      <c r="D21" s="422"/>
      <c r="E21" s="423"/>
      <c r="F21" s="416"/>
      <c r="G21" s="421"/>
      <c r="H21" s="415">
        <f t="shared" si="1"/>
        <v>11</v>
      </c>
    </row>
    <row r="22" spans="1:8" x14ac:dyDescent="0.25">
      <c r="A22" s="415">
        <f t="shared" si="0"/>
        <v>12</v>
      </c>
      <c r="B22" s="418" t="s">
        <v>290</v>
      </c>
      <c r="C22" s="419"/>
      <c r="D22" s="419"/>
      <c r="E22" s="424">
        <f>E99</f>
        <v>4.136608799004524E-3</v>
      </c>
      <c r="F22" s="425"/>
      <c r="G22" s="421" t="str">
        <f>"Page 2; Line "&amp;A99</f>
        <v>Page 2; Line 51</v>
      </c>
      <c r="H22" s="415">
        <f t="shared" si="1"/>
        <v>12</v>
      </c>
    </row>
    <row r="23" spans="1:8" x14ac:dyDescent="0.25">
      <c r="A23" s="415">
        <f t="shared" si="0"/>
        <v>13</v>
      </c>
      <c r="B23" s="428"/>
      <c r="C23" s="429"/>
      <c r="D23" s="429"/>
      <c r="E23" s="430"/>
      <c r="F23" s="431"/>
      <c r="G23" s="421"/>
      <c r="H23" s="415">
        <f t="shared" si="1"/>
        <v>13</v>
      </c>
    </row>
    <row r="24" spans="1:8" x14ac:dyDescent="0.25">
      <c r="A24" s="415">
        <f t="shared" si="0"/>
        <v>14</v>
      </c>
      <c r="B24" s="418" t="s">
        <v>291</v>
      </c>
      <c r="C24" s="419"/>
      <c r="D24" s="419"/>
      <c r="E24" s="432">
        <f>SUM(E12:E22)</f>
        <v>3.2264675459159939E-2</v>
      </c>
      <c r="F24" s="27" t="s">
        <v>16</v>
      </c>
      <c r="G24" s="421" t="str">
        <f>"Sum Lines "&amp;A12&amp;" thru "&amp;A22&amp;""</f>
        <v>Sum Lines 2 thru 12</v>
      </c>
      <c r="H24" s="415">
        <f t="shared" si="1"/>
        <v>14</v>
      </c>
    </row>
    <row r="25" spans="1:8" x14ac:dyDescent="0.25">
      <c r="A25" s="415">
        <f t="shared" si="0"/>
        <v>15</v>
      </c>
      <c r="B25" s="411"/>
      <c r="C25" s="422"/>
      <c r="D25" s="422"/>
      <c r="E25" s="433"/>
      <c r="F25" s="434"/>
      <c r="G25" s="421"/>
      <c r="H25" s="415">
        <f t="shared" si="1"/>
        <v>15</v>
      </c>
    </row>
    <row r="26" spans="1:8" x14ac:dyDescent="0.25">
      <c r="A26" s="415">
        <f t="shared" si="0"/>
        <v>16</v>
      </c>
      <c r="B26" s="412" t="s">
        <v>292</v>
      </c>
      <c r="C26" s="435">
        <v>1.0274999999999999E-2</v>
      </c>
      <c r="D26" s="422"/>
      <c r="E26" s="436">
        <f>E24*C26</f>
        <v>3.3151954034286833E-4</v>
      </c>
      <c r="F26" s="437"/>
      <c r="G26" s="421" t="str">
        <f>"Line "&amp;A24&amp;" x Franchise Fee Rate"</f>
        <v>Line 14 x Franchise Fee Rate</v>
      </c>
      <c r="H26" s="415">
        <f t="shared" si="1"/>
        <v>16</v>
      </c>
    </row>
    <row r="27" spans="1:8" x14ac:dyDescent="0.25">
      <c r="A27" s="415">
        <f t="shared" si="0"/>
        <v>17</v>
      </c>
      <c r="B27" s="411"/>
      <c r="C27" s="422"/>
      <c r="D27" s="422"/>
      <c r="E27" s="438"/>
      <c r="F27" s="439"/>
      <c r="G27" s="421"/>
      <c r="H27" s="415">
        <f t="shared" si="1"/>
        <v>17</v>
      </c>
    </row>
    <row r="28" spans="1:8" ht="16.5" thickBot="1" x14ac:dyDescent="0.3">
      <c r="A28" s="415">
        <f t="shared" si="0"/>
        <v>18</v>
      </c>
      <c r="B28" s="411" t="s">
        <v>293</v>
      </c>
      <c r="C28" s="422"/>
      <c r="D28" s="422"/>
      <c r="E28" s="742">
        <f>E24+E26</f>
        <v>3.2596194999502809E-2</v>
      </c>
      <c r="F28" s="27"/>
      <c r="G28" s="421" t="str">
        <f>"Line "&amp;A24&amp;" + Line "&amp;A26</f>
        <v>Line 14 + Line 16</v>
      </c>
      <c r="H28" s="415">
        <f t="shared" si="1"/>
        <v>18</v>
      </c>
    </row>
    <row r="29" spans="1:8" ht="16.5" thickTop="1" x14ac:dyDescent="0.25">
      <c r="A29" s="415">
        <f t="shared" si="0"/>
        <v>19</v>
      </c>
      <c r="B29" s="412"/>
      <c r="C29" s="414"/>
      <c r="D29" s="414"/>
      <c r="E29" s="422"/>
      <c r="F29" s="411"/>
      <c r="G29" s="411"/>
      <c r="H29" s="415">
        <f t="shared" si="1"/>
        <v>19</v>
      </c>
    </row>
    <row r="30" spans="1:8" x14ac:dyDescent="0.25">
      <c r="A30" s="415">
        <f t="shared" si="0"/>
        <v>20</v>
      </c>
      <c r="B30" s="417" t="s">
        <v>294</v>
      </c>
      <c r="C30" s="441"/>
      <c r="D30" s="441"/>
      <c r="E30" s="414"/>
      <c r="F30" s="412"/>
      <c r="G30" s="411"/>
      <c r="H30" s="415">
        <f t="shared" si="1"/>
        <v>20</v>
      </c>
    </row>
    <row r="31" spans="1:8" x14ac:dyDescent="0.25">
      <c r="A31" s="415">
        <f t="shared" si="0"/>
        <v>21</v>
      </c>
      <c r="B31" s="418" t="s">
        <v>431</v>
      </c>
      <c r="C31" s="419"/>
      <c r="D31" s="419"/>
      <c r="E31" s="298">
        <v>85194</v>
      </c>
      <c r="F31" s="416"/>
      <c r="G31" s="421" t="s">
        <v>295</v>
      </c>
      <c r="H31" s="415">
        <f t="shared" si="1"/>
        <v>21</v>
      </c>
    </row>
    <row r="32" spans="1:8" x14ac:dyDescent="0.25">
      <c r="A32" s="415">
        <f t="shared" si="0"/>
        <v>22</v>
      </c>
      <c r="B32" s="418"/>
      <c r="C32" s="419"/>
      <c r="D32" s="419"/>
      <c r="E32" s="419"/>
      <c r="F32" s="418"/>
      <c r="G32" s="421"/>
      <c r="H32" s="415">
        <f t="shared" si="1"/>
        <v>22</v>
      </c>
    </row>
    <row r="33" spans="1:10" x14ac:dyDescent="0.25">
      <c r="A33" s="415">
        <f t="shared" si="0"/>
        <v>23</v>
      </c>
      <c r="B33" s="418" t="s">
        <v>296</v>
      </c>
      <c r="C33" s="419"/>
      <c r="D33" s="419"/>
      <c r="E33" s="741">
        <f>+E28</f>
        <v>3.2596194999502809E-2</v>
      </c>
      <c r="F33" s="27"/>
      <c r="G33" s="421" t="str">
        <f>"Line "&amp;A28&amp;" Above"</f>
        <v>Line 18 Above</v>
      </c>
      <c r="H33" s="415">
        <f t="shared" si="1"/>
        <v>23</v>
      </c>
    </row>
    <row r="34" spans="1:10" x14ac:dyDescent="0.25">
      <c r="A34" s="415">
        <f t="shared" si="0"/>
        <v>24</v>
      </c>
      <c r="B34" s="411"/>
      <c r="C34" s="422"/>
      <c r="D34" s="422"/>
      <c r="E34" s="442"/>
      <c r="F34" s="443"/>
      <c r="G34" s="421"/>
      <c r="H34" s="415">
        <f t="shared" si="1"/>
        <v>24</v>
      </c>
    </row>
    <row r="35" spans="1:10" ht="16.5" thickBot="1" x14ac:dyDescent="0.3">
      <c r="A35" s="415">
        <f t="shared" si="0"/>
        <v>25</v>
      </c>
      <c r="B35" s="411" t="s">
        <v>297</v>
      </c>
      <c r="C35" s="419"/>
      <c r="D35" s="419"/>
      <c r="E35" s="444">
        <f>E31*E33</f>
        <v>2777.0002367876423</v>
      </c>
      <c r="F35" s="27" t="s">
        <v>16</v>
      </c>
      <c r="G35" s="421" t="str">
        <f>"Line "&amp;A31&amp;" x Line "&amp;A33</f>
        <v>Line 21 x Line 23</v>
      </c>
      <c r="H35" s="415">
        <f t="shared" si="1"/>
        <v>25</v>
      </c>
      <c r="J35" s="655"/>
    </row>
    <row r="36" spans="1:10" ht="16.5" thickTop="1" x14ac:dyDescent="0.25">
      <c r="A36" s="415"/>
      <c r="B36" s="411"/>
      <c r="C36" s="418"/>
      <c r="D36" s="418"/>
      <c r="E36" s="445"/>
      <c r="F36" s="446"/>
      <c r="G36" s="421"/>
      <c r="H36" s="415"/>
    </row>
    <row r="37" spans="1:10" x14ac:dyDescent="0.25">
      <c r="A37" s="27" t="s">
        <v>16</v>
      </c>
      <c r="B37" s="25" t="s">
        <v>614</v>
      </c>
      <c r="C37" s="411"/>
      <c r="D37" s="411"/>
      <c r="E37" s="428"/>
      <c r="F37" s="428"/>
      <c r="G37" s="412"/>
      <c r="H37" s="166"/>
    </row>
    <row r="38" spans="1:10" x14ac:dyDescent="0.25">
      <c r="A38" s="27"/>
      <c r="B38" s="25" t="s">
        <v>629</v>
      </c>
      <c r="C38" s="411"/>
      <c r="D38" s="411"/>
      <c r="E38" s="428"/>
      <c r="F38" s="428"/>
      <c r="G38" s="412"/>
      <c r="H38" s="166"/>
    </row>
    <row r="39" spans="1:10" x14ac:dyDescent="0.25">
      <c r="A39" s="27"/>
      <c r="B39" s="25"/>
      <c r="C39" s="411"/>
      <c r="D39" s="411"/>
      <c r="E39" s="428"/>
      <c r="F39" s="428"/>
      <c r="G39" s="412"/>
      <c r="H39" s="166"/>
    </row>
    <row r="40" spans="1:10" x14ac:dyDescent="0.25">
      <c r="A40" s="414"/>
      <c r="B40" s="769" t="str">
        <f>B2</f>
        <v>SAN DIEGO GAS &amp; ELECTRIC COMPANY</v>
      </c>
      <c r="C40" s="769"/>
      <c r="D40" s="769"/>
      <c r="E40" s="769"/>
      <c r="F40" s="769"/>
      <c r="G40" s="769"/>
      <c r="H40" s="166"/>
    </row>
    <row r="41" spans="1:10" x14ac:dyDescent="0.25">
      <c r="B41" s="769" t="str">
        <f>B3</f>
        <v>CITIZENS' SHARE OF THE BORDER EAST LINE</v>
      </c>
      <c r="C41" s="769"/>
      <c r="D41" s="769"/>
      <c r="E41" s="769"/>
      <c r="F41" s="769"/>
      <c r="G41" s="769"/>
      <c r="H41" s="429"/>
    </row>
    <row r="42" spans="1:10" x14ac:dyDescent="0.25">
      <c r="B42" s="770" t="str">
        <f>B4</f>
        <v xml:space="preserve">Section 2 - Non-Direct Expense Cost Component </v>
      </c>
      <c r="C42" s="770"/>
      <c r="D42" s="770"/>
      <c r="E42" s="770"/>
      <c r="F42" s="770"/>
      <c r="G42" s="770"/>
      <c r="H42" s="422"/>
    </row>
    <row r="43" spans="1:10" x14ac:dyDescent="0.25">
      <c r="B43" s="771" t="str">
        <f>B5</f>
        <v>Base Period &amp; True-Up Period 12 - Months Ending December 31, 2019</v>
      </c>
      <c r="C43" s="771"/>
      <c r="D43" s="771"/>
      <c r="E43" s="771"/>
      <c r="F43" s="771"/>
      <c r="G43" s="771"/>
      <c r="H43" s="422"/>
    </row>
    <row r="44" spans="1:10" x14ac:dyDescent="0.25">
      <c r="B44" s="768" t="str">
        <f>B6</f>
        <v>($1,000)</v>
      </c>
      <c r="C44" s="765"/>
      <c r="D44" s="765"/>
      <c r="E44" s="765"/>
      <c r="F44" s="765"/>
      <c r="G44" s="765"/>
      <c r="H44" s="93"/>
    </row>
    <row r="45" spans="1:10" x14ac:dyDescent="0.25">
      <c r="A45" s="447"/>
      <c r="B45" s="411"/>
      <c r="C45" s="411"/>
      <c r="D45" s="411"/>
      <c r="E45" s="411"/>
      <c r="F45" s="411"/>
      <c r="G45" s="411"/>
      <c r="H45" s="166"/>
    </row>
    <row r="46" spans="1:10" x14ac:dyDescent="0.25">
      <c r="A46" s="415" t="s">
        <v>2</v>
      </c>
      <c r="B46" s="411"/>
      <c r="C46" s="411"/>
      <c r="D46" s="411"/>
      <c r="E46" s="652"/>
      <c r="F46" s="652"/>
      <c r="G46" s="411"/>
      <c r="H46" s="415" t="s">
        <v>2</v>
      </c>
    </row>
    <row r="47" spans="1:10" x14ac:dyDescent="0.25">
      <c r="A47" s="415" t="s">
        <v>6</v>
      </c>
      <c r="B47" s="411"/>
      <c r="C47" s="411"/>
      <c r="D47" s="411"/>
      <c r="E47" s="657" t="s">
        <v>4</v>
      </c>
      <c r="F47" s="421"/>
      <c r="G47" s="657" t="s">
        <v>5</v>
      </c>
      <c r="H47" s="415" t="s">
        <v>6</v>
      </c>
    </row>
    <row r="48" spans="1:10" x14ac:dyDescent="0.25">
      <c r="A48" s="415"/>
      <c r="B48" s="411"/>
      <c r="C48" s="411"/>
      <c r="D48" s="411"/>
      <c r="E48" s="652"/>
      <c r="F48" s="652"/>
      <c r="G48" s="411"/>
      <c r="H48" s="415"/>
    </row>
    <row r="49" spans="1:10" x14ac:dyDescent="0.25">
      <c r="A49" s="415">
        <v>1</v>
      </c>
      <c r="B49" s="448" t="s">
        <v>298</v>
      </c>
      <c r="C49" s="448"/>
      <c r="D49" s="448"/>
      <c r="E49" s="738">
        <f>'Pg12 Rev AV-4 '!C16</f>
        <v>5088136.5527160363</v>
      </c>
      <c r="F49" s="27"/>
      <c r="G49" s="421" t="s">
        <v>620</v>
      </c>
      <c r="H49" s="415">
        <f>A49</f>
        <v>1</v>
      </c>
    </row>
    <row r="50" spans="1:10" x14ac:dyDescent="0.25">
      <c r="A50" s="415">
        <f>A49+1</f>
        <v>2</v>
      </c>
      <c r="B50" s="411"/>
      <c r="C50" s="411"/>
      <c r="D50" s="411"/>
      <c r="E50" s="410"/>
      <c r="F50" s="652"/>
      <c r="G50" s="411"/>
      <c r="H50" s="415">
        <f>H49+1</f>
        <v>2</v>
      </c>
    </row>
    <row r="51" spans="1:10" x14ac:dyDescent="0.25">
      <c r="A51" s="415">
        <f t="shared" ref="A51:A99" si="2">A50+1</f>
        <v>3</v>
      </c>
      <c r="B51" s="417" t="s">
        <v>299</v>
      </c>
      <c r="C51" s="417"/>
      <c r="D51" s="417"/>
      <c r="E51" s="449"/>
      <c r="F51" s="450"/>
      <c r="G51" s="411"/>
      <c r="H51" s="415">
        <f t="shared" ref="H51:H99" si="3">H50+1</f>
        <v>3</v>
      </c>
    </row>
    <row r="52" spans="1:10" x14ac:dyDescent="0.25">
      <c r="A52" s="415">
        <f t="shared" si="2"/>
        <v>4</v>
      </c>
      <c r="B52" s="418" t="s">
        <v>300</v>
      </c>
      <c r="C52" s="418"/>
      <c r="D52" s="418"/>
      <c r="E52" s="739">
        <f>'Pg8 Rev Stmt AH'!E28</f>
        <v>42749.708679999996</v>
      </c>
      <c r="F52" s="27"/>
      <c r="G52" s="421" t="s">
        <v>621</v>
      </c>
      <c r="H52" s="415">
        <f t="shared" si="3"/>
        <v>4</v>
      </c>
      <c r="J52" s="452"/>
    </row>
    <row r="53" spans="1:10" x14ac:dyDescent="0.25">
      <c r="A53" s="415">
        <f t="shared" si="2"/>
        <v>5</v>
      </c>
      <c r="B53" s="418"/>
      <c r="C53" s="418"/>
      <c r="D53" s="418"/>
      <c r="E53" s="299"/>
      <c r="F53" s="453"/>
      <c r="G53" s="421"/>
      <c r="H53" s="415">
        <f t="shared" si="3"/>
        <v>5</v>
      </c>
      <c r="J53" s="452"/>
    </row>
    <row r="54" spans="1:10" x14ac:dyDescent="0.25">
      <c r="A54" s="415">
        <f t="shared" si="2"/>
        <v>6</v>
      </c>
      <c r="B54" s="418" t="s">
        <v>301</v>
      </c>
      <c r="C54" s="411"/>
      <c r="D54" s="411"/>
      <c r="E54" s="740">
        <f>E52/E49</f>
        <v>8.4018398950358938E-3</v>
      </c>
      <c r="F54" s="27"/>
      <c r="G54" s="421" t="s">
        <v>460</v>
      </c>
      <c r="H54" s="415">
        <f t="shared" si="3"/>
        <v>6</v>
      </c>
      <c r="J54" s="452"/>
    </row>
    <row r="55" spans="1:10" x14ac:dyDescent="0.25">
      <c r="A55" s="415">
        <f t="shared" si="2"/>
        <v>7</v>
      </c>
      <c r="B55" s="418"/>
      <c r="C55" s="418"/>
      <c r="D55" s="418"/>
      <c r="E55" s="456"/>
      <c r="F55" s="457"/>
      <c r="G55" s="421"/>
      <c r="H55" s="415">
        <f t="shared" si="3"/>
        <v>7</v>
      </c>
    </row>
    <row r="56" spans="1:10" x14ac:dyDescent="0.25">
      <c r="A56" s="415">
        <f t="shared" si="2"/>
        <v>8</v>
      </c>
      <c r="B56" s="417" t="s">
        <v>302</v>
      </c>
      <c r="C56" s="417"/>
      <c r="D56" s="417"/>
      <c r="E56" s="458"/>
      <c r="F56" s="459"/>
      <c r="G56" s="460"/>
      <c r="H56" s="415">
        <f t="shared" si="3"/>
        <v>8</v>
      </c>
    </row>
    <row r="57" spans="1:10" x14ac:dyDescent="0.25">
      <c r="A57" s="415">
        <f t="shared" si="2"/>
        <v>9</v>
      </c>
      <c r="B57" s="418" t="s">
        <v>303</v>
      </c>
      <c r="C57" s="418"/>
      <c r="D57" s="418"/>
      <c r="E57" s="461">
        <f>'Pg8 Rev Stmt AH'!E52</f>
        <v>39846.157540206259</v>
      </c>
      <c r="F57" s="27" t="s">
        <v>16</v>
      </c>
      <c r="G57" s="421" t="s">
        <v>622</v>
      </c>
      <c r="H57" s="415">
        <f t="shared" si="3"/>
        <v>9</v>
      </c>
    </row>
    <row r="58" spans="1:10" x14ac:dyDescent="0.25">
      <c r="A58" s="415">
        <f t="shared" si="2"/>
        <v>10</v>
      </c>
      <c r="B58" s="411"/>
      <c r="C58" s="411"/>
      <c r="D58" s="411"/>
      <c r="E58" s="458"/>
      <c r="F58" s="459"/>
      <c r="G58" s="421"/>
      <c r="H58" s="415">
        <f t="shared" si="3"/>
        <v>10</v>
      </c>
    </row>
    <row r="59" spans="1:10" x14ac:dyDescent="0.25">
      <c r="A59" s="415">
        <f t="shared" si="2"/>
        <v>11</v>
      </c>
      <c r="B59" s="462" t="s">
        <v>304</v>
      </c>
      <c r="C59" s="460"/>
      <c r="D59" s="460"/>
      <c r="E59" s="740">
        <f>E57/E49</f>
        <v>7.8311887126803759E-3</v>
      </c>
      <c r="F59" s="27"/>
      <c r="G59" s="421" t="s">
        <v>462</v>
      </c>
      <c r="H59" s="415">
        <f t="shared" si="3"/>
        <v>11</v>
      </c>
    </row>
    <row r="60" spans="1:10" x14ac:dyDescent="0.25">
      <c r="A60" s="415">
        <f t="shared" si="2"/>
        <v>12</v>
      </c>
      <c r="B60" s="460"/>
      <c r="C60" s="460"/>
      <c r="D60" s="460"/>
      <c r="E60" s="463"/>
      <c r="F60" s="464"/>
      <c r="G60" s="421"/>
      <c r="H60" s="415">
        <f t="shared" si="3"/>
        <v>12</v>
      </c>
    </row>
    <row r="61" spans="1:10" x14ac:dyDescent="0.25">
      <c r="A61" s="415">
        <f t="shared" si="2"/>
        <v>13</v>
      </c>
      <c r="B61" s="417" t="s">
        <v>305</v>
      </c>
      <c r="C61" s="460"/>
      <c r="D61" s="460"/>
      <c r="E61" s="463"/>
      <c r="F61" s="464"/>
      <c r="G61" s="421"/>
      <c r="H61" s="415">
        <f t="shared" si="3"/>
        <v>13</v>
      </c>
    </row>
    <row r="62" spans="1:10" x14ac:dyDescent="0.25">
      <c r="A62" s="415">
        <f t="shared" si="2"/>
        <v>14</v>
      </c>
      <c r="B62" s="462" t="s">
        <v>287</v>
      </c>
      <c r="C62" s="460"/>
      <c r="D62" s="460"/>
      <c r="E62" s="465">
        <v>50207.598687903926</v>
      </c>
      <c r="F62" s="464"/>
      <c r="G62" s="421" t="s">
        <v>463</v>
      </c>
      <c r="H62" s="415">
        <f t="shared" si="3"/>
        <v>14</v>
      </c>
    </row>
    <row r="63" spans="1:10" x14ac:dyDescent="0.25">
      <c r="A63" s="415">
        <f t="shared" si="2"/>
        <v>15</v>
      </c>
      <c r="B63" s="460"/>
      <c r="C63" s="460"/>
      <c r="D63" s="460"/>
      <c r="E63" s="458"/>
      <c r="F63" s="464"/>
      <c r="G63" s="421"/>
      <c r="H63" s="415">
        <f t="shared" si="3"/>
        <v>15</v>
      </c>
    </row>
    <row r="64" spans="1:10" x14ac:dyDescent="0.25">
      <c r="A64" s="415">
        <f t="shared" si="2"/>
        <v>16</v>
      </c>
      <c r="B64" s="462" t="s">
        <v>306</v>
      </c>
      <c r="C64" s="460"/>
      <c r="D64" s="460"/>
      <c r="E64" s="454">
        <f>E62/E49</f>
        <v>9.8675808260498075E-3</v>
      </c>
      <c r="F64" s="464"/>
      <c r="G64" s="421" t="s">
        <v>464</v>
      </c>
      <c r="H64" s="415">
        <f t="shared" si="3"/>
        <v>16</v>
      </c>
    </row>
    <row r="65" spans="1:10" x14ac:dyDescent="0.25">
      <c r="A65" s="415">
        <f t="shared" si="2"/>
        <v>17</v>
      </c>
      <c r="B65" s="460"/>
      <c r="C65" s="460"/>
      <c r="D65" s="460"/>
      <c r="E65" s="463"/>
      <c r="F65" s="464"/>
      <c r="G65" s="421"/>
      <c r="H65" s="415">
        <f t="shared" si="3"/>
        <v>17</v>
      </c>
    </row>
    <row r="66" spans="1:10" x14ac:dyDescent="0.25">
      <c r="A66" s="415">
        <f t="shared" si="2"/>
        <v>18</v>
      </c>
      <c r="B66" s="417" t="s">
        <v>307</v>
      </c>
      <c r="C66" s="417"/>
      <c r="D66" s="417"/>
      <c r="E66" s="463"/>
      <c r="F66" s="464"/>
      <c r="G66" s="421"/>
      <c r="H66" s="415">
        <f t="shared" si="3"/>
        <v>18</v>
      </c>
    </row>
    <row r="67" spans="1:10" x14ac:dyDescent="0.25">
      <c r="A67" s="415">
        <f t="shared" si="2"/>
        <v>19</v>
      </c>
      <c r="B67" s="418" t="s">
        <v>288</v>
      </c>
      <c r="C67" s="418"/>
      <c r="D67" s="418"/>
      <c r="E67" s="465">
        <v>1383.5554240905337</v>
      </c>
      <c r="F67" s="652"/>
      <c r="G67" s="421" t="s">
        <v>465</v>
      </c>
      <c r="H67" s="415">
        <f t="shared" si="3"/>
        <v>19</v>
      </c>
    </row>
    <row r="68" spans="1:10" x14ac:dyDescent="0.25">
      <c r="A68" s="415">
        <f t="shared" si="2"/>
        <v>20</v>
      </c>
      <c r="B68" s="460"/>
      <c r="C68" s="460"/>
      <c r="D68" s="460"/>
      <c r="E68" s="463"/>
      <c r="F68" s="464"/>
      <c r="G68" s="421"/>
      <c r="H68" s="415">
        <f t="shared" si="3"/>
        <v>20</v>
      </c>
    </row>
    <row r="69" spans="1:10" x14ac:dyDescent="0.25">
      <c r="A69" s="415">
        <f t="shared" si="2"/>
        <v>21</v>
      </c>
      <c r="B69" s="462" t="s">
        <v>308</v>
      </c>
      <c r="C69" s="460"/>
      <c r="D69" s="460"/>
      <c r="E69" s="454">
        <f>E67/E49</f>
        <v>2.7191790349101279E-4</v>
      </c>
      <c r="F69" s="455"/>
      <c r="G69" s="421" t="s">
        <v>466</v>
      </c>
      <c r="H69" s="415">
        <f t="shared" si="3"/>
        <v>21</v>
      </c>
    </row>
    <row r="70" spans="1:10" x14ac:dyDescent="0.25">
      <c r="A70" s="415">
        <f t="shared" si="2"/>
        <v>22</v>
      </c>
      <c r="B70" s="460"/>
      <c r="C70" s="460"/>
      <c r="D70" s="460"/>
      <c r="E70" s="463"/>
      <c r="F70" s="464"/>
      <c r="G70" s="421"/>
      <c r="H70" s="415">
        <f t="shared" si="3"/>
        <v>22</v>
      </c>
    </row>
    <row r="71" spans="1:10" x14ac:dyDescent="0.25">
      <c r="A71" s="415">
        <f t="shared" si="2"/>
        <v>23</v>
      </c>
      <c r="B71" s="417" t="s">
        <v>309</v>
      </c>
      <c r="C71" s="417"/>
      <c r="D71" s="417"/>
      <c r="E71" s="466"/>
      <c r="F71" s="467"/>
      <c r="G71" s="421"/>
      <c r="H71" s="415">
        <f t="shared" si="3"/>
        <v>23</v>
      </c>
    </row>
    <row r="72" spans="1:10" x14ac:dyDescent="0.25">
      <c r="A72" s="415">
        <f t="shared" si="2"/>
        <v>24</v>
      </c>
      <c r="B72" s="468" t="s">
        <v>310</v>
      </c>
      <c r="C72" s="411"/>
      <c r="D72" s="411"/>
      <c r="E72" s="466"/>
      <c r="F72" s="467"/>
      <c r="G72" s="421"/>
      <c r="H72" s="415">
        <f t="shared" si="3"/>
        <v>24</v>
      </c>
    </row>
    <row r="73" spans="1:10" x14ac:dyDescent="0.25">
      <c r="A73" s="415">
        <f t="shared" si="2"/>
        <v>25</v>
      </c>
      <c r="B73" s="418" t="s">
        <v>311</v>
      </c>
      <c r="C73" s="418"/>
      <c r="D73" s="418"/>
      <c r="E73" s="469">
        <f>'Pg9.1 Rev Stmt AL-Cost Adj'!G16</f>
        <v>50939.981334164491</v>
      </c>
      <c r="F73" s="652"/>
      <c r="G73" s="421" t="s">
        <v>467</v>
      </c>
      <c r="H73" s="415">
        <f t="shared" si="3"/>
        <v>25</v>
      </c>
    </row>
    <row r="74" spans="1:10" x14ac:dyDescent="0.25">
      <c r="A74" s="415">
        <f t="shared" si="2"/>
        <v>26</v>
      </c>
      <c r="B74" s="418" t="s">
        <v>312</v>
      </c>
      <c r="C74" s="418"/>
      <c r="D74" s="418"/>
      <c r="E74" s="470">
        <f>'Pg9.1 Rev Stmt AL-Cost Adj'!G20</f>
        <v>25515.262566078305</v>
      </c>
      <c r="F74" s="652"/>
      <c r="G74" s="421" t="s">
        <v>468</v>
      </c>
      <c r="H74" s="415">
        <f t="shared" si="3"/>
        <v>26</v>
      </c>
    </row>
    <row r="75" spans="1:10" x14ac:dyDescent="0.25">
      <c r="A75" s="415">
        <f t="shared" si="2"/>
        <v>27</v>
      </c>
      <c r="B75" s="418" t="s">
        <v>313</v>
      </c>
      <c r="C75" s="418"/>
      <c r="D75" s="418"/>
      <c r="E75" s="471">
        <f>'Pg9 Rev Stmt AL'!E29</f>
        <v>10324.483277525782</v>
      </c>
      <c r="F75" s="27" t="s">
        <v>16</v>
      </c>
      <c r="G75" s="421" t="s">
        <v>623</v>
      </c>
      <c r="H75" s="415">
        <f t="shared" si="3"/>
        <v>27</v>
      </c>
      <c r="J75" s="29"/>
    </row>
    <row r="76" spans="1:10" x14ac:dyDescent="0.25">
      <c r="A76" s="415">
        <f t="shared" si="2"/>
        <v>28</v>
      </c>
      <c r="B76" s="418" t="s">
        <v>314</v>
      </c>
      <c r="C76" s="411"/>
      <c r="D76" s="411"/>
      <c r="E76" s="472">
        <f>SUM(E73:E75)</f>
        <v>86779.727177768582</v>
      </c>
      <c r="F76" s="27" t="s">
        <v>16</v>
      </c>
      <c r="G76" s="421" t="s">
        <v>470</v>
      </c>
      <c r="H76" s="415">
        <f t="shared" si="3"/>
        <v>28</v>
      </c>
    </row>
    <row r="77" spans="1:10" x14ac:dyDescent="0.25">
      <c r="A77" s="415">
        <f t="shared" si="2"/>
        <v>29</v>
      </c>
      <c r="B77" s="411"/>
      <c r="C77" s="411"/>
      <c r="D77" s="411"/>
      <c r="E77" s="473"/>
      <c r="F77" s="474"/>
      <c r="G77" s="421"/>
      <c r="H77" s="415">
        <f t="shared" si="3"/>
        <v>29</v>
      </c>
    </row>
    <row r="78" spans="1:10" x14ac:dyDescent="0.25">
      <c r="A78" s="415">
        <f t="shared" si="2"/>
        <v>30</v>
      </c>
      <c r="B78" s="418" t="s">
        <v>315</v>
      </c>
      <c r="C78" s="418"/>
      <c r="D78" s="418"/>
      <c r="E78" s="475">
        <f>'Pg10 Rev Stmt AV'!G110</f>
        <v>0.10293214889084912</v>
      </c>
      <c r="F78" s="652"/>
      <c r="G78" s="421" t="s">
        <v>624</v>
      </c>
      <c r="H78" s="415">
        <f t="shared" si="3"/>
        <v>30</v>
      </c>
    </row>
    <row r="79" spans="1:10" x14ac:dyDescent="0.25">
      <c r="A79" s="415">
        <f t="shared" si="2"/>
        <v>31</v>
      </c>
      <c r="B79" s="411"/>
      <c r="C79" s="411"/>
      <c r="D79" s="411"/>
      <c r="E79" s="473"/>
      <c r="F79" s="474"/>
      <c r="G79" s="421"/>
      <c r="H79" s="415">
        <f t="shared" si="3"/>
        <v>31</v>
      </c>
    </row>
    <row r="80" spans="1:10" x14ac:dyDescent="0.25">
      <c r="A80" s="415">
        <f t="shared" si="2"/>
        <v>32</v>
      </c>
      <c r="B80" s="418" t="s">
        <v>316</v>
      </c>
      <c r="C80" s="411"/>
      <c r="D80" s="411"/>
      <c r="E80" s="476">
        <f>E76*E78</f>
        <v>8932.4237985693417</v>
      </c>
      <c r="F80" s="27" t="s">
        <v>16</v>
      </c>
      <c r="G80" s="421" t="s">
        <v>472</v>
      </c>
      <c r="H80" s="415">
        <f t="shared" si="3"/>
        <v>32</v>
      </c>
    </row>
    <row r="81" spans="1:9" x14ac:dyDescent="0.25">
      <c r="A81" s="415">
        <f t="shared" si="2"/>
        <v>33</v>
      </c>
      <c r="B81" s="411"/>
      <c r="C81" s="411"/>
      <c r="D81" s="411"/>
      <c r="E81" s="473"/>
      <c r="F81" s="474"/>
      <c r="G81" s="421"/>
      <c r="H81" s="415">
        <f t="shared" si="3"/>
        <v>33</v>
      </c>
    </row>
    <row r="82" spans="1:9" x14ac:dyDescent="0.25">
      <c r="A82" s="415">
        <f t="shared" si="2"/>
        <v>34</v>
      </c>
      <c r="B82" s="418" t="s">
        <v>317</v>
      </c>
      <c r="C82" s="411"/>
      <c r="D82" s="411"/>
      <c r="E82" s="454">
        <f>E80/E49</f>
        <v>1.7555393228983276E-3</v>
      </c>
      <c r="F82" s="455"/>
      <c r="G82" s="421" t="s">
        <v>473</v>
      </c>
      <c r="H82" s="415">
        <f t="shared" si="3"/>
        <v>34</v>
      </c>
    </row>
    <row r="83" spans="1:9" x14ac:dyDescent="0.25">
      <c r="A83" s="415">
        <f t="shared" si="2"/>
        <v>35</v>
      </c>
      <c r="B83" s="418"/>
      <c r="C83" s="411"/>
      <c r="D83" s="411"/>
      <c r="E83" s="477"/>
      <c r="F83" s="455"/>
      <c r="G83" s="421"/>
      <c r="H83" s="415">
        <f t="shared" si="3"/>
        <v>35</v>
      </c>
    </row>
    <row r="84" spans="1:9" x14ac:dyDescent="0.25">
      <c r="A84" s="415">
        <f t="shared" si="2"/>
        <v>36</v>
      </c>
      <c r="B84" s="417" t="s">
        <v>318</v>
      </c>
      <c r="C84" s="478"/>
      <c r="D84" s="478"/>
      <c r="E84" s="479"/>
      <c r="F84" s="479"/>
      <c r="G84" s="479"/>
      <c r="H84" s="415">
        <f t="shared" si="3"/>
        <v>36</v>
      </c>
    </row>
    <row r="85" spans="1:9" x14ac:dyDescent="0.25">
      <c r="A85" s="415">
        <f t="shared" si="2"/>
        <v>37</v>
      </c>
      <c r="B85" s="418" t="s">
        <v>319</v>
      </c>
      <c r="C85" s="478"/>
      <c r="D85" s="478"/>
      <c r="E85" s="35">
        <f>'Pg13 As Filed AV-4-Cost Adj'!C15</f>
        <v>30239.351098987459</v>
      </c>
      <c r="F85" s="479"/>
      <c r="G85" s="421" t="s">
        <v>474</v>
      </c>
      <c r="H85" s="415">
        <f t="shared" si="3"/>
        <v>37</v>
      </c>
    </row>
    <row r="86" spans="1:9" x14ac:dyDescent="0.25">
      <c r="A86" s="415">
        <f t="shared" si="2"/>
        <v>38</v>
      </c>
      <c r="B86" s="417"/>
      <c r="C86" s="478"/>
      <c r="D86" s="478"/>
      <c r="E86" s="480"/>
      <c r="F86" s="479"/>
      <c r="G86" s="479"/>
      <c r="H86" s="415">
        <f t="shared" si="3"/>
        <v>38</v>
      </c>
    </row>
    <row r="87" spans="1:9" x14ac:dyDescent="0.25">
      <c r="A87" s="415">
        <f t="shared" si="2"/>
        <v>39</v>
      </c>
      <c r="B87" s="418" t="s">
        <v>320</v>
      </c>
      <c r="C87" s="478"/>
      <c r="D87" s="478"/>
      <c r="E87" s="481">
        <f>'Pg13 As Filed AV-4-Cost Adj'!C16</f>
        <v>56838.313075711041</v>
      </c>
      <c r="F87" s="479"/>
      <c r="G87" s="421" t="s">
        <v>475</v>
      </c>
      <c r="H87" s="415">
        <f t="shared" si="3"/>
        <v>39</v>
      </c>
    </row>
    <row r="88" spans="1:9" ht="20.25" x14ac:dyDescent="0.55000000000000004">
      <c r="A88" s="415">
        <f t="shared" si="2"/>
        <v>40</v>
      </c>
      <c r="B88" s="478"/>
      <c r="C88" s="482"/>
      <c r="D88" s="482"/>
      <c r="E88" s="483"/>
      <c r="F88" s="484"/>
      <c r="G88" s="478"/>
      <c r="H88" s="415">
        <f t="shared" si="3"/>
        <v>40</v>
      </c>
    </row>
    <row r="89" spans="1:9" x14ac:dyDescent="0.25">
      <c r="A89" s="415">
        <f t="shared" si="2"/>
        <v>41</v>
      </c>
      <c r="B89" s="418" t="s">
        <v>321</v>
      </c>
      <c r="C89" s="482"/>
      <c r="D89" s="482"/>
      <c r="E89" s="485">
        <f>E85+E87</f>
        <v>87077.664174698497</v>
      </c>
      <c r="F89" s="486"/>
      <c r="G89" s="421" t="s">
        <v>476</v>
      </c>
      <c r="H89" s="415">
        <f t="shared" si="3"/>
        <v>41</v>
      </c>
    </row>
    <row r="90" spans="1:9" x14ac:dyDescent="0.25">
      <c r="A90" s="415">
        <f t="shared" si="2"/>
        <v>42</v>
      </c>
      <c r="B90" s="487"/>
      <c r="C90" s="482"/>
      <c r="D90" s="482"/>
      <c r="E90" s="488"/>
      <c r="F90" s="486"/>
      <c r="G90" s="489"/>
      <c r="H90" s="415">
        <f t="shared" si="3"/>
        <v>42</v>
      </c>
    </row>
    <row r="91" spans="1:9" x14ac:dyDescent="0.25">
      <c r="A91" s="415">
        <f t="shared" si="2"/>
        <v>43</v>
      </c>
      <c r="B91" s="418" t="s">
        <v>315</v>
      </c>
      <c r="C91" s="482"/>
      <c r="D91" s="482"/>
      <c r="E91" s="490">
        <f>E78</f>
        <v>0.10293214889084912</v>
      </c>
      <c r="F91" s="486"/>
      <c r="G91" s="421" t="s">
        <v>477</v>
      </c>
      <c r="H91" s="415">
        <f t="shared" si="3"/>
        <v>43</v>
      </c>
    </row>
    <row r="92" spans="1:9" x14ac:dyDescent="0.25">
      <c r="A92" s="415">
        <f t="shared" si="2"/>
        <v>44</v>
      </c>
      <c r="B92" s="478"/>
      <c r="C92" s="482"/>
      <c r="D92" s="482"/>
      <c r="E92" s="491"/>
      <c r="F92" s="492"/>
      <c r="G92" s="478"/>
      <c r="H92" s="415">
        <f t="shared" si="3"/>
        <v>44</v>
      </c>
    </row>
    <row r="93" spans="1:9" x14ac:dyDescent="0.25">
      <c r="A93" s="415">
        <f t="shared" si="2"/>
        <v>45</v>
      </c>
      <c r="B93" s="418" t="s">
        <v>322</v>
      </c>
      <c r="C93" s="482"/>
      <c r="D93" s="482"/>
      <c r="E93" s="493">
        <f>E89*E91</f>
        <v>8963.091093897423</v>
      </c>
      <c r="F93" s="494"/>
      <c r="G93" s="421" t="s">
        <v>478</v>
      </c>
      <c r="H93" s="415">
        <f t="shared" si="3"/>
        <v>45</v>
      </c>
    </row>
    <row r="94" spans="1:9" x14ac:dyDescent="0.25">
      <c r="A94" s="415">
        <f t="shared" si="2"/>
        <v>46</v>
      </c>
      <c r="B94" s="487"/>
      <c r="C94" s="482"/>
      <c r="D94" s="482"/>
      <c r="E94" s="495"/>
      <c r="F94" s="494"/>
      <c r="G94" s="489"/>
      <c r="H94" s="415">
        <f t="shared" si="3"/>
        <v>46</v>
      </c>
    </row>
    <row r="95" spans="1:9" x14ac:dyDescent="0.25">
      <c r="A95" s="415">
        <f t="shared" si="2"/>
        <v>47</v>
      </c>
      <c r="B95" s="418" t="s">
        <v>323</v>
      </c>
      <c r="C95" s="482"/>
      <c r="D95" s="482"/>
      <c r="E95" s="496">
        <v>12084.539340604279</v>
      </c>
      <c r="F95" s="494"/>
      <c r="G95" s="421" t="s">
        <v>479</v>
      </c>
      <c r="H95" s="415">
        <f t="shared" si="3"/>
        <v>47</v>
      </c>
      <c r="I95" s="482"/>
    </row>
    <row r="96" spans="1:9" x14ac:dyDescent="0.25">
      <c r="A96" s="415">
        <f t="shared" si="2"/>
        <v>48</v>
      </c>
      <c r="B96" s="418"/>
      <c r="C96" s="482"/>
      <c r="D96" s="482"/>
      <c r="E96" s="263"/>
      <c r="F96" s="494"/>
      <c r="G96" s="421"/>
      <c r="H96" s="415">
        <f t="shared" si="3"/>
        <v>48</v>
      </c>
    </row>
    <row r="97" spans="1:8" x14ac:dyDescent="0.25">
      <c r="A97" s="415">
        <f t="shared" si="2"/>
        <v>49</v>
      </c>
      <c r="B97" s="418" t="s">
        <v>324</v>
      </c>
      <c r="C97" s="482"/>
      <c r="D97" s="482"/>
      <c r="E97" s="263">
        <f>E93+E95</f>
        <v>21047.630434501702</v>
      </c>
      <c r="F97" s="494"/>
      <c r="G97" s="421" t="s">
        <v>480</v>
      </c>
      <c r="H97" s="415">
        <f t="shared" si="3"/>
        <v>49</v>
      </c>
    </row>
    <row r="98" spans="1:8" x14ac:dyDescent="0.25">
      <c r="A98" s="415">
        <f t="shared" si="2"/>
        <v>50</v>
      </c>
      <c r="B98" s="478"/>
      <c r="C98" s="482"/>
      <c r="D98" s="482"/>
      <c r="E98" s="497"/>
      <c r="F98" s="478"/>
      <c r="G98" s="478"/>
      <c r="H98" s="415">
        <f t="shared" si="3"/>
        <v>50</v>
      </c>
    </row>
    <row r="99" spans="1:8" ht="16.5" thickBot="1" x14ac:dyDescent="0.3">
      <c r="A99" s="415">
        <f t="shared" si="2"/>
        <v>51</v>
      </c>
      <c r="B99" s="418" t="s">
        <v>325</v>
      </c>
      <c r="C99" s="482"/>
      <c r="D99" s="482"/>
      <c r="E99" s="498">
        <f>E97/E49</f>
        <v>4.136608799004524E-3</v>
      </c>
      <c r="F99" s="499"/>
      <c r="G99" s="421" t="s">
        <v>481</v>
      </c>
      <c r="H99" s="415">
        <f t="shared" si="3"/>
        <v>51</v>
      </c>
    </row>
    <row r="100" spans="1:8" ht="16.5" thickTop="1" x14ac:dyDescent="0.25">
      <c r="A100" s="422"/>
    </row>
    <row r="101" spans="1:8" x14ac:dyDescent="0.25">
      <c r="A101" s="27" t="s">
        <v>16</v>
      </c>
      <c r="B101" s="25" t="str">
        <f>B37</f>
        <v>Items in bold have changed due to A&amp;G adj. on WMPMA exclusion reversal compared to the original Sunrise Appendix X Cycle 9 filing per ER21-243 and cost adjustments</v>
      </c>
    </row>
    <row r="102" spans="1:8" x14ac:dyDescent="0.25">
      <c r="A102" s="422"/>
      <c r="B102" s="25" t="str">
        <f>B38</f>
        <v>included in Appendix X Cycle 10 per ER22-139.</v>
      </c>
    </row>
    <row r="103" spans="1:8" x14ac:dyDescent="0.25">
      <c r="A103" s="422"/>
    </row>
    <row r="104" spans="1:8" x14ac:dyDescent="0.25">
      <c r="A104" s="422"/>
    </row>
    <row r="105" spans="1:8" x14ac:dyDescent="0.25">
      <c r="A105" s="422"/>
    </row>
    <row r="106" spans="1:8" x14ac:dyDescent="0.25">
      <c r="A106" s="422"/>
    </row>
    <row r="107" spans="1:8" x14ac:dyDescent="0.25">
      <c r="A107" s="422"/>
    </row>
    <row r="108" spans="1:8" x14ac:dyDescent="0.25">
      <c r="A108" s="422"/>
    </row>
    <row r="109" spans="1:8" x14ac:dyDescent="0.25">
      <c r="A109" s="422"/>
    </row>
    <row r="110" spans="1:8" x14ac:dyDescent="0.25">
      <c r="A110" s="422"/>
    </row>
    <row r="111" spans="1:8" x14ac:dyDescent="0.25">
      <c r="A111" s="422"/>
    </row>
    <row r="112" spans="1:8" x14ac:dyDescent="0.25">
      <c r="A112" s="422"/>
    </row>
    <row r="113" spans="1:1" x14ac:dyDescent="0.25">
      <c r="A113" s="422"/>
    </row>
    <row r="114" spans="1:1" x14ac:dyDescent="0.25">
      <c r="A114" s="422"/>
    </row>
    <row r="115" spans="1:1" x14ac:dyDescent="0.25">
      <c r="A115" s="422"/>
    </row>
    <row r="116" spans="1:1" x14ac:dyDescent="0.25">
      <c r="A116" s="422"/>
    </row>
    <row r="117" spans="1:1" x14ac:dyDescent="0.25">
      <c r="A117" s="422"/>
    </row>
    <row r="118" spans="1:1" x14ac:dyDescent="0.25">
      <c r="A118" s="422"/>
    </row>
    <row r="119" spans="1:1" x14ac:dyDescent="0.25">
      <c r="A119" s="422"/>
    </row>
    <row r="120" spans="1:1" x14ac:dyDescent="0.25">
      <c r="A120" s="422"/>
    </row>
    <row r="121" spans="1:1" x14ac:dyDescent="0.25">
      <c r="A121" s="422"/>
    </row>
    <row r="122" spans="1:1" x14ac:dyDescent="0.25">
      <c r="A122" s="422"/>
    </row>
    <row r="123" spans="1:1" x14ac:dyDescent="0.25">
      <c r="A123" s="422"/>
    </row>
    <row r="124" spans="1:1" x14ac:dyDescent="0.25">
      <c r="A124" s="422"/>
    </row>
    <row r="125" spans="1:1" x14ac:dyDescent="0.25">
      <c r="A125" s="422"/>
    </row>
    <row r="126" spans="1:1" x14ac:dyDescent="0.25">
      <c r="A126" s="422"/>
    </row>
    <row r="127" spans="1:1" x14ac:dyDescent="0.25">
      <c r="A127" s="422"/>
    </row>
    <row r="128" spans="1:1" x14ac:dyDescent="0.25">
      <c r="A128" s="422"/>
    </row>
    <row r="129" spans="1:1" x14ac:dyDescent="0.25">
      <c r="A129" s="422"/>
    </row>
    <row r="130" spans="1:1" x14ac:dyDescent="0.25">
      <c r="A130" s="422"/>
    </row>
    <row r="131" spans="1:1" x14ac:dyDescent="0.25">
      <c r="A131" s="422"/>
    </row>
    <row r="132" spans="1:1" x14ac:dyDescent="0.25">
      <c r="A132" s="422"/>
    </row>
    <row r="133" spans="1:1" x14ac:dyDescent="0.25">
      <c r="A133" s="422"/>
    </row>
    <row r="134" spans="1:1" x14ac:dyDescent="0.25">
      <c r="A134" s="422"/>
    </row>
    <row r="135" spans="1:1" x14ac:dyDescent="0.25">
      <c r="A135" s="422"/>
    </row>
    <row r="136" spans="1:1" x14ac:dyDescent="0.25">
      <c r="A136" s="422"/>
    </row>
    <row r="137" spans="1:1" x14ac:dyDescent="0.25">
      <c r="A137" s="422"/>
    </row>
    <row r="138" spans="1:1" x14ac:dyDescent="0.25">
      <c r="A138" s="422"/>
    </row>
    <row r="139" spans="1:1" x14ac:dyDescent="0.25">
      <c r="A139" s="422"/>
    </row>
    <row r="140" spans="1:1" x14ac:dyDescent="0.25">
      <c r="A140" s="422"/>
    </row>
    <row r="141" spans="1:1" x14ac:dyDescent="0.25">
      <c r="A141" s="422"/>
    </row>
    <row r="142" spans="1:1" x14ac:dyDescent="0.25">
      <c r="A142" s="422"/>
    </row>
    <row r="143" spans="1:1" x14ac:dyDescent="0.25">
      <c r="A143" s="422"/>
    </row>
    <row r="144" spans="1:1" x14ac:dyDescent="0.25">
      <c r="A144" s="422"/>
    </row>
    <row r="145" spans="1:6" x14ac:dyDescent="0.25">
      <c r="A145" s="422"/>
    </row>
    <row r="146" spans="1:6" x14ac:dyDescent="0.25">
      <c r="A146" s="422"/>
    </row>
    <row r="147" spans="1:6" x14ac:dyDescent="0.25">
      <c r="A147" s="422"/>
    </row>
    <row r="148" spans="1:6" x14ac:dyDescent="0.25">
      <c r="A148" s="422"/>
    </row>
    <row r="149" spans="1:6" x14ac:dyDescent="0.25">
      <c r="A149" s="422"/>
    </row>
    <row r="150" spans="1:6" x14ac:dyDescent="0.25">
      <c r="A150" s="422"/>
    </row>
    <row r="151" spans="1:6" x14ac:dyDescent="0.25">
      <c r="A151" s="422"/>
    </row>
    <row r="152" spans="1:6" x14ac:dyDescent="0.25">
      <c r="A152" s="422"/>
    </row>
    <row r="153" spans="1:6" x14ac:dyDescent="0.25">
      <c r="A153" s="422"/>
    </row>
    <row r="154" spans="1:6" x14ac:dyDescent="0.25">
      <c r="A154" s="422"/>
      <c r="B154" s="412"/>
      <c r="C154" s="412"/>
      <c r="D154" s="412"/>
      <c r="E154" s="412"/>
      <c r="F154" s="412"/>
    </row>
    <row r="155" spans="1:6" x14ac:dyDescent="0.25">
      <c r="A155" s="422"/>
      <c r="B155" s="412"/>
      <c r="C155" s="412"/>
      <c r="D155" s="412"/>
      <c r="E155" s="412"/>
      <c r="F155" s="412"/>
    </row>
    <row r="160" spans="1:6" x14ac:dyDescent="0.25">
      <c r="A160" s="414"/>
      <c r="B160" s="412"/>
      <c r="C160" s="412"/>
      <c r="D160" s="412"/>
      <c r="E160" s="500"/>
      <c r="F160" s="500"/>
    </row>
  </sheetData>
  <mergeCells count="10">
    <mergeCell ref="B2:G2"/>
    <mergeCell ref="B3:G3"/>
    <mergeCell ref="B4:G4"/>
    <mergeCell ref="B5:G5"/>
    <mergeCell ref="B6:G6"/>
    <mergeCell ref="B44:G44"/>
    <mergeCell ref="B40:G40"/>
    <mergeCell ref="B41:G41"/>
    <mergeCell ref="B42:G42"/>
    <mergeCell ref="B43:G43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Roman,Bold"&amp;8REVISED</oddHeader>
    <oddFooter>&amp;L&amp;F&amp;CPage 5.&amp;P&amp;R&amp;A</oddFooter>
  </headerFooter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8D988-5965-4F1A-AEBD-DBD07B027F1E}">
  <dimension ref="A1:J161"/>
  <sheetViews>
    <sheetView zoomScale="80" zoomScaleNormal="80" workbookViewId="0"/>
  </sheetViews>
  <sheetFormatPr defaultColWidth="8.7109375" defaultRowHeight="15.75" x14ac:dyDescent="0.25"/>
  <cols>
    <col min="1" max="1" width="5.140625" style="40" customWidth="1"/>
    <col min="2" max="2" width="90.5703125" style="20" customWidth="1"/>
    <col min="3" max="3" width="10.42578125" style="20" customWidth="1"/>
    <col min="4" max="4" width="1.5703125" style="20" customWidth="1"/>
    <col min="5" max="5" width="16.85546875" style="20" customWidth="1"/>
    <col min="6" max="6" width="1.5703125" style="20" customWidth="1"/>
    <col min="7" max="7" width="43.42578125" style="20" customWidth="1"/>
    <col min="8" max="8" width="5.140625" style="39" customWidth="1"/>
    <col min="9" max="9" width="8.7109375" style="20"/>
    <col min="10" max="10" width="9.85546875" style="20" customWidth="1"/>
    <col min="11" max="16384" width="8.7109375" style="20"/>
  </cols>
  <sheetData>
    <row r="1" spans="1:8" x14ac:dyDescent="0.25">
      <c r="A1" s="702" t="s">
        <v>583</v>
      </c>
    </row>
    <row r="2" spans="1:8" x14ac:dyDescent="0.25">
      <c r="A2" s="410"/>
      <c r="B2" s="411"/>
      <c r="C2" s="411"/>
      <c r="D2" s="411"/>
      <c r="E2" s="412"/>
      <c r="F2" s="412"/>
      <c r="G2" s="656"/>
      <c r="H2" s="166"/>
    </row>
    <row r="3" spans="1:8" x14ac:dyDescent="0.25">
      <c r="A3" s="410"/>
      <c r="B3" s="770" t="s">
        <v>21</v>
      </c>
      <c r="C3" s="770"/>
      <c r="D3" s="770"/>
      <c r="E3" s="770"/>
      <c r="F3" s="770"/>
      <c r="G3" s="770"/>
      <c r="H3" s="166"/>
    </row>
    <row r="4" spans="1:8" x14ac:dyDescent="0.25">
      <c r="B4" s="770" t="s">
        <v>277</v>
      </c>
      <c r="C4" s="770"/>
      <c r="D4" s="770"/>
      <c r="E4" s="770"/>
      <c r="F4" s="770"/>
      <c r="G4" s="770"/>
      <c r="H4" s="410"/>
    </row>
    <row r="5" spans="1:8" x14ac:dyDescent="0.25">
      <c r="B5" s="770" t="s">
        <v>283</v>
      </c>
      <c r="C5" s="770"/>
      <c r="D5" s="770"/>
      <c r="E5" s="770"/>
      <c r="F5" s="770"/>
      <c r="G5" s="770"/>
      <c r="H5" s="410"/>
    </row>
    <row r="6" spans="1:8" x14ac:dyDescent="0.25">
      <c r="B6" s="771" t="s">
        <v>457</v>
      </c>
      <c r="C6" s="771"/>
      <c r="D6" s="771"/>
      <c r="E6" s="771"/>
      <c r="F6" s="771"/>
      <c r="G6" s="771"/>
      <c r="H6" s="410"/>
    </row>
    <row r="7" spans="1:8" x14ac:dyDescent="0.25">
      <c r="B7" s="768" t="s">
        <v>1</v>
      </c>
      <c r="C7" s="768"/>
      <c r="D7" s="768"/>
      <c r="E7" s="768"/>
      <c r="F7" s="768"/>
      <c r="G7" s="768"/>
      <c r="H7" s="413"/>
    </row>
    <row r="8" spans="1:8" x14ac:dyDescent="0.25">
      <c r="A8" s="414"/>
      <c r="B8" s="652"/>
      <c r="C8" s="652"/>
      <c r="D8" s="652"/>
      <c r="E8" s="652"/>
      <c r="F8" s="652"/>
      <c r="G8" s="412"/>
      <c r="H8" s="166"/>
    </row>
    <row r="9" spans="1:8" x14ac:dyDescent="0.25">
      <c r="A9" s="415" t="s">
        <v>2</v>
      </c>
      <c r="B9" s="411"/>
      <c r="C9" s="411"/>
      <c r="D9" s="411"/>
      <c r="E9" s="652"/>
      <c r="F9" s="652"/>
      <c r="G9" s="411"/>
      <c r="H9" s="415" t="s">
        <v>2</v>
      </c>
    </row>
    <row r="10" spans="1:8" x14ac:dyDescent="0.25">
      <c r="A10" s="415" t="s">
        <v>6</v>
      </c>
      <c r="B10" s="411"/>
      <c r="C10" s="411"/>
      <c r="D10" s="411"/>
      <c r="E10" s="703" t="s">
        <v>4</v>
      </c>
      <c r="F10" s="416"/>
      <c r="G10" s="703" t="s">
        <v>5</v>
      </c>
      <c r="H10" s="415" t="s">
        <v>6</v>
      </c>
    </row>
    <row r="11" spans="1:8" x14ac:dyDescent="0.25">
      <c r="A11" s="415"/>
      <c r="B11" s="411"/>
      <c r="C11" s="411"/>
      <c r="D11" s="411"/>
      <c r="E11" s="652"/>
      <c r="F11" s="416"/>
      <c r="G11" s="652"/>
      <c r="H11" s="415"/>
    </row>
    <row r="12" spans="1:8" x14ac:dyDescent="0.25">
      <c r="A12" s="415">
        <v>1</v>
      </c>
      <c r="B12" s="417" t="s">
        <v>284</v>
      </c>
      <c r="C12" s="417"/>
      <c r="D12" s="417"/>
      <c r="E12" s="412"/>
      <c r="F12" s="412"/>
      <c r="G12" s="652"/>
      <c r="H12" s="415">
        <f>A12</f>
        <v>1</v>
      </c>
    </row>
    <row r="13" spans="1:8" x14ac:dyDescent="0.25">
      <c r="A13" s="415">
        <f>A12+1</f>
        <v>2</v>
      </c>
      <c r="B13" s="418" t="s">
        <v>285</v>
      </c>
      <c r="C13" s="419"/>
      <c r="D13" s="419"/>
      <c r="E13" s="420">
        <f>E55</f>
        <v>8.4018398950358938E-3</v>
      </c>
      <c r="F13" s="27" t="s">
        <v>16</v>
      </c>
      <c r="G13" s="421" t="str">
        <f>"Page 2; Line "&amp;A55</f>
        <v>Page 2; Line 6</v>
      </c>
      <c r="H13" s="415">
        <f>H12+1</f>
        <v>2</v>
      </c>
    </row>
    <row r="14" spans="1:8" x14ac:dyDescent="0.25">
      <c r="A14" s="415">
        <f t="shared" ref="A14:A36" si="0">A13+1</f>
        <v>3</v>
      </c>
      <c r="B14" s="411"/>
      <c r="C14" s="422"/>
      <c r="D14" s="422"/>
      <c r="E14" s="423"/>
      <c r="F14" s="416"/>
      <c r="G14" s="421"/>
      <c r="H14" s="415">
        <f t="shared" ref="H14:H36" si="1">H13+1</f>
        <v>3</v>
      </c>
    </row>
    <row r="15" spans="1:8" x14ac:dyDescent="0.25">
      <c r="A15" s="415">
        <f t="shared" si="0"/>
        <v>4</v>
      </c>
      <c r="B15" s="418" t="s">
        <v>286</v>
      </c>
      <c r="C15" s="419"/>
      <c r="D15" s="419"/>
      <c r="E15" s="420">
        <f>E60</f>
        <v>7.7917933660744338E-3</v>
      </c>
      <c r="F15" s="27" t="s">
        <v>16</v>
      </c>
      <c r="G15" s="421" t="str">
        <f>"Page 2; Line "&amp;A60</f>
        <v>Page 2; Line 11</v>
      </c>
      <c r="H15" s="415">
        <f t="shared" si="1"/>
        <v>4</v>
      </c>
    </row>
    <row r="16" spans="1:8" x14ac:dyDescent="0.25">
      <c r="A16" s="415">
        <f t="shared" si="0"/>
        <v>5</v>
      </c>
      <c r="B16" s="412"/>
      <c r="C16" s="414"/>
      <c r="D16" s="414"/>
      <c r="E16" s="426"/>
      <c r="F16" s="427"/>
      <c r="G16" s="421"/>
      <c r="H16" s="415">
        <f t="shared" si="1"/>
        <v>5</v>
      </c>
    </row>
    <row r="17" spans="1:8" x14ac:dyDescent="0.25">
      <c r="A17" s="415">
        <f t="shared" si="0"/>
        <v>6</v>
      </c>
      <c r="B17" s="412" t="s">
        <v>287</v>
      </c>
      <c r="C17" s="414"/>
      <c r="D17" s="414"/>
      <c r="E17" s="424">
        <f>E65</f>
        <v>9.8675808260498075E-3</v>
      </c>
      <c r="F17" s="427"/>
      <c r="G17" s="421" t="str">
        <f>"Page 2; Line "&amp;A65</f>
        <v>Page 2; Line 16</v>
      </c>
      <c r="H17" s="415">
        <f t="shared" si="1"/>
        <v>6</v>
      </c>
    </row>
    <row r="18" spans="1:8" x14ac:dyDescent="0.25">
      <c r="A18" s="415">
        <f t="shared" si="0"/>
        <v>7</v>
      </c>
      <c r="B18" s="412"/>
      <c r="C18" s="414"/>
      <c r="D18" s="414"/>
      <c r="E18" s="426"/>
      <c r="F18" s="427"/>
      <c r="G18" s="421"/>
      <c r="H18" s="415">
        <f t="shared" si="1"/>
        <v>7</v>
      </c>
    </row>
    <row r="19" spans="1:8" x14ac:dyDescent="0.25">
      <c r="A19" s="415">
        <f t="shared" si="0"/>
        <v>8</v>
      </c>
      <c r="B19" s="418" t="s">
        <v>288</v>
      </c>
      <c r="C19" s="419"/>
      <c r="D19" s="419"/>
      <c r="E19" s="424">
        <f>E70</f>
        <v>2.7191790349101279E-4</v>
      </c>
      <c r="F19" s="425"/>
      <c r="G19" s="421" t="str">
        <f>"Page 2; Line "&amp;A70</f>
        <v>Page 2; Line 21</v>
      </c>
      <c r="H19" s="415">
        <f t="shared" si="1"/>
        <v>8</v>
      </c>
    </row>
    <row r="20" spans="1:8" x14ac:dyDescent="0.25">
      <c r="A20" s="415">
        <f t="shared" si="0"/>
        <v>9</v>
      </c>
      <c r="B20" s="411"/>
      <c r="C20" s="422"/>
      <c r="D20" s="422"/>
      <c r="E20" s="423"/>
      <c r="F20" s="416"/>
      <c r="G20" s="421"/>
      <c r="H20" s="415">
        <f t="shared" si="1"/>
        <v>9</v>
      </c>
    </row>
    <row r="21" spans="1:8" x14ac:dyDescent="0.25">
      <c r="A21" s="415">
        <f t="shared" si="0"/>
        <v>10</v>
      </c>
      <c r="B21" s="418" t="s">
        <v>289</v>
      </c>
      <c r="C21" s="422"/>
      <c r="D21" s="422"/>
      <c r="E21" s="424">
        <f>E83</f>
        <v>1.7550323902646241E-3</v>
      </c>
      <c r="F21" s="416"/>
      <c r="G21" s="421" t="str">
        <f>"Page 2; Line "&amp;A83</f>
        <v>Page 2; Line 34</v>
      </c>
      <c r="H21" s="415">
        <f t="shared" si="1"/>
        <v>10</v>
      </c>
    </row>
    <row r="22" spans="1:8" x14ac:dyDescent="0.25">
      <c r="A22" s="415">
        <f t="shared" si="0"/>
        <v>11</v>
      </c>
      <c r="B22" s="411"/>
      <c r="C22" s="422"/>
      <c r="D22" s="422"/>
      <c r="E22" s="423"/>
      <c r="F22" s="416"/>
      <c r="G22" s="421"/>
      <c r="H22" s="415">
        <f t="shared" si="1"/>
        <v>11</v>
      </c>
    </row>
    <row r="23" spans="1:8" x14ac:dyDescent="0.25">
      <c r="A23" s="415">
        <f t="shared" si="0"/>
        <v>12</v>
      </c>
      <c r="B23" s="418" t="s">
        <v>290</v>
      </c>
      <c r="C23" s="419"/>
      <c r="D23" s="419"/>
      <c r="E23" s="424">
        <f>E100</f>
        <v>4.1366087471387441E-3</v>
      </c>
      <c r="F23" s="425"/>
      <c r="G23" s="421" t="str">
        <f>"Page 2; Line "&amp;A100</f>
        <v>Page 2; Line 51</v>
      </c>
      <c r="H23" s="415">
        <f t="shared" si="1"/>
        <v>12</v>
      </c>
    </row>
    <row r="24" spans="1:8" x14ac:dyDescent="0.25">
      <c r="A24" s="415">
        <f t="shared" si="0"/>
        <v>13</v>
      </c>
      <c r="B24" s="428"/>
      <c r="C24" s="429"/>
      <c r="D24" s="429"/>
      <c r="E24" s="430"/>
      <c r="F24" s="431"/>
      <c r="G24" s="421"/>
      <c r="H24" s="415">
        <f t="shared" si="1"/>
        <v>13</v>
      </c>
    </row>
    <row r="25" spans="1:8" x14ac:dyDescent="0.25">
      <c r="A25" s="415">
        <f t="shared" si="0"/>
        <v>14</v>
      </c>
      <c r="B25" s="418" t="s">
        <v>291</v>
      </c>
      <c r="C25" s="419"/>
      <c r="D25" s="419"/>
      <c r="E25" s="432">
        <f>SUM(E13:E23)</f>
        <v>3.222477312805451E-2</v>
      </c>
      <c r="F25" s="27" t="s">
        <v>16</v>
      </c>
      <c r="G25" s="421" t="str">
        <f>"Sum Lines "&amp;A13&amp;" thru "&amp;A23&amp;""</f>
        <v>Sum Lines 2 thru 12</v>
      </c>
      <c r="H25" s="415">
        <f t="shared" si="1"/>
        <v>14</v>
      </c>
    </row>
    <row r="26" spans="1:8" x14ac:dyDescent="0.25">
      <c r="A26" s="415">
        <f t="shared" si="0"/>
        <v>15</v>
      </c>
      <c r="B26" s="411"/>
      <c r="C26" s="422"/>
      <c r="D26" s="422"/>
      <c r="E26" s="433"/>
      <c r="F26" s="434"/>
      <c r="G26" s="421"/>
      <c r="H26" s="415">
        <f t="shared" si="1"/>
        <v>15</v>
      </c>
    </row>
    <row r="27" spans="1:8" x14ac:dyDescent="0.25">
      <c r="A27" s="415">
        <f t="shared" si="0"/>
        <v>16</v>
      </c>
      <c r="B27" s="412" t="s">
        <v>292</v>
      </c>
      <c r="C27" s="435">
        <v>1.0274999999999999E-2</v>
      </c>
      <c r="D27" s="422"/>
      <c r="E27" s="436">
        <f>E25*C27</f>
        <v>3.3110954389076007E-4</v>
      </c>
      <c r="F27" s="437"/>
      <c r="G27" s="421" t="str">
        <f>"Line "&amp;A25&amp;" x Franchise Fee Rate"</f>
        <v>Line 14 x Franchise Fee Rate</v>
      </c>
      <c r="H27" s="415">
        <f t="shared" si="1"/>
        <v>16</v>
      </c>
    </row>
    <row r="28" spans="1:8" x14ac:dyDescent="0.25">
      <c r="A28" s="415">
        <f t="shared" si="0"/>
        <v>17</v>
      </c>
      <c r="B28" s="411"/>
      <c r="C28" s="422"/>
      <c r="D28" s="422"/>
      <c r="E28" s="438"/>
      <c r="F28" s="439"/>
      <c r="G28" s="421"/>
      <c r="H28" s="415">
        <f t="shared" si="1"/>
        <v>17</v>
      </c>
    </row>
    <row r="29" spans="1:8" ht="16.5" thickBot="1" x14ac:dyDescent="0.3">
      <c r="A29" s="415">
        <f t="shared" si="0"/>
        <v>18</v>
      </c>
      <c r="B29" s="411" t="s">
        <v>293</v>
      </c>
      <c r="C29" s="422"/>
      <c r="D29" s="422"/>
      <c r="E29" s="440">
        <f>E25+E27</f>
        <v>3.2555882671945272E-2</v>
      </c>
      <c r="F29" s="27" t="s">
        <v>16</v>
      </c>
      <c r="G29" s="421" t="str">
        <f>"Line "&amp;A25&amp;" + Line "&amp;A27</f>
        <v>Line 14 + Line 16</v>
      </c>
      <c r="H29" s="415">
        <f t="shared" si="1"/>
        <v>18</v>
      </c>
    </row>
    <row r="30" spans="1:8" ht="16.5" thickTop="1" x14ac:dyDescent="0.25">
      <c r="A30" s="415">
        <f t="shared" si="0"/>
        <v>19</v>
      </c>
      <c r="B30" s="412"/>
      <c r="C30" s="414"/>
      <c r="D30" s="414"/>
      <c r="E30" s="422"/>
      <c r="F30" s="411"/>
      <c r="G30" s="411"/>
      <c r="H30" s="415">
        <f t="shared" si="1"/>
        <v>19</v>
      </c>
    </row>
    <row r="31" spans="1:8" x14ac:dyDescent="0.25">
      <c r="A31" s="415">
        <f t="shared" si="0"/>
        <v>20</v>
      </c>
      <c r="B31" s="417" t="s">
        <v>294</v>
      </c>
      <c r="C31" s="441"/>
      <c r="D31" s="441"/>
      <c r="E31" s="414"/>
      <c r="F31" s="412"/>
      <c r="G31" s="411"/>
      <c r="H31" s="415">
        <f t="shared" si="1"/>
        <v>20</v>
      </c>
    </row>
    <row r="32" spans="1:8" x14ac:dyDescent="0.25">
      <c r="A32" s="415">
        <f t="shared" si="0"/>
        <v>21</v>
      </c>
      <c r="B32" s="418" t="s">
        <v>431</v>
      </c>
      <c r="C32" s="419"/>
      <c r="D32" s="419"/>
      <c r="E32" s="298">
        <v>85194</v>
      </c>
      <c r="F32" s="416"/>
      <c r="G32" s="421" t="s">
        <v>295</v>
      </c>
      <c r="H32" s="415">
        <f t="shared" si="1"/>
        <v>21</v>
      </c>
    </row>
    <row r="33" spans="1:10" x14ac:dyDescent="0.25">
      <c r="A33" s="415">
        <f t="shared" si="0"/>
        <v>22</v>
      </c>
      <c r="B33" s="418"/>
      <c r="C33" s="419"/>
      <c r="D33" s="419"/>
      <c r="E33" s="419"/>
      <c r="F33" s="418"/>
      <c r="G33" s="421"/>
      <c r="H33" s="415">
        <f t="shared" si="1"/>
        <v>22</v>
      </c>
    </row>
    <row r="34" spans="1:10" x14ac:dyDescent="0.25">
      <c r="A34" s="415">
        <f t="shared" si="0"/>
        <v>23</v>
      </c>
      <c r="B34" s="418" t="s">
        <v>296</v>
      </c>
      <c r="C34" s="419"/>
      <c r="D34" s="419"/>
      <c r="E34" s="432">
        <f>+E29</f>
        <v>3.2555882671945272E-2</v>
      </c>
      <c r="F34" s="27" t="s">
        <v>16</v>
      </c>
      <c r="G34" s="421" t="str">
        <f>"Line "&amp;A29&amp;" Above"</f>
        <v>Line 18 Above</v>
      </c>
      <c r="H34" s="415">
        <f t="shared" si="1"/>
        <v>23</v>
      </c>
    </row>
    <row r="35" spans="1:10" x14ac:dyDescent="0.25">
      <c r="A35" s="415">
        <f t="shared" si="0"/>
        <v>24</v>
      </c>
      <c r="B35" s="411"/>
      <c r="C35" s="422"/>
      <c r="D35" s="422"/>
      <c r="E35" s="442"/>
      <c r="F35" s="443"/>
      <c r="G35" s="421"/>
      <c r="H35" s="415">
        <f t="shared" si="1"/>
        <v>24</v>
      </c>
    </row>
    <row r="36" spans="1:10" ht="16.5" thickBot="1" x14ac:dyDescent="0.3">
      <c r="A36" s="415">
        <f t="shared" si="0"/>
        <v>25</v>
      </c>
      <c r="B36" s="411" t="s">
        <v>297</v>
      </c>
      <c r="C36" s="419"/>
      <c r="D36" s="419"/>
      <c r="E36" s="444">
        <f>E32*E34</f>
        <v>2773.5658683537054</v>
      </c>
      <c r="F36" s="27" t="s">
        <v>16</v>
      </c>
      <c r="G36" s="421" t="str">
        <f>"Line "&amp;A32&amp;" x Line "&amp;A34</f>
        <v>Line 21 x Line 23</v>
      </c>
      <c r="H36" s="415">
        <f t="shared" si="1"/>
        <v>25</v>
      </c>
      <c r="J36" s="655"/>
    </row>
    <row r="37" spans="1:10" ht="16.5" thickTop="1" x14ac:dyDescent="0.25">
      <c r="A37" s="415"/>
      <c r="B37" s="411"/>
      <c r="C37" s="418"/>
      <c r="D37" s="418"/>
      <c r="E37" s="445"/>
      <c r="F37" s="446"/>
      <c r="G37" s="421"/>
      <c r="H37" s="415"/>
    </row>
    <row r="38" spans="1:10" x14ac:dyDescent="0.25">
      <c r="A38" s="27" t="s">
        <v>16</v>
      </c>
      <c r="B38" s="25" t="s">
        <v>278</v>
      </c>
      <c r="C38" s="411"/>
      <c r="D38" s="411"/>
      <c r="E38" s="428"/>
      <c r="F38" s="428"/>
      <c r="G38" s="412"/>
      <c r="H38" s="166"/>
    </row>
    <row r="39" spans="1:10" x14ac:dyDescent="0.25">
      <c r="A39" s="27"/>
      <c r="B39" s="25"/>
      <c r="C39" s="411"/>
      <c r="D39" s="411"/>
      <c r="E39" s="428"/>
      <c r="F39" s="428"/>
      <c r="G39" s="412"/>
      <c r="H39" s="166"/>
    </row>
    <row r="40" spans="1:10" x14ac:dyDescent="0.25">
      <c r="A40" s="27"/>
      <c r="B40" s="25"/>
      <c r="C40" s="411"/>
      <c r="D40" s="411"/>
      <c r="E40" s="428"/>
      <c r="F40" s="428"/>
      <c r="G40" s="412"/>
      <c r="H40" s="166"/>
    </row>
    <row r="41" spans="1:10" x14ac:dyDescent="0.25">
      <c r="A41" s="414"/>
      <c r="B41" s="769" t="str">
        <f>B3</f>
        <v>SAN DIEGO GAS &amp; ELECTRIC COMPANY</v>
      </c>
      <c r="C41" s="769"/>
      <c r="D41" s="769"/>
      <c r="E41" s="769"/>
      <c r="F41" s="769"/>
      <c r="G41" s="769"/>
      <c r="H41" s="166"/>
    </row>
    <row r="42" spans="1:10" x14ac:dyDescent="0.25">
      <c r="B42" s="769" t="str">
        <f>B4</f>
        <v>CITIZENS' SHARE OF THE BORDER EAST LINE</v>
      </c>
      <c r="C42" s="769"/>
      <c r="D42" s="769"/>
      <c r="E42" s="769"/>
      <c r="F42" s="769"/>
      <c r="G42" s="769"/>
      <c r="H42" s="429"/>
    </row>
    <row r="43" spans="1:10" x14ac:dyDescent="0.25">
      <c r="B43" s="770" t="str">
        <f>B5</f>
        <v xml:space="preserve">Section 2 - Non-Direct Expense Cost Component </v>
      </c>
      <c r="C43" s="770"/>
      <c r="D43" s="770"/>
      <c r="E43" s="770"/>
      <c r="F43" s="770"/>
      <c r="G43" s="770"/>
      <c r="H43" s="422"/>
    </row>
    <row r="44" spans="1:10" x14ac:dyDescent="0.25">
      <c r="B44" s="771" t="str">
        <f>B6</f>
        <v>Base Period &amp; True-Up Period 12 - Months Ending December 31, 2019</v>
      </c>
      <c r="C44" s="771"/>
      <c r="D44" s="771"/>
      <c r="E44" s="771"/>
      <c r="F44" s="771"/>
      <c r="G44" s="771"/>
      <c r="H44" s="422"/>
    </row>
    <row r="45" spans="1:10" x14ac:dyDescent="0.25">
      <c r="B45" s="768" t="str">
        <f>B7</f>
        <v>($1,000)</v>
      </c>
      <c r="C45" s="765"/>
      <c r="D45" s="765"/>
      <c r="E45" s="765"/>
      <c r="F45" s="765"/>
      <c r="G45" s="765"/>
      <c r="H45" s="93"/>
    </row>
    <row r="46" spans="1:10" x14ac:dyDescent="0.25">
      <c r="A46" s="447"/>
      <c r="B46" s="411"/>
      <c r="C46" s="411"/>
      <c r="D46" s="411"/>
      <c r="E46" s="411"/>
      <c r="F46" s="411"/>
      <c r="G46" s="411"/>
      <c r="H46" s="166"/>
    </row>
    <row r="47" spans="1:10" x14ac:dyDescent="0.25">
      <c r="A47" s="415" t="s">
        <v>2</v>
      </c>
      <c r="B47" s="411"/>
      <c r="C47" s="411"/>
      <c r="D47" s="411"/>
      <c r="E47" s="652"/>
      <c r="F47" s="652"/>
      <c r="G47" s="411"/>
      <c r="H47" s="415" t="s">
        <v>2</v>
      </c>
    </row>
    <row r="48" spans="1:10" x14ac:dyDescent="0.25">
      <c r="A48" s="415" t="s">
        <v>6</v>
      </c>
      <c r="B48" s="411"/>
      <c r="C48" s="411"/>
      <c r="D48" s="411"/>
      <c r="E48" s="703" t="s">
        <v>4</v>
      </c>
      <c r="F48" s="421"/>
      <c r="G48" s="703" t="s">
        <v>5</v>
      </c>
      <c r="H48" s="415" t="s">
        <v>6</v>
      </c>
    </row>
    <row r="49" spans="1:10" x14ac:dyDescent="0.25">
      <c r="A49" s="415"/>
      <c r="B49" s="411"/>
      <c r="C49" s="411"/>
      <c r="D49" s="411"/>
      <c r="E49" s="652"/>
      <c r="F49" s="652"/>
      <c r="G49" s="411"/>
      <c r="H49" s="415"/>
    </row>
    <row r="50" spans="1:10" x14ac:dyDescent="0.25">
      <c r="A50" s="415">
        <v>1</v>
      </c>
      <c r="B50" s="448" t="s">
        <v>298</v>
      </c>
      <c r="C50" s="448"/>
      <c r="D50" s="448"/>
      <c r="E50" s="658">
        <v>5088136.5527160363</v>
      </c>
      <c r="F50" s="27" t="s">
        <v>16</v>
      </c>
      <c r="G50" s="421" t="s">
        <v>458</v>
      </c>
      <c r="H50" s="415">
        <f>A50</f>
        <v>1</v>
      </c>
    </row>
    <row r="51" spans="1:10" x14ac:dyDescent="0.25">
      <c r="A51" s="415">
        <f>A50+1</f>
        <v>2</v>
      </c>
      <c r="B51" s="411"/>
      <c r="C51" s="411"/>
      <c r="D51" s="411"/>
      <c r="E51" s="410"/>
      <c r="F51" s="652"/>
      <c r="G51" s="411"/>
      <c r="H51" s="415">
        <f>H50+1</f>
        <v>2</v>
      </c>
    </row>
    <row r="52" spans="1:10" x14ac:dyDescent="0.25">
      <c r="A52" s="415">
        <f t="shared" ref="A52:A100" si="2">A51+1</f>
        <v>3</v>
      </c>
      <c r="B52" s="417" t="s">
        <v>299</v>
      </c>
      <c r="C52" s="417"/>
      <c r="D52" s="417"/>
      <c r="E52" s="449"/>
      <c r="F52" s="450"/>
      <c r="G52" s="411"/>
      <c r="H52" s="415">
        <f t="shared" ref="H52:H100" si="3">H51+1</f>
        <v>3</v>
      </c>
    </row>
    <row r="53" spans="1:10" x14ac:dyDescent="0.25">
      <c r="A53" s="415">
        <f t="shared" si="2"/>
        <v>4</v>
      </c>
      <c r="B53" s="418" t="s">
        <v>300</v>
      </c>
      <c r="C53" s="418"/>
      <c r="D53" s="418"/>
      <c r="E53" s="451">
        <v>42749.708679999996</v>
      </c>
      <c r="F53" s="27" t="s">
        <v>16</v>
      </c>
      <c r="G53" s="421" t="s">
        <v>459</v>
      </c>
      <c r="H53" s="415">
        <f t="shared" si="3"/>
        <v>4</v>
      </c>
      <c r="J53" s="452"/>
    </row>
    <row r="54" spans="1:10" x14ac:dyDescent="0.25">
      <c r="A54" s="415">
        <f t="shared" si="2"/>
        <v>5</v>
      </c>
      <c r="B54" s="418"/>
      <c r="C54" s="418"/>
      <c r="D54" s="418"/>
      <c r="E54" s="299"/>
      <c r="F54" s="453"/>
      <c r="G54" s="421"/>
      <c r="H54" s="415">
        <f t="shared" si="3"/>
        <v>5</v>
      </c>
      <c r="J54" s="452"/>
    </row>
    <row r="55" spans="1:10" x14ac:dyDescent="0.25">
      <c r="A55" s="415">
        <f t="shared" si="2"/>
        <v>6</v>
      </c>
      <c r="B55" s="418" t="s">
        <v>301</v>
      </c>
      <c r="C55" s="411"/>
      <c r="D55" s="411"/>
      <c r="E55" s="659">
        <f>E53/E50</f>
        <v>8.4018398950358938E-3</v>
      </c>
      <c r="F55" s="27" t="s">
        <v>16</v>
      </c>
      <c r="G55" s="421" t="s">
        <v>460</v>
      </c>
      <c r="H55" s="415">
        <f t="shared" si="3"/>
        <v>6</v>
      </c>
      <c r="J55" s="452"/>
    </row>
    <row r="56" spans="1:10" x14ac:dyDescent="0.25">
      <c r="A56" s="415">
        <f t="shared" si="2"/>
        <v>7</v>
      </c>
      <c r="B56" s="418"/>
      <c r="C56" s="418"/>
      <c r="D56" s="418"/>
      <c r="E56" s="456"/>
      <c r="F56" s="457"/>
      <c r="G56" s="421"/>
      <c r="H56" s="415">
        <f t="shared" si="3"/>
        <v>7</v>
      </c>
    </row>
    <row r="57" spans="1:10" x14ac:dyDescent="0.25">
      <c r="A57" s="415">
        <f t="shared" si="2"/>
        <v>8</v>
      </c>
      <c r="B57" s="417" t="s">
        <v>302</v>
      </c>
      <c r="C57" s="417"/>
      <c r="D57" s="417"/>
      <c r="E57" s="458"/>
      <c r="F57" s="459"/>
      <c r="G57" s="460"/>
      <c r="H57" s="415">
        <f t="shared" si="3"/>
        <v>8</v>
      </c>
    </row>
    <row r="58" spans="1:10" x14ac:dyDescent="0.25">
      <c r="A58" s="415">
        <f t="shared" si="2"/>
        <v>9</v>
      </c>
      <c r="B58" s="418" t="s">
        <v>303</v>
      </c>
      <c r="C58" s="418"/>
      <c r="D58" s="418"/>
      <c r="E58" s="461">
        <v>39645.708637133648</v>
      </c>
      <c r="F58" s="27" t="s">
        <v>16</v>
      </c>
      <c r="G58" s="421" t="s">
        <v>461</v>
      </c>
      <c r="H58" s="415">
        <f t="shared" si="3"/>
        <v>9</v>
      </c>
    </row>
    <row r="59" spans="1:10" x14ac:dyDescent="0.25">
      <c r="A59" s="415">
        <f t="shared" si="2"/>
        <v>10</v>
      </c>
      <c r="B59" s="411"/>
      <c r="C59" s="411"/>
      <c r="D59" s="411"/>
      <c r="E59" s="458"/>
      <c r="F59" s="459"/>
      <c r="G59" s="421"/>
      <c r="H59" s="415">
        <f t="shared" si="3"/>
        <v>10</v>
      </c>
    </row>
    <row r="60" spans="1:10" x14ac:dyDescent="0.25">
      <c r="A60" s="415">
        <f t="shared" si="2"/>
        <v>11</v>
      </c>
      <c r="B60" s="462" t="s">
        <v>304</v>
      </c>
      <c r="C60" s="460"/>
      <c r="D60" s="460"/>
      <c r="E60" s="659">
        <f>E58/E50</f>
        <v>7.7917933660744338E-3</v>
      </c>
      <c r="F60" s="27" t="s">
        <v>16</v>
      </c>
      <c r="G60" s="421" t="s">
        <v>462</v>
      </c>
      <c r="H60" s="415">
        <f t="shared" si="3"/>
        <v>11</v>
      </c>
    </row>
    <row r="61" spans="1:10" x14ac:dyDescent="0.25">
      <c r="A61" s="415">
        <f t="shared" si="2"/>
        <v>12</v>
      </c>
      <c r="B61" s="460"/>
      <c r="C61" s="460"/>
      <c r="D61" s="460"/>
      <c r="E61" s="463"/>
      <c r="F61" s="464"/>
      <c r="G61" s="421"/>
      <c r="H61" s="415">
        <f t="shared" si="3"/>
        <v>12</v>
      </c>
    </row>
    <row r="62" spans="1:10" x14ac:dyDescent="0.25">
      <c r="A62" s="415">
        <f t="shared" si="2"/>
        <v>13</v>
      </c>
      <c r="B62" s="417" t="s">
        <v>305</v>
      </c>
      <c r="C62" s="460"/>
      <c r="D62" s="460"/>
      <c r="E62" s="463"/>
      <c r="F62" s="464"/>
      <c r="G62" s="421"/>
      <c r="H62" s="415">
        <f t="shared" si="3"/>
        <v>13</v>
      </c>
    </row>
    <row r="63" spans="1:10" x14ac:dyDescent="0.25">
      <c r="A63" s="415">
        <f t="shared" si="2"/>
        <v>14</v>
      </c>
      <c r="B63" s="462" t="s">
        <v>287</v>
      </c>
      <c r="C63" s="460"/>
      <c r="D63" s="460"/>
      <c r="E63" s="465">
        <v>50207.598687903926</v>
      </c>
      <c r="F63" s="464"/>
      <c r="G63" s="421" t="s">
        <v>463</v>
      </c>
      <c r="H63" s="415">
        <f t="shared" si="3"/>
        <v>14</v>
      </c>
    </row>
    <row r="64" spans="1:10" x14ac:dyDescent="0.25">
      <c r="A64" s="415">
        <f t="shared" si="2"/>
        <v>15</v>
      </c>
      <c r="B64" s="460"/>
      <c r="C64" s="460"/>
      <c r="D64" s="460"/>
      <c r="E64" s="458"/>
      <c r="F64" s="464"/>
      <c r="G64" s="421"/>
      <c r="H64" s="415">
        <f t="shared" si="3"/>
        <v>15</v>
      </c>
    </row>
    <row r="65" spans="1:8" x14ac:dyDescent="0.25">
      <c r="A65" s="415">
        <f t="shared" si="2"/>
        <v>16</v>
      </c>
      <c r="B65" s="462" t="s">
        <v>306</v>
      </c>
      <c r="C65" s="460"/>
      <c r="D65" s="460"/>
      <c r="E65" s="454">
        <f>E63/E50</f>
        <v>9.8675808260498075E-3</v>
      </c>
      <c r="F65" s="464"/>
      <c r="G65" s="421" t="s">
        <v>464</v>
      </c>
      <c r="H65" s="415">
        <f t="shared" si="3"/>
        <v>16</v>
      </c>
    </row>
    <row r="66" spans="1:8" x14ac:dyDescent="0.25">
      <c r="A66" s="415">
        <f t="shared" si="2"/>
        <v>17</v>
      </c>
      <c r="B66" s="460"/>
      <c r="C66" s="460"/>
      <c r="D66" s="460"/>
      <c r="E66" s="463"/>
      <c r="F66" s="464"/>
      <c r="G66" s="421"/>
      <c r="H66" s="415">
        <f t="shared" si="3"/>
        <v>17</v>
      </c>
    </row>
    <row r="67" spans="1:8" x14ac:dyDescent="0.25">
      <c r="A67" s="415">
        <f t="shared" si="2"/>
        <v>18</v>
      </c>
      <c r="B67" s="417" t="s">
        <v>307</v>
      </c>
      <c r="C67" s="417"/>
      <c r="D67" s="417"/>
      <c r="E67" s="463"/>
      <c r="F67" s="464"/>
      <c r="G67" s="421"/>
      <c r="H67" s="415">
        <f t="shared" si="3"/>
        <v>18</v>
      </c>
    </row>
    <row r="68" spans="1:8" x14ac:dyDescent="0.25">
      <c r="A68" s="415">
        <f t="shared" si="2"/>
        <v>19</v>
      </c>
      <c r="B68" s="418" t="s">
        <v>288</v>
      </c>
      <c r="C68" s="418"/>
      <c r="D68" s="418"/>
      <c r="E68" s="465">
        <v>1383.5554240905337</v>
      </c>
      <c r="F68" s="652"/>
      <c r="G68" s="421" t="s">
        <v>465</v>
      </c>
      <c r="H68" s="415">
        <f t="shared" si="3"/>
        <v>19</v>
      </c>
    </row>
    <row r="69" spans="1:8" x14ac:dyDescent="0.25">
      <c r="A69" s="415">
        <f t="shared" si="2"/>
        <v>20</v>
      </c>
      <c r="B69" s="460"/>
      <c r="C69" s="460"/>
      <c r="D69" s="460"/>
      <c r="E69" s="463"/>
      <c r="F69" s="464"/>
      <c r="G69" s="421"/>
      <c r="H69" s="415">
        <f t="shared" si="3"/>
        <v>20</v>
      </c>
    </row>
    <row r="70" spans="1:8" x14ac:dyDescent="0.25">
      <c r="A70" s="415">
        <f t="shared" si="2"/>
        <v>21</v>
      </c>
      <c r="B70" s="462" t="s">
        <v>308</v>
      </c>
      <c r="C70" s="460"/>
      <c r="D70" s="460"/>
      <c r="E70" s="454">
        <f>E68/E50</f>
        <v>2.7191790349101279E-4</v>
      </c>
      <c r="F70" s="455"/>
      <c r="G70" s="421" t="s">
        <v>466</v>
      </c>
      <c r="H70" s="415">
        <f t="shared" si="3"/>
        <v>21</v>
      </c>
    </row>
    <row r="71" spans="1:8" x14ac:dyDescent="0.25">
      <c r="A71" s="415">
        <f t="shared" si="2"/>
        <v>22</v>
      </c>
      <c r="B71" s="460"/>
      <c r="C71" s="460"/>
      <c r="D71" s="460"/>
      <c r="E71" s="463"/>
      <c r="F71" s="464"/>
      <c r="G71" s="421"/>
      <c r="H71" s="415">
        <f t="shared" si="3"/>
        <v>22</v>
      </c>
    </row>
    <row r="72" spans="1:8" x14ac:dyDescent="0.25">
      <c r="A72" s="415">
        <f t="shared" si="2"/>
        <v>23</v>
      </c>
      <c r="B72" s="417" t="s">
        <v>309</v>
      </c>
      <c r="C72" s="417"/>
      <c r="D72" s="417"/>
      <c r="E72" s="466"/>
      <c r="F72" s="467"/>
      <c r="G72" s="421"/>
      <c r="H72" s="415">
        <f t="shared" si="3"/>
        <v>23</v>
      </c>
    </row>
    <row r="73" spans="1:8" x14ac:dyDescent="0.25">
      <c r="A73" s="415">
        <f t="shared" si="2"/>
        <v>24</v>
      </c>
      <c r="B73" s="468" t="s">
        <v>310</v>
      </c>
      <c r="C73" s="411"/>
      <c r="D73" s="411"/>
      <c r="E73" s="466"/>
      <c r="F73" s="467"/>
      <c r="G73" s="421"/>
      <c r="H73" s="415">
        <f t="shared" si="3"/>
        <v>24</v>
      </c>
    </row>
    <row r="74" spans="1:8" x14ac:dyDescent="0.25">
      <c r="A74" s="415">
        <f t="shared" si="2"/>
        <v>25</v>
      </c>
      <c r="B74" s="418" t="s">
        <v>311</v>
      </c>
      <c r="C74" s="418"/>
      <c r="D74" s="418"/>
      <c r="E74" s="469">
        <v>50939.981334164491</v>
      </c>
      <c r="F74" s="652"/>
      <c r="G74" s="421" t="s">
        <v>467</v>
      </c>
      <c r="H74" s="415">
        <f t="shared" si="3"/>
        <v>25</v>
      </c>
    </row>
    <row r="75" spans="1:8" x14ac:dyDescent="0.25">
      <c r="A75" s="415">
        <f t="shared" si="2"/>
        <v>26</v>
      </c>
      <c r="B75" s="418" t="s">
        <v>312</v>
      </c>
      <c r="C75" s="418"/>
      <c r="D75" s="418"/>
      <c r="E75" s="470">
        <v>25515.262566078305</v>
      </c>
      <c r="F75" s="652"/>
      <c r="G75" s="421" t="s">
        <v>468</v>
      </c>
      <c r="H75" s="415">
        <f t="shared" si="3"/>
        <v>26</v>
      </c>
    </row>
    <row r="76" spans="1:8" x14ac:dyDescent="0.25">
      <c r="A76" s="415">
        <f t="shared" si="2"/>
        <v>27</v>
      </c>
      <c r="B76" s="418" t="s">
        <v>313</v>
      </c>
      <c r="C76" s="418"/>
      <c r="D76" s="418"/>
      <c r="E76" s="471">
        <v>10299.427164641706</v>
      </c>
      <c r="F76" s="27" t="s">
        <v>16</v>
      </c>
      <c r="G76" s="421" t="s">
        <v>469</v>
      </c>
      <c r="H76" s="415">
        <f t="shared" si="3"/>
        <v>27</v>
      </c>
    </row>
    <row r="77" spans="1:8" x14ac:dyDescent="0.25">
      <c r="A77" s="415">
        <f t="shared" si="2"/>
        <v>28</v>
      </c>
      <c r="B77" s="418" t="s">
        <v>314</v>
      </c>
      <c r="C77" s="411"/>
      <c r="D77" s="411"/>
      <c r="E77" s="472">
        <f>SUM(E74:E76)</f>
        <v>86754.671064884504</v>
      </c>
      <c r="F77" s="27" t="s">
        <v>16</v>
      </c>
      <c r="G77" s="421" t="s">
        <v>470</v>
      </c>
      <c r="H77" s="415">
        <f t="shared" si="3"/>
        <v>28</v>
      </c>
    </row>
    <row r="78" spans="1:8" x14ac:dyDescent="0.25">
      <c r="A78" s="415">
        <f t="shared" si="2"/>
        <v>29</v>
      </c>
      <c r="B78" s="411"/>
      <c r="C78" s="411"/>
      <c r="D78" s="411"/>
      <c r="E78" s="473"/>
      <c r="F78" s="474"/>
      <c r="G78" s="421"/>
      <c r="H78" s="415">
        <f t="shared" si="3"/>
        <v>29</v>
      </c>
    </row>
    <row r="79" spans="1:8" x14ac:dyDescent="0.25">
      <c r="A79" s="415">
        <f t="shared" si="2"/>
        <v>30</v>
      </c>
      <c r="B79" s="418" t="s">
        <v>315</v>
      </c>
      <c r="C79" s="418"/>
      <c r="D79" s="418"/>
      <c r="E79" s="475">
        <v>0.1029321458602192</v>
      </c>
      <c r="F79" s="652"/>
      <c r="G79" s="421" t="s">
        <v>471</v>
      </c>
      <c r="H79" s="415">
        <f t="shared" si="3"/>
        <v>30</v>
      </c>
    </row>
    <row r="80" spans="1:8" x14ac:dyDescent="0.25">
      <c r="A80" s="415">
        <f t="shared" si="2"/>
        <v>31</v>
      </c>
      <c r="B80" s="411"/>
      <c r="C80" s="411"/>
      <c r="D80" s="411"/>
      <c r="E80" s="473"/>
      <c r="F80" s="474"/>
      <c r="G80" s="421"/>
      <c r="H80" s="415">
        <f t="shared" si="3"/>
        <v>31</v>
      </c>
    </row>
    <row r="81" spans="1:9" x14ac:dyDescent="0.25">
      <c r="A81" s="415">
        <f t="shared" si="2"/>
        <v>32</v>
      </c>
      <c r="B81" s="418" t="s">
        <v>316</v>
      </c>
      <c r="C81" s="411"/>
      <c r="D81" s="411"/>
      <c r="E81" s="476">
        <f>E77*E79</f>
        <v>8929.8444561060296</v>
      </c>
      <c r="F81" s="27" t="s">
        <v>16</v>
      </c>
      <c r="G81" s="421" t="s">
        <v>472</v>
      </c>
      <c r="H81" s="415">
        <f t="shared" si="3"/>
        <v>32</v>
      </c>
    </row>
    <row r="82" spans="1:9" x14ac:dyDescent="0.25">
      <c r="A82" s="415">
        <f t="shared" si="2"/>
        <v>33</v>
      </c>
      <c r="B82" s="411"/>
      <c r="C82" s="411"/>
      <c r="D82" s="411"/>
      <c r="E82" s="473"/>
      <c r="F82" s="474"/>
      <c r="G82" s="421"/>
      <c r="H82" s="415">
        <f t="shared" si="3"/>
        <v>33</v>
      </c>
    </row>
    <row r="83" spans="1:9" x14ac:dyDescent="0.25">
      <c r="A83" s="415">
        <f t="shared" si="2"/>
        <v>34</v>
      </c>
      <c r="B83" s="418" t="s">
        <v>317</v>
      </c>
      <c r="C83" s="411"/>
      <c r="D83" s="411"/>
      <c r="E83" s="454">
        <f>E81/E50</f>
        <v>1.7550323902646241E-3</v>
      </c>
      <c r="F83" s="455"/>
      <c r="G83" s="421" t="s">
        <v>473</v>
      </c>
      <c r="H83" s="415">
        <f t="shared" si="3"/>
        <v>34</v>
      </c>
    </row>
    <row r="84" spans="1:9" x14ac:dyDescent="0.25">
      <c r="A84" s="415">
        <f t="shared" si="2"/>
        <v>35</v>
      </c>
      <c r="B84" s="418"/>
      <c r="C84" s="411"/>
      <c r="D84" s="411"/>
      <c r="E84" s="477"/>
      <c r="F84" s="455"/>
      <c r="G84" s="421"/>
      <c r="H84" s="415">
        <f t="shared" si="3"/>
        <v>35</v>
      </c>
    </row>
    <row r="85" spans="1:9" x14ac:dyDescent="0.25">
      <c r="A85" s="415">
        <f t="shared" si="2"/>
        <v>36</v>
      </c>
      <c r="B85" s="417" t="s">
        <v>318</v>
      </c>
      <c r="C85" s="478"/>
      <c r="D85" s="478"/>
      <c r="E85" s="479"/>
      <c r="F85" s="479"/>
      <c r="G85" s="479"/>
      <c r="H85" s="415">
        <f t="shared" si="3"/>
        <v>36</v>
      </c>
    </row>
    <row r="86" spans="1:9" x14ac:dyDescent="0.25">
      <c r="A86" s="415">
        <f t="shared" si="2"/>
        <v>37</v>
      </c>
      <c r="B86" s="418" t="s">
        <v>319</v>
      </c>
      <c r="C86" s="478"/>
      <c r="D86" s="478"/>
      <c r="E86" s="35">
        <v>30239.351098987459</v>
      </c>
      <c r="F86" s="479"/>
      <c r="G86" s="421" t="s">
        <v>474</v>
      </c>
      <c r="H86" s="415">
        <f t="shared" si="3"/>
        <v>37</v>
      </c>
    </row>
    <row r="87" spans="1:9" x14ac:dyDescent="0.25">
      <c r="A87" s="415">
        <f t="shared" si="2"/>
        <v>38</v>
      </c>
      <c r="B87" s="417"/>
      <c r="C87" s="478"/>
      <c r="D87" s="478"/>
      <c r="E87" s="480"/>
      <c r="F87" s="479"/>
      <c r="G87" s="479"/>
      <c r="H87" s="415">
        <f t="shared" si="3"/>
        <v>38</v>
      </c>
    </row>
    <row r="88" spans="1:9" x14ac:dyDescent="0.25">
      <c r="A88" s="415">
        <f t="shared" si="2"/>
        <v>39</v>
      </c>
      <c r="B88" s="418" t="s">
        <v>320</v>
      </c>
      <c r="C88" s="478"/>
      <c r="D88" s="478"/>
      <c r="E88" s="481">
        <v>56838.313075711041</v>
      </c>
      <c r="F88" s="479"/>
      <c r="G88" s="421" t="s">
        <v>475</v>
      </c>
      <c r="H88" s="415">
        <f t="shared" si="3"/>
        <v>39</v>
      </c>
    </row>
    <row r="89" spans="1:9" ht="20.25" x14ac:dyDescent="0.55000000000000004">
      <c r="A89" s="415">
        <f t="shared" si="2"/>
        <v>40</v>
      </c>
      <c r="B89" s="478"/>
      <c r="C89" s="482"/>
      <c r="D89" s="482"/>
      <c r="E89" s="483"/>
      <c r="F89" s="484"/>
      <c r="G89" s="478"/>
      <c r="H89" s="415">
        <f t="shared" si="3"/>
        <v>40</v>
      </c>
    </row>
    <row r="90" spans="1:9" x14ac:dyDescent="0.25">
      <c r="A90" s="415">
        <f t="shared" si="2"/>
        <v>41</v>
      </c>
      <c r="B90" s="418" t="s">
        <v>321</v>
      </c>
      <c r="C90" s="482"/>
      <c r="D90" s="482"/>
      <c r="E90" s="485">
        <f>E86+E88</f>
        <v>87077.664174698497</v>
      </c>
      <c r="F90" s="486"/>
      <c r="G90" s="421" t="s">
        <v>476</v>
      </c>
      <c r="H90" s="415">
        <f t="shared" si="3"/>
        <v>41</v>
      </c>
    </row>
    <row r="91" spans="1:9" x14ac:dyDescent="0.25">
      <c r="A91" s="415">
        <f t="shared" si="2"/>
        <v>42</v>
      </c>
      <c r="B91" s="487"/>
      <c r="C91" s="482"/>
      <c r="D91" s="482"/>
      <c r="E91" s="488"/>
      <c r="F91" s="486"/>
      <c r="G91" s="489"/>
      <c r="H91" s="415">
        <f t="shared" si="3"/>
        <v>42</v>
      </c>
    </row>
    <row r="92" spans="1:9" x14ac:dyDescent="0.25">
      <c r="A92" s="415">
        <f t="shared" si="2"/>
        <v>43</v>
      </c>
      <c r="B92" s="418" t="s">
        <v>315</v>
      </c>
      <c r="C92" s="482"/>
      <c r="D92" s="482"/>
      <c r="E92" s="490">
        <f>E79</f>
        <v>0.1029321458602192</v>
      </c>
      <c r="F92" s="486"/>
      <c r="G92" s="421" t="s">
        <v>477</v>
      </c>
      <c r="H92" s="415">
        <f t="shared" si="3"/>
        <v>43</v>
      </c>
    </row>
    <row r="93" spans="1:9" x14ac:dyDescent="0.25">
      <c r="A93" s="415">
        <f t="shared" si="2"/>
        <v>44</v>
      </c>
      <c r="B93" s="478"/>
      <c r="C93" s="482"/>
      <c r="D93" s="482"/>
      <c r="E93" s="491"/>
      <c r="F93" s="492"/>
      <c r="G93" s="478"/>
      <c r="H93" s="415">
        <f t="shared" si="3"/>
        <v>44</v>
      </c>
    </row>
    <row r="94" spans="1:9" x14ac:dyDescent="0.25">
      <c r="A94" s="415">
        <f t="shared" si="2"/>
        <v>45</v>
      </c>
      <c r="B94" s="418" t="s">
        <v>322</v>
      </c>
      <c r="C94" s="482"/>
      <c r="D94" s="482"/>
      <c r="E94" s="493">
        <f>E90*E92</f>
        <v>8963.0908299972507</v>
      </c>
      <c r="F94" s="494"/>
      <c r="G94" s="421" t="s">
        <v>478</v>
      </c>
      <c r="H94" s="415">
        <f t="shared" si="3"/>
        <v>45</v>
      </c>
    </row>
    <row r="95" spans="1:9" x14ac:dyDescent="0.25">
      <c r="A95" s="415">
        <f t="shared" si="2"/>
        <v>46</v>
      </c>
      <c r="B95" s="487"/>
      <c r="C95" s="482"/>
      <c r="D95" s="482"/>
      <c r="E95" s="495"/>
      <c r="F95" s="494"/>
      <c r="G95" s="489"/>
      <c r="H95" s="415">
        <f t="shared" si="3"/>
        <v>46</v>
      </c>
    </row>
    <row r="96" spans="1:9" x14ac:dyDescent="0.25">
      <c r="A96" s="415">
        <f t="shared" si="2"/>
        <v>47</v>
      </c>
      <c r="B96" s="418" t="s">
        <v>323</v>
      </c>
      <c r="C96" s="482"/>
      <c r="D96" s="482"/>
      <c r="E96" s="496">
        <v>12084.539340604279</v>
      </c>
      <c r="F96" s="494"/>
      <c r="G96" s="421" t="s">
        <v>479</v>
      </c>
      <c r="H96" s="415">
        <f t="shared" si="3"/>
        <v>47</v>
      </c>
      <c r="I96" s="482"/>
    </row>
    <row r="97" spans="1:8" x14ac:dyDescent="0.25">
      <c r="A97" s="415">
        <f t="shared" si="2"/>
        <v>48</v>
      </c>
      <c r="B97" s="418"/>
      <c r="C97" s="482"/>
      <c r="D97" s="482"/>
      <c r="E97" s="263"/>
      <c r="F97" s="494"/>
      <c r="G97" s="421"/>
      <c r="H97" s="415">
        <f t="shared" si="3"/>
        <v>48</v>
      </c>
    </row>
    <row r="98" spans="1:8" x14ac:dyDescent="0.25">
      <c r="A98" s="415">
        <f t="shared" si="2"/>
        <v>49</v>
      </c>
      <c r="B98" s="418" t="s">
        <v>324</v>
      </c>
      <c r="C98" s="482"/>
      <c r="D98" s="482"/>
      <c r="E98" s="263">
        <f>E94+E96</f>
        <v>21047.630170601529</v>
      </c>
      <c r="F98" s="494"/>
      <c r="G98" s="421" t="s">
        <v>480</v>
      </c>
      <c r="H98" s="415">
        <f t="shared" si="3"/>
        <v>49</v>
      </c>
    </row>
    <row r="99" spans="1:8" x14ac:dyDescent="0.25">
      <c r="A99" s="415">
        <f t="shared" si="2"/>
        <v>50</v>
      </c>
      <c r="B99" s="478"/>
      <c r="C99" s="482"/>
      <c r="D99" s="482"/>
      <c r="E99" s="497"/>
      <c r="F99" s="478"/>
      <c r="G99" s="478"/>
      <c r="H99" s="415">
        <f t="shared" si="3"/>
        <v>50</v>
      </c>
    </row>
    <row r="100" spans="1:8" ht="16.5" thickBot="1" x14ac:dyDescent="0.3">
      <c r="A100" s="415">
        <f t="shared" si="2"/>
        <v>51</v>
      </c>
      <c r="B100" s="418" t="s">
        <v>325</v>
      </c>
      <c r="C100" s="482"/>
      <c r="D100" s="482"/>
      <c r="E100" s="498">
        <f>E98/E50</f>
        <v>4.1366087471387441E-3</v>
      </c>
      <c r="F100" s="499"/>
      <c r="G100" s="421" t="s">
        <v>481</v>
      </c>
      <c r="H100" s="415">
        <f t="shared" si="3"/>
        <v>51</v>
      </c>
    </row>
    <row r="101" spans="1:8" ht="16.5" thickTop="1" x14ac:dyDescent="0.25">
      <c r="A101" s="422"/>
    </row>
    <row r="102" spans="1:8" x14ac:dyDescent="0.25">
      <c r="A102" s="27" t="s">
        <v>16</v>
      </c>
      <c r="B102" s="25" t="s">
        <v>278</v>
      </c>
    </row>
    <row r="103" spans="1:8" x14ac:dyDescent="0.25">
      <c r="A103" s="422"/>
    </row>
    <row r="104" spans="1:8" x14ac:dyDescent="0.25">
      <c r="A104" s="422"/>
    </row>
    <row r="105" spans="1:8" x14ac:dyDescent="0.25">
      <c r="A105" s="422"/>
    </row>
    <row r="106" spans="1:8" x14ac:dyDescent="0.25">
      <c r="A106" s="422"/>
    </row>
    <row r="107" spans="1:8" x14ac:dyDescent="0.25">
      <c r="A107" s="422"/>
    </row>
    <row r="108" spans="1:8" x14ac:dyDescent="0.25">
      <c r="A108" s="422"/>
    </row>
    <row r="109" spans="1:8" x14ac:dyDescent="0.25">
      <c r="A109" s="422"/>
    </row>
    <row r="110" spans="1:8" x14ac:dyDescent="0.25">
      <c r="A110" s="422"/>
    </row>
    <row r="111" spans="1:8" x14ac:dyDescent="0.25">
      <c r="A111" s="422"/>
    </row>
    <row r="112" spans="1:8" x14ac:dyDescent="0.25">
      <c r="A112" s="422"/>
    </row>
    <row r="113" spans="1:1" x14ac:dyDescent="0.25">
      <c r="A113" s="422"/>
    </row>
    <row r="114" spans="1:1" x14ac:dyDescent="0.25">
      <c r="A114" s="422"/>
    </row>
    <row r="115" spans="1:1" x14ac:dyDescent="0.25">
      <c r="A115" s="422"/>
    </row>
    <row r="116" spans="1:1" x14ac:dyDescent="0.25">
      <c r="A116" s="422"/>
    </row>
    <row r="117" spans="1:1" x14ac:dyDescent="0.25">
      <c r="A117" s="422"/>
    </row>
    <row r="118" spans="1:1" x14ac:dyDescent="0.25">
      <c r="A118" s="422"/>
    </row>
    <row r="119" spans="1:1" x14ac:dyDescent="0.25">
      <c r="A119" s="422"/>
    </row>
    <row r="120" spans="1:1" x14ac:dyDescent="0.25">
      <c r="A120" s="422"/>
    </row>
    <row r="121" spans="1:1" x14ac:dyDescent="0.25">
      <c r="A121" s="422"/>
    </row>
    <row r="122" spans="1:1" x14ac:dyDescent="0.25">
      <c r="A122" s="422"/>
    </row>
    <row r="123" spans="1:1" x14ac:dyDescent="0.25">
      <c r="A123" s="422"/>
    </row>
    <row r="124" spans="1:1" x14ac:dyDescent="0.25">
      <c r="A124" s="422"/>
    </row>
    <row r="125" spans="1:1" x14ac:dyDescent="0.25">
      <c r="A125" s="422"/>
    </row>
    <row r="126" spans="1:1" x14ac:dyDescent="0.25">
      <c r="A126" s="422"/>
    </row>
    <row r="127" spans="1:1" x14ac:dyDescent="0.25">
      <c r="A127" s="422"/>
    </row>
    <row r="128" spans="1:1" x14ac:dyDescent="0.25">
      <c r="A128" s="422"/>
    </row>
    <row r="129" spans="1:1" x14ac:dyDescent="0.25">
      <c r="A129" s="422"/>
    </row>
    <row r="130" spans="1:1" x14ac:dyDescent="0.25">
      <c r="A130" s="422"/>
    </row>
    <row r="131" spans="1:1" x14ac:dyDescent="0.25">
      <c r="A131" s="422"/>
    </row>
    <row r="132" spans="1:1" x14ac:dyDescent="0.25">
      <c r="A132" s="422"/>
    </row>
    <row r="133" spans="1:1" x14ac:dyDescent="0.25">
      <c r="A133" s="422"/>
    </row>
    <row r="134" spans="1:1" x14ac:dyDescent="0.25">
      <c r="A134" s="422"/>
    </row>
    <row r="135" spans="1:1" x14ac:dyDescent="0.25">
      <c r="A135" s="422"/>
    </row>
    <row r="136" spans="1:1" x14ac:dyDescent="0.25">
      <c r="A136" s="422"/>
    </row>
    <row r="137" spans="1:1" x14ac:dyDescent="0.25">
      <c r="A137" s="422"/>
    </row>
    <row r="138" spans="1:1" x14ac:dyDescent="0.25">
      <c r="A138" s="422"/>
    </row>
    <row r="139" spans="1:1" x14ac:dyDescent="0.25">
      <c r="A139" s="422"/>
    </row>
    <row r="140" spans="1:1" x14ac:dyDescent="0.25">
      <c r="A140" s="422"/>
    </row>
    <row r="141" spans="1:1" x14ac:dyDescent="0.25">
      <c r="A141" s="422"/>
    </row>
    <row r="142" spans="1:1" x14ac:dyDescent="0.25">
      <c r="A142" s="422"/>
    </row>
    <row r="143" spans="1:1" x14ac:dyDescent="0.25">
      <c r="A143" s="422"/>
    </row>
    <row r="144" spans="1:1" x14ac:dyDescent="0.25">
      <c r="A144" s="422"/>
    </row>
    <row r="145" spans="1:6" x14ac:dyDescent="0.25">
      <c r="A145" s="422"/>
    </row>
    <row r="146" spans="1:6" x14ac:dyDescent="0.25">
      <c r="A146" s="422"/>
    </row>
    <row r="147" spans="1:6" x14ac:dyDescent="0.25">
      <c r="A147" s="422"/>
    </row>
    <row r="148" spans="1:6" x14ac:dyDescent="0.25">
      <c r="A148" s="422"/>
    </row>
    <row r="149" spans="1:6" x14ac:dyDescent="0.25">
      <c r="A149" s="422"/>
    </row>
    <row r="150" spans="1:6" x14ac:dyDescent="0.25">
      <c r="A150" s="422"/>
    </row>
    <row r="151" spans="1:6" x14ac:dyDescent="0.25">
      <c r="A151" s="422"/>
    </row>
    <row r="152" spans="1:6" x14ac:dyDescent="0.25">
      <c r="A152" s="422"/>
    </row>
    <row r="153" spans="1:6" x14ac:dyDescent="0.25">
      <c r="A153" s="422"/>
    </row>
    <row r="154" spans="1:6" x14ac:dyDescent="0.25">
      <c r="A154" s="422"/>
    </row>
    <row r="155" spans="1:6" x14ac:dyDescent="0.25">
      <c r="A155" s="422"/>
      <c r="B155" s="412"/>
      <c r="C155" s="412"/>
      <c r="D155" s="412"/>
      <c r="E155" s="412"/>
      <c r="F155" s="412"/>
    </row>
    <row r="156" spans="1:6" x14ac:dyDescent="0.25">
      <c r="A156" s="422"/>
      <c r="B156" s="412"/>
      <c r="C156" s="412"/>
      <c r="D156" s="412"/>
      <c r="E156" s="412"/>
      <c r="F156" s="412"/>
    </row>
    <row r="161" spans="1:6" x14ac:dyDescent="0.25">
      <c r="A161" s="414"/>
      <c r="B161" s="412"/>
      <c r="C161" s="412"/>
      <c r="D161" s="412"/>
      <c r="E161" s="500"/>
      <c r="F161" s="500"/>
    </row>
  </sheetData>
  <mergeCells count="10">
    <mergeCell ref="B42:G42"/>
    <mergeCell ref="B43:G43"/>
    <mergeCell ref="B44:G44"/>
    <mergeCell ref="B45:G45"/>
    <mergeCell ref="B3:G3"/>
    <mergeCell ref="B4:G4"/>
    <mergeCell ref="B5:G5"/>
    <mergeCell ref="B6:G6"/>
    <mergeCell ref="B7:G7"/>
    <mergeCell ref="B41:G41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 SEC. 2 WITH COST ADJ. INCL. IN APPENDIX X CYCLE 10 (ER22-139)</oddHeader>
    <oddFooter>&amp;L&amp;F&amp;CPage 6.&amp;P&amp;R&amp;A</oddFooter>
  </headerFooter>
  <rowBreaks count="1" manualBreakCount="1">
    <brk id="39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1D3C6-986A-4421-B2F4-CFB215B364A4}">
  <sheetPr>
    <pageSetUpPr fitToPage="1"/>
  </sheetPr>
  <dimension ref="A1:S41"/>
  <sheetViews>
    <sheetView zoomScale="80" zoomScaleNormal="80" workbookViewId="0"/>
  </sheetViews>
  <sheetFormatPr defaultColWidth="9.140625" defaultRowHeight="15.75" x14ac:dyDescent="0.25"/>
  <cols>
    <col min="1" max="1" width="5.28515625" style="39" customWidth="1"/>
    <col min="2" max="2" width="12.5703125" style="40" customWidth="1"/>
    <col min="3" max="3" width="20" style="40" customWidth="1"/>
    <col min="4" max="7" width="21.5703125" style="40" customWidth="1"/>
    <col min="8" max="8" width="22.7109375" style="40" bestFit="1" customWidth="1"/>
    <col min="9" max="11" width="21.5703125" style="40" customWidth="1"/>
    <col min="12" max="12" width="2" style="40" bestFit="1" customWidth="1"/>
    <col min="13" max="14" width="21.5703125" style="40" customWidth="1"/>
    <col min="15" max="15" width="1.85546875" style="40" customWidth="1"/>
    <col min="16" max="16" width="5.28515625" style="39" customWidth="1"/>
    <col min="17" max="17" width="13.5703125" style="40" customWidth="1"/>
    <col min="18" max="18" width="12.5703125" style="40" customWidth="1"/>
    <col min="19" max="16384" width="9.140625" style="40"/>
  </cols>
  <sheetData>
    <row r="1" spans="1:16" x14ac:dyDescent="0.25">
      <c r="I1" s="388"/>
      <c r="N1" s="41"/>
      <c r="O1" s="41"/>
    </row>
    <row r="2" spans="1:16" x14ac:dyDescent="0.25">
      <c r="B2" s="772" t="s">
        <v>21</v>
      </c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772"/>
    </row>
    <row r="3" spans="1:16" x14ac:dyDescent="0.25">
      <c r="B3" s="765" t="s">
        <v>277</v>
      </c>
      <c r="C3" s="765"/>
      <c r="D3" s="765"/>
      <c r="E3" s="765"/>
      <c r="F3" s="765"/>
      <c r="G3" s="765"/>
      <c r="H3" s="765"/>
      <c r="I3" s="765"/>
      <c r="J3" s="765"/>
      <c r="K3" s="765"/>
      <c r="L3" s="765"/>
      <c r="M3" s="765"/>
      <c r="N3" s="765"/>
      <c r="O3" s="765"/>
      <c r="P3" s="765"/>
    </row>
    <row r="4" spans="1:16" x14ac:dyDescent="0.25">
      <c r="B4" s="765" t="s">
        <v>188</v>
      </c>
      <c r="C4" s="765"/>
      <c r="D4" s="765"/>
      <c r="E4" s="765"/>
      <c r="F4" s="765"/>
      <c r="G4" s="765"/>
      <c r="H4" s="765"/>
      <c r="I4" s="765"/>
      <c r="J4" s="765"/>
      <c r="K4" s="765"/>
      <c r="L4" s="765"/>
      <c r="M4" s="765"/>
      <c r="N4" s="765"/>
      <c r="O4" s="765"/>
      <c r="P4" s="765"/>
    </row>
    <row r="5" spans="1:16" x14ac:dyDescent="0.25">
      <c r="B5" s="773" t="s">
        <v>482</v>
      </c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3"/>
    </row>
    <row r="6" spans="1:16" x14ac:dyDescent="0.25">
      <c r="B6" s="774" t="s">
        <v>1</v>
      </c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01"/>
      <c r="P6" s="387"/>
    </row>
    <row r="7" spans="1:16" x14ac:dyDescent="0.25">
      <c r="A7" s="387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</row>
    <row r="8" spans="1:16" x14ac:dyDescent="0.25">
      <c r="A8" s="39" t="s">
        <v>2</v>
      </c>
      <c r="B8" s="57"/>
      <c r="E8" s="46"/>
      <c r="F8" s="138"/>
      <c r="G8" s="138"/>
      <c r="P8" s="39" t="s">
        <v>2</v>
      </c>
    </row>
    <row r="9" spans="1:16" x14ac:dyDescent="0.25">
      <c r="A9" s="39" t="s">
        <v>6</v>
      </c>
      <c r="B9" s="57"/>
      <c r="E9" s="46"/>
      <c r="F9" s="138"/>
      <c r="G9" s="138"/>
      <c r="P9" s="39" t="s">
        <v>6</v>
      </c>
    </row>
    <row r="10" spans="1:16" x14ac:dyDescent="0.25">
      <c r="A10" s="39">
        <v>1</v>
      </c>
      <c r="D10" s="27" t="s">
        <v>16</v>
      </c>
      <c r="E10" s="46"/>
      <c r="I10" s="27" t="s">
        <v>16</v>
      </c>
      <c r="J10" s="300"/>
      <c r="L10" s="27"/>
      <c r="O10" s="27"/>
      <c r="P10" s="39">
        <v>1</v>
      </c>
    </row>
    <row r="11" spans="1:16" x14ac:dyDescent="0.25">
      <c r="A11" s="39">
        <f t="shared" ref="A11:A31" si="0">A10+1</f>
        <v>2</v>
      </c>
      <c r="C11" s="301" t="s">
        <v>189</v>
      </c>
      <c r="D11" s="301" t="s">
        <v>190</v>
      </c>
      <c r="E11" s="301" t="s">
        <v>191</v>
      </c>
      <c r="F11" s="301" t="s">
        <v>192</v>
      </c>
      <c r="G11" s="301" t="s">
        <v>193</v>
      </c>
      <c r="H11" s="301" t="s">
        <v>194</v>
      </c>
      <c r="I11" s="301" t="s">
        <v>195</v>
      </c>
      <c r="J11" s="301" t="s">
        <v>196</v>
      </c>
      <c r="K11" s="301" t="s">
        <v>197</v>
      </c>
      <c r="L11" s="301"/>
      <c r="M11" s="301" t="s">
        <v>198</v>
      </c>
      <c r="N11" s="301" t="s">
        <v>199</v>
      </c>
      <c r="O11" s="301"/>
      <c r="P11" s="39">
        <f t="shared" ref="P11:P31" si="1">P10+1</f>
        <v>2</v>
      </c>
    </row>
    <row r="12" spans="1:16" x14ac:dyDescent="0.25">
      <c r="A12" s="39">
        <f t="shared" si="0"/>
        <v>3</v>
      </c>
      <c r="B12" s="46" t="s">
        <v>200</v>
      </c>
      <c r="C12" s="39"/>
      <c r="D12" s="39"/>
      <c r="E12" s="39"/>
      <c r="F12" s="39" t="str">
        <f>"= "&amp;F11&amp;"; Line "&amp;A31&amp;" / 12"</f>
        <v>= Col. 4; Line 22 / 12</v>
      </c>
      <c r="G12" s="39"/>
      <c r="H12" s="72" t="str">
        <f>"= Sum "&amp;E11&amp;" thru "&amp;G11</f>
        <v>= Sum Col. 3 thru Col. 5</v>
      </c>
      <c r="I12" s="72" t="str">
        <f>"= "&amp;D11&amp;" - "&amp;H11</f>
        <v>= Col. 2 - Col. 6</v>
      </c>
      <c r="J12" s="39"/>
      <c r="K12" s="39" t="str">
        <f>"See Footnote "&amp;A40</f>
        <v>See Footnote 6</v>
      </c>
      <c r="L12" s="39"/>
      <c r="M12" s="39" t="str">
        <f>"See Footnote "&amp;A41</f>
        <v>See Footnote 7</v>
      </c>
      <c r="N12" s="72" t="str">
        <f>"= "&amp;K11&amp;" + "&amp;M11</f>
        <v>= Col. 9 + Col. 10</v>
      </c>
      <c r="O12" s="72"/>
      <c r="P12" s="39">
        <f t="shared" si="1"/>
        <v>3</v>
      </c>
    </row>
    <row r="13" spans="1:16" x14ac:dyDescent="0.25">
      <c r="A13" s="39">
        <f t="shared" si="0"/>
        <v>4</v>
      </c>
      <c r="B13" s="46"/>
      <c r="C13" s="39"/>
      <c r="D13" s="39"/>
      <c r="E13" s="39"/>
      <c r="F13" s="39"/>
      <c r="G13" s="39"/>
      <c r="H13" s="72"/>
      <c r="I13" s="72"/>
      <c r="J13" s="39"/>
      <c r="K13" s="39"/>
      <c r="L13" s="39"/>
      <c r="M13" s="39"/>
      <c r="N13" s="72"/>
      <c r="O13" s="72"/>
      <c r="P13" s="39">
        <f t="shared" si="1"/>
        <v>4</v>
      </c>
    </row>
    <row r="14" spans="1:16" x14ac:dyDescent="0.25">
      <c r="A14" s="39">
        <f t="shared" si="0"/>
        <v>5</v>
      </c>
      <c r="C14" s="301"/>
      <c r="H14" s="387"/>
      <c r="K14" s="387" t="s">
        <v>201</v>
      </c>
      <c r="L14" s="387"/>
      <c r="N14" s="387" t="s">
        <v>201</v>
      </c>
      <c r="O14" s="387"/>
      <c r="P14" s="39">
        <f t="shared" si="1"/>
        <v>5</v>
      </c>
    </row>
    <row r="15" spans="1:16" x14ac:dyDescent="0.25">
      <c r="A15" s="39">
        <f t="shared" si="0"/>
        <v>6</v>
      </c>
      <c r="C15" s="301"/>
      <c r="F15" s="387"/>
      <c r="G15" s="387"/>
      <c r="H15" s="387"/>
      <c r="I15" s="387" t="s">
        <v>202</v>
      </c>
      <c r="J15" s="387"/>
      <c r="K15" s="387" t="s">
        <v>203</v>
      </c>
      <c r="L15" s="387"/>
      <c r="N15" s="387" t="s">
        <v>203</v>
      </c>
      <c r="O15" s="387"/>
      <c r="P15" s="39">
        <f t="shared" si="1"/>
        <v>6</v>
      </c>
    </row>
    <row r="16" spans="1:16" x14ac:dyDescent="0.25">
      <c r="A16" s="39">
        <f t="shared" si="0"/>
        <v>7</v>
      </c>
      <c r="C16" s="387"/>
      <c r="D16" s="387" t="s">
        <v>202</v>
      </c>
      <c r="E16" s="387" t="s">
        <v>202</v>
      </c>
      <c r="F16" s="387" t="s">
        <v>204</v>
      </c>
      <c r="G16" s="387"/>
      <c r="H16" s="387" t="s">
        <v>205</v>
      </c>
      <c r="I16" s="387" t="s">
        <v>203</v>
      </c>
      <c r="J16" s="387" t="s">
        <v>202</v>
      </c>
      <c r="K16" s="387" t="s">
        <v>206</v>
      </c>
      <c r="L16" s="387"/>
      <c r="N16" s="387" t="s">
        <v>206</v>
      </c>
      <c r="O16" s="387"/>
      <c r="P16" s="39">
        <f t="shared" si="1"/>
        <v>7</v>
      </c>
    </row>
    <row r="17" spans="1:19" x14ac:dyDescent="0.25">
      <c r="A17" s="39">
        <f t="shared" si="0"/>
        <v>8</v>
      </c>
      <c r="C17" s="387"/>
      <c r="D17" s="387" t="s">
        <v>207</v>
      </c>
      <c r="E17" s="387" t="s">
        <v>207</v>
      </c>
      <c r="F17" s="387" t="s">
        <v>207</v>
      </c>
      <c r="G17" s="387" t="s">
        <v>208</v>
      </c>
      <c r="H17" s="387" t="s">
        <v>207</v>
      </c>
      <c r="I17" s="387" t="s">
        <v>206</v>
      </c>
      <c r="J17" s="387" t="s">
        <v>209</v>
      </c>
      <c r="K17" s="387" t="s">
        <v>210</v>
      </c>
      <c r="L17" s="387"/>
      <c r="M17" s="387"/>
      <c r="N17" s="387" t="s">
        <v>210</v>
      </c>
      <c r="O17" s="387"/>
      <c r="P17" s="39">
        <f t="shared" si="1"/>
        <v>8</v>
      </c>
    </row>
    <row r="18" spans="1:19" ht="18.75" x14ac:dyDescent="0.25">
      <c r="A18" s="39">
        <f t="shared" si="0"/>
        <v>9</v>
      </c>
      <c r="B18" s="302" t="s">
        <v>211</v>
      </c>
      <c r="C18" s="302" t="s">
        <v>212</v>
      </c>
      <c r="D18" s="138" t="s">
        <v>213</v>
      </c>
      <c r="E18" s="138" t="s">
        <v>214</v>
      </c>
      <c r="F18" s="138" t="s">
        <v>215</v>
      </c>
      <c r="G18" s="138" t="s">
        <v>216</v>
      </c>
      <c r="H18" s="138" t="s">
        <v>217</v>
      </c>
      <c r="I18" s="138" t="s">
        <v>210</v>
      </c>
      <c r="J18" s="138" t="s">
        <v>218</v>
      </c>
      <c r="K18" s="138" t="s">
        <v>219</v>
      </c>
      <c r="L18" s="138"/>
      <c r="M18" s="138" t="s">
        <v>209</v>
      </c>
      <c r="N18" s="138" t="s">
        <v>220</v>
      </c>
      <c r="O18" s="138"/>
      <c r="P18" s="39">
        <f t="shared" si="1"/>
        <v>9</v>
      </c>
    </row>
    <row r="19" spans="1:19" x14ac:dyDescent="0.25">
      <c r="A19" s="39">
        <f t="shared" si="0"/>
        <v>10</v>
      </c>
      <c r="B19" s="101" t="s">
        <v>221</v>
      </c>
      <c r="C19" s="303" t="str">
        <f>RIGHT(B5,4)</f>
        <v>2019</v>
      </c>
      <c r="D19" s="136">
        <f>'Pg3 Rev App. X C9'!C40</f>
        <v>325.48737332805422</v>
      </c>
      <c r="E19" s="406">
        <v>214.31790862074178</v>
      </c>
      <c r="F19" s="406">
        <v>-111.52199563095193</v>
      </c>
      <c r="G19" s="406">
        <v>80.109298496661268</v>
      </c>
      <c r="H19" s="263">
        <f>SUM(E19:G19)</f>
        <v>182.90521148645109</v>
      </c>
      <c r="I19" s="407">
        <f>D19-H19</f>
        <v>142.58216184160312</v>
      </c>
      <c r="J19" s="304">
        <v>4.4000000000000003E-3</v>
      </c>
      <c r="K19" s="408">
        <f>I19</f>
        <v>142.58216184160312</v>
      </c>
      <c r="L19" s="27" t="s">
        <v>16</v>
      </c>
      <c r="M19" s="305">
        <f>(I19/2)*J19</f>
        <v>0.3136807560515269</v>
      </c>
      <c r="N19" s="305">
        <f t="shared" ref="N19:N29" si="2">K19+M19</f>
        <v>142.89584259765465</v>
      </c>
      <c r="O19" s="305"/>
      <c r="P19" s="39">
        <f t="shared" si="1"/>
        <v>10</v>
      </c>
      <c r="Q19" s="38"/>
    </row>
    <row r="20" spans="1:19" x14ac:dyDescent="0.25">
      <c r="A20" s="39">
        <f t="shared" si="0"/>
        <v>11</v>
      </c>
      <c r="B20" s="101" t="s">
        <v>222</v>
      </c>
      <c r="C20" s="303" t="str">
        <f>C19</f>
        <v>2019</v>
      </c>
      <c r="D20" s="311">
        <f>$D$19</f>
        <v>325.48737332805422</v>
      </c>
      <c r="E20" s="121">
        <v>214.31790862074178</v>
      </c>
      <c r="F20" s="121">
        <v>-111.52199563095193</v>
      </c>
      <c r="G20" s="121">
        <v>80.109298496661268</v>
      </c>
      <c r="H20" s="190">
        <f>SUM(E20:G20)</f>
        <v>182.90521148645109</v>
      </c>
      <c r="I20" s="308">
        <f t="shared" ref="I20:I30" si="3">D20-H20</f>
        <v>142.58216184160312</v>
      </c>
      <c r="J20" s="304">
        <v>4.0000000000000001E-3</v>
      </c>
      <c r="K20" s="743">
        <f>N19+I20</f>
        <v>285.4780044392578</v>
      </c>
      <c r="L20" s="743"/>
      <c r="M20" s="306">
        <f t="shared" ref="M20:M30" si="4">(N19+K20)/2*J20</f>
        <v>0.85674769407382501</v>
      </c>
      <c r="N20" s="306">
        <f t="shared" si="2"/>
        <v>286.33475213333162</v>
      </c>
      <c r="O20" s="306"/>
      <c r="P20" s="39">
        <f t="shared" si="1"/>
        <v>11</v>
      </c>
      <c r="Q20" s="137"/>
    </row>
    <row r="21" spans="1:19" x14ac:dyDescent="0.25">
      <c r="A21" s="39">
        <f t="shared" si="0"/>
        <v>12</v>
      </c>
      <c r="B21" s="101" t="s">
        <v>223</v>
      </c>
      <c r="C21" s="303" t="str">
        <f>C19</f>
        <v>2019</v>
      </c>
      <c r="D21" s="311">
        <f t="shared" ref="D21:D30" si="5">$D$19</f>
        <v>325.48737332805422</v>
      </c>
      <c r="E21" s="121">
        <v>214.31790862074178</v>
      </c>
      <c r="F21" s="121">
        <v>-111.52199563095193</v>
      </c>
      <c r="G21" s="121">
        <v>80.109298496661268</v>
      </c>
      <c r="H21" s="190">
        <f t="shared" ref="H21:H29" si="6">SUM(E21:G21)</f>
        <v>182.90521148645109</v>
      </c>
      <c r="I21" s="308">
        <f t="shared" si="3"/>
        <v>142.58216184160312</v>
      </c>
      <c r="J21" s="304">
        <v>4.4000000000000003E-3</v>
      </c>
      <c r="K21" s="309">
        <f t="shared" ref="K21:K29" si="7">N20+I21</f>
        <v>428.91691397493474</v>
      </c>
      <c r="L21" s="27" t="s">
        <v>16</v>
      </c>
      <c r="M21" s="306">
        <f>(N20+K21)/2*J21</f>
        <v>1.5735536654381861</v>
      </c>
      <c r="N21" s="306">
        <f t="shared" si="2"/>
        <v>430.49046764037291</v>
      </c>
      <c r="O21" s="306"/>
      <c r="P21" s="39">
        <f t="shared" si="1"/>
        <v>12</v>
      </c>
      <c r="Q21" s="137"/>
    </row>
    <row r="22" spans="1:19" x14ac:dyDescent="0.25">
      <c r="A22" s="39">
        <f t="shared" si="0"/>
        <v>13</v>
      </c>
      <c r="B22" s="101" t="s">
        <v>224</v>
      </c>
      <c r="C22" s="303" t="str">
        <f>C19</f>
        <v>2019</v>
      </c>
      <c r="D22" s="311">
        <f t="shared" si="5"/>
        <v>325.48737332805422</v>
      </c>
      <c r="E22" s="121">
        <v>214.31790862074178</v>
      </c>
      <c r="F22" s="121">
        <v>-111.52199563095193</v>
      </c>
      <c r="G22" s="121">
        <v>80.109298496661268</v>
      </c>
      <c r="H22" s="190">
        <f t="shared" si="6"/>
        <v>182.90521148645109</v>
      </c>
      <c r="I22" s="308">
        <f>D22-H22</f>
        <v>142.58216184160312</v>
      </c>
      <c r="J22" s="304">
        <v>4.4999999999999997E-3</v>
      </c>
      <c r="K22" s="309">
        <f t="shared" si="7"/>
        <v>573.07262948197604</v>
      </c>
      <c r="L22" s="27" t="s">
        <v>16</v>
      </c>
      <c r="M22" s="306">
        <f>(N21+K22)/2*J22</f>
        <v>2.2580169685252849</v>
      </c>
      <c r="N22" s="310">
        <f t="shared" si="2"/>
        <v>575.33064645050138</v>
      </c>
      <c r="O22" s="27" t="s">
        <v>16</v>
      </c>
      <c r="P22" s="39">
        <f t="shared" si="1"/>
        <v>13</v>
      </c>
      <c r="Q22" s="137"/>
      <c r="S22" s="307"/>
    </row>
    <row r="23" spans="1:19" x14ac:dyDescent="0.25">
      <c r="A23" s="39">
        <f t="shared" si="0"/>
        <v>14</v>
      </c>
      <c r="B23" s="101" t="s">
        <v>225</v>
      </c>
      <c r="C23" s="303" t="str">
        <f>C19</f>
        <v>2019</v>
      </c>
      <c r="D23" s="311">
        <f t="shared" si="5"/>
        <v>325.48737332805422</v>
      </c>
      <c r="E23" s="121">
        <v>214.31790862074178</v>
      </c>
      <c r="F23" s="121">
        <v>-111.52199563095193</v>
      </c>
      <c r="G23" s="121">
        <v>80.109298496661268</v>
      </c>
      <c r="H23" s="190">
        <f t="shared" si="6"/>
        <v>182.90521148645109</v>
      </c>
      <c r="I23" s="308">
        <f t="shared" si="3"/>
        <v>142.58216184160312</v>
      </c>
      <c r="J23" s="304">
        <v>4.5999999999999999E-3</v>
      </c>
      <c r="K23" s="309">
        <f t="shared" si="7"/>
        <v>717.9128082921045</v>
      </c>
      <c r="L23" s="27" t="s">
        <v>16</v>
      </c>
      <c r="M23" s="306">
        <f t="shared" si="4"/>
        <v>2.9744599459079937</v>
      </c>
      <c r="N23" s="310">
        <f t="shared" si="2"/>
        <v>720.88726823801244</v>
      </c>
      <c r="O23" s="27" t="s">
        <v>16</v>
      </c>
      <c r="P23" s="39">
        <f t="shared" si="1"/>
        <v>14</v>
      </c>
      <c r="Q23" s="137"/>
    </row>
    <row r="24" spans="1:19" x14ac:dyDescent="0.25">
      <c r="A24" s="39">
        <f t="shared" si="0"/>
        <v>15</v>
      </c>
      <c r="B24" s="101" t="s">
        <v>226</v>
      </c>
      <c r="C24" s="303" t="str">
        <f>C19</f>
        <v>2019</v>
      </c>
      <c r="D24" s="311">
        <f t="shared" si="5"/>
        <v>325.48737332805422</v>
      </c>
      <c r="E24" s="36">
        <v>288.95415264480692</v>
      </c>
      <c r="F24" s="36">
        <v>-84.485757445093</v>
      </c>
      <c r="G24" s="36">
        <v>0</v>
      </c>
      <c r="H24" s="190">
        <f>SUM(E24:G24)</f>
        <v>204.46839519971394</v>
      </c>
      <c r="I24" s="308">
        <f t="shared" si="3"/>
        <v>121.01897812834028</v>
      </c>
      <c r="J24" s="304">
        <v>4.4999999999999997E-3</v>
      </c>
      <c r="K24" s="309">
        <f t="shared" si="7"/>
        <v>841.90624636635266</v>
      </c>
      <c r="L24" s="27" t="s">
        <v>16</v>
      </c>
      <c r="M24" s="306">
        <f>(N23+K24)/2*J24</f>
        <v>3.5162854078598214</v>
      </c>
      <c r="N24" s="310">
        <f t="shared" si="2"/>
        <v>845.42253177421253</v>
      </c>
      <c r="O24" s="27" t="s">
        <v>16</v>
      </c>
      <c r="P24" s="39">
        <f t="shared" si="1"/>
        <v>15</v>
      </c>
      <c r="Q24" s="137"/>
    </row>
    <row r="25" spans="1:19" x14ac:dyDescent="0.25">
      <c r="A25" s="39">
        <f t="shared" si="0"/>
        <v>16</v>
      </c>
      <c r="B25" s="101" t="s">
        <v>227</v>
      </c>
      <c r="C25" s="303" t="str">
        <f>C19</f>
        <v>2019</v>
      </c>
      <c r="D25" s="311">
        <f t="shared" si="5"/>
        <v>325.48737332805422</v>
      </c>
      <c r="E25" s="121">
        <v>288.95415264480692</v>
      </c>
      <c r="F25" s="121">
        <v>-84.485757445093</v>
      </c>
      <c r="G25" s="121">
        <v>0</v>
      </c>
      <c r="H25" s="190">
        <f t="shared" si="6"/>
        <v>204.46839519971394</v>
      </c>
      <c r="I25" s="308">
        <f t="shared" si="3"/>
        <v>121.01897812834028</v>
      </c>
      <c r="J25" s="304">
        <v>4.7000000000000002E-3</v>
      </c>
      <c r="K25" s="309">
        <f t="shared" si="7"/>
        <v>966.44150990255275</v>
      </c>
      <c r="L25" s="27" t="s">
        <v>16</v>
      </c>
      <c r="M25" s="306">
        <f t="shared" si="4"/>
        <v>4.2578804979403984</v>
      </c>
      <c r="N25" s="310">
        <f t="shared" si="2"/>
        <v>970.69939040049314</v>
      </c>
      <c r="O25" s="27" t="s">
        <v>16</v>
      </c>
      <c r="P25" s="39">
        <f t="shared" si="1"/>
        <v>16</v>
      </c>
      <c r="Q25" s="137"/>
    </row>
    <row r="26" spans="1:19" x14ac:dyDescent="0.25">
      <c r="A26" s="39">
        <f t="shared" si="0"/>
        <v>17</v>
      </c>
      <c r="B26" s="101" t="s">
        <v>228</v>
      </c>
      <c r="C26" s="303" t="str">
        <f>C19</f>
        <v>2019</v>
      </c>
      <c r="D26" s="311">
        <f t="shared" si="5"/>
        <v>325.48737332805422</v>
      </c>
      <c r="E26" s="121">
        <v>288.95415264480692</v>
      </c>
      <c r="F26" s="121">
        <v>-84.485757445093</v>
      </c>
      <c r="G26" s="121">
        <v>0</v>
      </c>
      <c r="H26" s="190">
        <f t="shared" si="6"/>
        <v>204.46839519971394</v>
      </c>
      <c r="I26" s="308">
        <f t="shared" si="3"/>
        <v>121.01897812834028</v>
      </c>
      <c r="J26" s="304">
        <v>4.7000000000000002E-3</v>
      </c>
      <c r="K26" s="309">
        <f t="shared" si="7"/>
        <v>1091.7183685288335</v>
      </c>
      <c r="L26" s="27" t="s">
        <v>16</v>
      </c>
      <c r="M26" s="306">
        <f t="shared" si="4"/>
        <v>4.8466817334839183</v>
      </c>
      <c r="N26" s="310">
        <f t="shared" si="2"/>
        <v>1096.5650502623173</v>
      </c>
      <c r="O26" s="27" t="s">
        <v>16</v>
      </c>
      <c r="P26" s="39">
        <f t="shared" si="1"/>
        <v>17</v>
      </c>
      <c r="Q26" s="137"/>
    </row>
    <row r="27" spans="1:19" x14ac:dyDescent="0.25">
      <c r="A27" s="39">
        <f t="shared" si="0"/>
        <v>18</v>
      </c>
      <c r="B27" s="101" t="s">
        <v>229</v>
      </c>
      <c r="C27" s="303" t="str">
        <f>C19</f>
        <v>2019</v>
      </c>
      <c r="D27" s="311">
        <f t="shared" si="5"/>
        <v>325.48737332805422</v>
      </c>
      <c r="E27" s="121">
        <v>288.95415264480692</v>
      </c>
      <c r="F27" s="121">
        <v>-84.485757445093</v>
      </c>
      <c r="G27" s="121">
        <v>0</v>
      </c>
      <c r="H27" s="190">
        <f t="shared" si="6"/>
        <v>204.46839519971394</v>
      </c>
      <c r="I27" s="308">
        <f t="shared" si="3"/>
        <v>121.01897812834028</v>
      </c>
      <c r="J27" s="304">
        <v>4.4999999999999997E-3</v>
      </c>
      <c r="K27" s="309">
        <f t="shared" si="7"/>
        <v>1217.5840283906575</v>
      </c>
      <c r="L27" s="27" t="s">
        <v>16</v>
      </c>
      <c r="M27" s="306">
        <f t="shared" si="4"/>
        <v>5.2068354269691932</v>
      </c>
      <c r="N27" s="310">
        <f t="shared" si="2"/>
        <v>1222.7908638176268</v>
      </c>
      <c r="O27" s="27" t="s">
        <v>16</v>
      </c>
      <c r="P27" s="39">
        <f t="shared" si="1"/>
        <v>18</v>
      </c>
      <c r="Q27" s="137"/>
    </row>
    <row r="28" spans="1:19" x14ac:dyDescent="0.25">
      <c r="A28" s="39">
        <f t="shared" si="0"/>
        <v>19</v>
      </c>
      <c r="B28" s="101" t="s">
        <v>230</v>
      </c>
      <c r="C28" s="303" t="str">
        <f>C19</f>
        <v>2019</v>
      </c>
      <c r="D28" s="311">
        <f t="shared" si="5"/>
        <v>325.48737332805422</v>
      </c>
      <c r="E28" s="121">
        <v>288.95415264480692</v>
      </c>
      <c r="F28" s="121">
        <v>-84.485757445093</v>
      </c>
      <c r="G28" s="121">
        <v>0</v>
      </c>
      <c r="H28" s="190">
        <f t="shared" si="6"/>
        <v>204.46839519971394</v>
      </c>
      <c r="I28" s="308">
        <f t="shared" si="3"/>
        <v>121.01897812834028</v>
      </c>
      <c r="J28" s="304">
        <v>4.5999999999999999E-3</v>
      </c>
      <c r="K28" s="309">
        <f t="shared" si="7"/>
        <v>1343.809841945967</v>
      </c>
      <c r="L28" s="27" t="s">
        <v>16</v>
      </c>
      <c r="M28" s="306">
        <f t="shared" si="4"/>
        <v>5.9031816232562662</v>
      </c>
      <c r="N28" s="310">
        <f t="shared" si="2"/>
        <v>1349.7130235692232</v>
      </c>
      <c r="O28" s="27" t="s">
        <v>16</v>
      </c>
      <c r="P28" s="39">
        <f t="shared" si="1"/>
        <v>19</v>
      </c>
      <c r="Q28" s="137"/>
    </row>
    <row r="29" spans="1:19" x14ac:dyDescent="0.25">
      <c r="A29" s="39">
        <f t="shared" si="0"/>
        <v>20</v>
      </c>
      <c r="B29" s="101" t="s">
        <v>231</v>
      </c>
      <c r="C29" s="303" t="str">
        <f>C19</f>
        <v>2019</v>
      </c>
      <c r="D29" s="311">
        <f t="shared" si="5"/>
        <v>325.48737332805422</v>
      </c>
      <c r="E29" s="121">
        <v>288.95415264480692</v>
      </c>
      <c r="F29" s="121">
        <v>-84.485757445093</v>
      </c>
      <c r="G29" s="121">
        <v>0</v>
      </c>
      <c r="H29" s="190">
        <f t="shared" si="6"/>
        <v>204.46839519971394</v>
      </c>
      <c r="I29" s="308">
        <f t="shared" si="3"/>
        <v>121.01897812834028</v>
      </c>
      <c r="J29" s="304">
        <v>4.4999999999999997E-3</v>
      </c>
      <c r="K29" s="309">
        <f t="shared" si="7"/>
        <v>1470.7320016975634</v>
      </c>
      <c r="L29" s="27" t="s">
        <v>16</v>
      </c>
      <c r="M29" s="306">
        <f t="shared" si="4"/>
        <v>6.346001306850269</v>
      </c>
      <c r="N29" s="310">
        <f t="shared" si="2"/>
        <v>1477.0780030044136</v>
      </c>
      <c r="O29" s="27" t="s">
        <v>16</v>
      </c>
      <c r="P29" s="39">
        <f t="shared" si="1"/>
        <v>20</v>
      </c>
      <c r="Q29" s="137"/>
    </row>
    <row r="30" spans="1:19" x14ac:dyDescent="0.25">
      <c r="A30" s="39">
        <f t="shared" si="0"/>
        <v>21</v>
      </c>
      <c r="B30" s="312" t="s">
        <v>232</v>
      </c>
      <c r="C30" s="313" t="str">
        <f>C19</f>
        <v>2019</v>
      </c>
      <c r="D30" s="320">
        <f t="shared" si="5"/>
        <v>325.48737332805422</v>
      </c>
      <c r="E30" s="121">
        <v>288.95415264480692</v>
      </c>
      <c r="F30" s="121">
        <v>-84.485757445093</v>
      </c>
      <c r="G30" s="121">
        <v>0</v>
      </c>
      <c r="H30" s="315">
        <f>SUM(E30:G30)</f>
        <v>204.46839519971394</v>
      </c>
      <c r="I30" s="316">
        <f t="shared" si="3"/>
        <v>121.01897812834028</v>
      </c>
      <c r="J30" s="317">
        <v>4.5999999999999999E-3</v>
      </c>
      <c r="K30" s="318">
        <f>N29+I30</f>
        <v>1598.0969811327539</v>
      </c>
      <c r="L30" s="744" t="s">
        <v>16</v>
      </c>
      <c r="M30" s="319">
        <f t="shared" si="4"/>
        <v>7.0729024635154847</v>
      </c>
      <c r="N30" s="320">
        <f>K30+M30</f>
        <v>1605.1698835962693</v>
      </c>
      <c r="O30" s="27" t="s">
        <v>16</v>
      </c>
      <c r="P30" s="39">
        <f t="shared" si="1"/>
        <v>21</v>
      </c>
      <c r="Q30" s="137"/>
    </row>
    <row r="31" spans="1:19" ht="16.5" thickBot="1" x14ac:dyDescent="0.3">
      <c r="A31" s="39">
        <f t="shared" si="0"/>
        <v>22</v>
      </c>
      <c r="D31" s="321">
        <f t="shared" ref="D31:I31" si="8">SUM(D19:D30)</f>
        <v>3905.8484799366506</v>
      </c>
      <c r="E31" s="322">
        <f>SUM(E19:E30)</f>
        <v>3094.2686116173577</v>
      </c>
      <c r="F31" s="322">
        <f t="shared" si="8"/>
        <v>-1149.0102802704107</v>
      </c>
      <c r="G31" s="322">
        <f t="shared" si="8"/>
        <v>400.54649248330634</v>
      </c>
      <c r="H31" s="322">
        <f t="shared" si="8"/>
        <v>2345.8048238302531</v>
      </c>
      <c r="I31" s="321">
        <f t="shared" si="8"/>
        <v>1560.0436561063973</v>
      </c>
      <c r="J31" s="323"/>
      <c r="K31" s="324"/>
      <c r="L31" s="324"/>
      <c r="M31" s="321">
        <f>SUM(M19:M30)</f>
        <v>45.126227489872164</v>
      </c>
      <c r="N31" s="324"/>
      <c r="O31" s="324"/>
      <c r="P31" s="39">
        <f t="shared" si="1"/>
        <v>22</v>
      </c>
    </row>
    <row r="32" spans="1:19" ht="16.5" thickTop="1" x14ac:dyDescent="0.25"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</row>
    <row r="33" spans="1:7" x14ac:dyDescent="0.25">
      <c r="A33" s="27" t="s">
        <v>16</v>
      </c>
      <c r="B33" s="25" t="s">
        <v>631</v>
      </c>
      <c r="F33" s="326"/>
      <c r="G33" s="326"/>
    </row>
    <row r="34" spans="1:7" ht="18.75" x14ac:dyDescent="0.25">
      <c r="A34" s="327">
        <v>1</v>
      </c>
      <c r="B34" s="40" t="s">
        <v>557</v>
      </c>
      <c r="F34" s="326"/>
      <c r="G34" s="326"/>
    </row>
    <row r="35" spans="1:7" ht="18.75" x14ac:dyDescent="0.25">
      <c r="A35" s="327">
        <v>2</v>
      </c>
      <c r="B35" s="40" t="s">
        <v>233</v>
      </c>
    </row>
    <row r="36" spans="1:7" ht="18.75" x14ac:dyDescent="0.25">
      <c r="A36" s="327">
        <v>3</v>
      </c>
      <c r="B36" s="40" t="s">
        <v>234</v>
      </c>
    </row>
    <row r="37" spans="1:7" ht="18.75" x14ac:dyDescent="0.25">
      <c r="A37" s="327">
        <v>4</v>
      </c>
      <c r="B37" s="40" t="s">
        <v>235</v>
      </c>
    </row>
    <row r="38" spans="1:7" ht="18.75" x14ac:dyDescent="0.25">
      <c r="A38" s="327"/>
      <c r="B38" s="40" t="s">
        <v>236</v>
      </c>
    </row>
    <row r="39" spans="1:7" ht="18.75" x14ac:dyDescent="0.25">
      <c r="A39" s="327">
        <v>5</v>
      </c>
      <c r="B39" s="40" t="s">
        <v>237</v>
      </c>
      <c r="C39" s="388"/>
    </row>
    <row r="40" spans="1:7" ht="18.75" x14ac:dyDescent="0.25">
      <c r="A40" s="327">
        <v>6</v>
      </c>
      <c r="B40" s="40" t="s">
        <v>238</v>
      </c>
    </row>
    <row r="41" spans="1:7" ht="18.75" x14ac:dyDescent="0.25">
      <c r="A41" s="327">
        <v>7</v>
      </c>
      <c r="B41" s="40" t="s">
        <v>239</v>
      </c>
    </row>
  </sheetData>
  <mergeCells count="5">
    <mergeCell ref="B2:P2"/>
    <mergeCell ref="B3:P3"/>
    <mergeCell ref="B4:P4"/>
    <mergeCell ref="B5:P5"/>
    <mergeCell ref="B6:N6"/>
  </mergeCells>
  <printOptions horizontalCentered="1"/>
  <pageMargins left="0.25" right="0.25" top="0.5" bottom="0.5" header="0.35" footer="0.25"/>
  <pageSetup scale="50" orientation="landscape" r:id="rId1"/>
  <headerFooter scaleWithDoc="0" alignWithMargins="0">
    <oddHeader>&amp;C&amp;"Times New Roman,Bold"&amp;7REVISED</oddHeader>
    <oddFooter>&amp;L&amp;F&amp;CPage 7&amp;R&amp;A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B16C-1314-4E88-9BE7-BAC30119C1C7}">
  <sheetPr>
    <pageSetUpPr fitToPage="1"/>
  </sheetPr>
  <dimension ref="A1:Q42"/>
  <sheetViews>
    <sheetView zoomScale="80" zoomScaleNormal="80" workbookViewId="0"/>
  </sheetViews>
  <sheetFormatPr defaultColWidth="9.140625" defaultRowHeight="15.75" x14ac:dyDescent="0.25"/>
  <cols>
    <col min="1" max="1" width="5.28515625" style="39" customWidth="1"/>
    <col min="2" max="2" width="12.5703125" style="40" customWidth="1"/>
    <col min="3" max="3" width="20" style="40" customWidth="1"/>
    <col min="4" max="7" width="21.5703125" style="40" customWidth="1"/>
    <col min="8" max="8" width="22.7109375" style="40" bestFit="1" customWidth="1"/>
    <col min="9" max="13" width="21.5703125" style="40" customWidth="1"/>
    <col min="14" max="14" width="5.28515625" style="39" customWidth="1"/>
    <col min="15" max="15" width="13.5703125" style="40" customWidth="1"/>
    <col min="16" max="16" width="12.5703125" style="40" customWidth="1"/>
    <col min="17" max="16384" width="9.140625" style="40"/>
  </cols>
  <sheetData>
    <row r="1" spans="1:14" x14ac:dyDescent="0.25">
      <c r="A1" s="702" t="s">
        <v>582</v>
      </c>
    </row>
    <row r="2" spans="1:14" x14ac:dyDescent="0.25">
      <c r="I2" s="388"/>
      <c r="M2" s="41"/>
    </row>
    <row r="3" spans="1:14" x14ac:dyDescent="0.25">
      <c r="B3" s="772" t="s">
        <v>21</v>
      </c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</row>
    <row r="4" spans="1:14" x14ac:dyDescent="0.25">
      <c r="B4" s="765" t="s">
        <v>277</v>
      </c>
      <c r="C4" s="765"/>
      <c r="D4" s="765"/>
      <c r="E4" s="765"/>
      <c r="F4" s="765"/>
      <c r="G4" s="765"/>
      <c r="H4" s="765"/>
      <c r="I4" s="765"/>
      <c r="J4" s="765"/>
      <c r="K4" s="765"/>
      <c r="L4" s="765"/>
      <c r="M4" s="765"/>
      <c r="N4" s="765"/>
    </row>
    <row r="5" spans="1:14" x14ac:dyDescent="0.25">
      <c r="B5" s="765" t="s">
        <v>188</v>
      </c>
      <c r="C5" s="765"/>
      <c r="D5" s="765"/>
      <c r="E5" s="765"/>
      <c r="F5" s="765"/>
      <c r="G5" s="765"/>
      <c r="H5" s="765"/>
      <c r="I5" s="765"/>
      <c r="J5" s="765"/>
      <c r="K5" s="765"/>
      <c r="L5" s="765"/>
      <c r="M5" s="765"/>
      <c r="N5" s="765"/>
    </row>
    <row r="6" spans="1:14" x14ac:dyDescent="0.25">
      <c r="B6" s="773" t="s">
        <v>482</v>
      </c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3"/>
    </row>
    <row r="7" spans="1:14" x14ac:dyDescent="0.25">
      <c r="B7" s="774" t="s">
        <v>1</v>
      </c>
      <c r="C7" s="774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387"/>
    </row>
    <row r="8" spans="1:14" x14ac:dyDescent="0.25">
      <c r="A8" s="387"/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</row>
    <row r="9" spans="1:14" x14ac:dyDescent="0.25">
      <c r="A9" s="39" t="s">
        <v>2</v>
      </c>
      <c r="B9" s="57"/>
      <c r="E9" s="46"/>
      <c r="F9" s="138"/>
      <c r="G9" s="138"/>
      <c r="N9" s="39" t="s">
        <v>2</v>
      </c>
    </row>
    <row r="10" spans="1:14" x14ac:dyDescent="0.25">
      <c r="A10" s="39" t="s">
        <v>6</v>
      </c>
      <c r="B10" s="57"/>
      <c r="E10" s="46"/>
      <c r="F10" s="138"/>
      <c r="G10" s="138"/>
      <c r="N10" s="39" t="s">
        <v>6</v>
      </c>
    </row>
    <row r="11" spans="1:14" x14ac:dyDescent="0.25">
      <c r="A11" s="39">
        <v>1</v>
      </c>
      <c r="D11" s="27" t="s">
        <v>16</v>
      </c>
      <c r="E11" s="46"/>
      <c r="I11" s="27" t="s">
        <v>16</v>
      </c>
      <c r="J11" s="300"/>
      <c r="K11" s="27" t="s">
        <v>16</v>
      </c>
      <c r="L11" s="27" t="s">
        <v>16</v>
      </c>
      <c r="M11" s="27" t="s">
        <v>16</v>
      </c>
      <c r="N11" s="39">
        <v>1</v>
      </c>
    </row>
    <row r="12" spans="1:14" x14ac:dyDescent="0.25">
      <c r="A12" s="39">
        <f t="shared" ref="A12:A32" si="0">A11+1</f>
        <v>2</v>
      </c>
      <c r="C12" s="301" t="s">
        <v>189</v>
      </c>
      <c r="D12" s="301" t="s">
        <v>190</v>
      </c>
      <c r="E12" s="301" t="s">
        <v>191</v>
      </c>
      <c r="F12" s="301" t="s">
        <v>192</v>
      </c>
      <c r="G12" s="301" t="s">
        <v>193</v>
      </c>
      <c r="H12" s="301" t="s">
        <v>194</v>
      </c>
      <c r="I12" s="301" t="s">
        <v>195</v>
      </c>
      <c r="J12" s="301" t="s">
        <v>196</v>
      </c>
      <c r="K12" s="301" t="s">
        <v>197</v>
      </c>
      <c r="L12" s="301" t="s">
        <v>198</v>
      </c>
      <c r="M12" s="301" t="s">
        <v>199</v>
      </c>
      <c r="N12" s="39">
        <f t="shared" ref="N12:N32" si="1">N11+1</f>
        <v>2</v>
      </c>
    </row>
    <row r="13" spans="1:14" x14ac:dyDescent="0.25">
      <c r="A13" s="39">
        <f t="shared" si="0"/>
        <v>3</v>
      </c>
      <c r="B13" s="46" t="s">
        <v>200</v>
      </c>
      <c r="C13" s="39"/>
      <c r="D13" s="39"/>
      <c r="E13" s="39"/>
      <c r="F13" s="39" t="str">
        <f>"= "&amp;F12&amp;"; Line "&amp;A32&amp;" / 12"</f>
        <v>= Col. 4; Line 22 / 12</v>
      </c>
      <c r="G13" s="39"/>
      <c r="H13" s="72" t="str">
        <f>"= Sum "&amp;E12&amp;" thru "&amp;G12</f>
        <v>= Sum Col. 3 thru Col. 5</v>
      </c>
      <c r="I13" s="72" t="str">
        <f>"= "&amp;D12&amp;" - "&amp;H12</f>
        <v>= Col. 2 - Col. 6</v>
      </c>
      <c r="J13" s="39"/>
      <c r="K13" s="39" t="str">
        <f>"See Footnote "&amp;A41</f>
        <v>See Footnote 6</v>
      </c>
      <c r="L13" s="39" t="str">
        <f>"See Footnote "&amp;A42</f>
        <v>See Footnote 7</v>
      </c>
      <c r="M13" s="72" t="str">
        <f>"= "&amp;K12&amp;" + "&amp;L12</f>
        <v>= Col. 9 + Col. 10</v>
      </c>
      <c r="N13" s="39">
        <f t="shared" si="1"/>
        <v>3</v>
      </c>
    </row>
    <row r="14" spans="1:14" x14ac:dyDescent="0.25">
      <c r="A14" s="39">
        <f t="shared" si="0"/>
        <v>4</v>
      </c>
      <c r="B14" s="46"/>
      <c r="C14" s="39"/>
      <c r="D14" s="39"/>
      <c r="E14" s="39"/>
      <c r="F14" s="39"/>
      <c r="G14" s="39"/>
      <c r="H14" s="72"/>
      <c r="I14" s="72"/>
      <c r="J14" s="39"/>
      <c r="K14" s="39"/>
      <c r="L14" s="39"/>
      <c r="M14" s="72"/>
      <c r="N14" s="39">
        <f t="shared" si="1"/>
        <v>4</v>
      </c>
    </row>
    <row r="15" spans="1:14" x14ac:dyDescent="0.25">
      <c r="A15" s="39">
        <f t="shared" si="0"/>
        <v>5</v>
      </c>
      <c r="C15" s="301"/>
      <c r="H15" s="387"/>
      <c r="K15" s="387" t="s">
        <v>201</v>
      </c>
      <c r="M15" s="387" t="s">
        <v>201</v>
      </c>
      <c r="N15" s="39">
        <f t="shared" si="1"/>
        <v>5</v>
      </c>
    </row>
    <row r="16" spans="1:14" x14ac:dyDescent="0.25">
      <c r="A16" s="39">
        <f t="shared" si="0"/>
        <v>6</v>
      </c>
      <c r="C16" s="301"/>
      <c r="F16" s="387"/>
      <c r="G16" s="387"/>
      <c r="H16" s="387"/>
      <c r="I16" s="387" t="s">
        <v>202</v>
      </c>
      <c r="J16" s="387"/>
      <c r="K16" s="387" t="s">
        <v>203</v>
      </c>
      <c r="M16" s="387" t="s">
        <v>203</v>
      </c>
      <c r="N16" s="39">
        <f t="shared" si="1"/>
        <v>6</v>
      </c>
    </row>
    <row r="17" spans="1:17" x14ac:dyDescent="0.25">
      <c r="A17" s="39">
        <f t="shared" si="0"/>
        <v>7</v>
      </c>
      <c r="C17" s="387"/>
      <c r="D17" s="387" t="s">
        <v>202</v>
      </c>
      <c r="E17" s="387" t="s">
        <v>202</v>
      </c>
      <c r="F17" s="387" t="s">
        <v>204</v>
      </c>
      <c r="G17" s="387"/>
      <c r="H17" s="387" t="s">
        <v>205</v>
      </c>
      <c r="I17" s="387" t="s">
        <v>203</v>
      </c>
      <c r="J17" s="387" t="s">
        <v>202</v>
      </c>
      <c r="K17" s="387" t="s">
        <v>206</v>
      </c>
      <c r="M17" s="387" t="s">
        <v>206</v>
      </c>
      <c r="N17" s="39">
        <f t="shared" si="1"/>
        <v>7</v>
      </c>
    </row>
    <row r="18" spans="1:17" x14ac:dyDescent="0.25">
      <c r="A18" s="39">
        <f t="shared" si="0"/>
        <v>8</v>
      </c>
      <c r="C18" s="387"/>
      <c r="D18" s="387" t="s">
        <v>207</v>
      </c>
      <c r="E18" s="387" t="s">
        <v>207</v>
      </c>
      <c r="F18" s="387" t="s">
        <v>207</v>
      </c>
      <c r="G18" s="387" t="s">
        <v>208</v>
      </c>
      <c r="H18" s="387" t="s">
        <v>207</v>
      </c>
      <c r="I18" s="387" t="s">
        <v>206</v>
      </c>
      <c r="J18" s="387" t="s">
        <v>209</v>
      </c>
      <c r="K18" s="387" t="s">
        <v>210</v>
      </c>
      <c r="L18" s="387"/>
      <c r="M18" s="387" t="s">
        <v>210</v>
      </c>
      <c r="N18" s="39">
        <f t="shared" si="1"/>
        <v>8</v>
      </c>
    </row>
    <row r="19" spans="1:17" ht="18.75" x14ac:dyDescent="0.25">
      <c r="A19" s="39">
        <f t="shared" si="0"/>
        <v>9</v>
      </c>
      <c r="B19" s="302" t="s">
        <v>211</v>
      </c>
      <c r="C19" s="302" t="s">
        <v>212</v>
      </c>
      <c r="D19" s="138" t="s">
        <v>213</v>
      </c>
      <c r="E19" s="138" t="s">
        <v>214</v>
      </c>
      <c r="F19" s="138" t="s">
        <v>215</v>
      </c>
      <c r="G19" s="138" t="s">
        <v>216</v>
      </c>
      <c r="H19" s="138" t="s">
        <v>217</v>
      </c>
      <c r="I19" s="138" t="s">
        <v>210</v>
      </c>
      <c r="J19" s="138" t="s">
        <v>218</v>
      </c>
      <c r="K19" s="138" t="s">
        <v>219</v>
      </c>
      <c r="L19" s="138" t="s">
        <v>209</v>
      </c>
      <c r="M19" s="138" t="s">
        <v>220</v>
      </c>
      <c r="N19" s="39">
        <f t="shared" si="1"/>
        <v>9</v>
      </c>
    </row>
    <row r="20" spans="1:17" x14ac:dyDescent="0.25">
      <c r="A20" s="39">
        <f t="shared" si="0"/>
        <v>10</v>
      </c>
      <c r="B20" s="101" t="s">
        <v>221</v>
      </c>
      <c r="C20" s="303" t="str">
        <f>RIGHT(B6,4)</f>
        <v>2019</v>
      </c>
      <c r="D20" s="136">
        <f>'Pg4 App.X C9 Adj-Cost Adj'!C41</f>
        <v>325.20117595855947</v>
      </c>
      <c r="E20" s="406">
        <v>214.31790862074178</v>
      </c>
      <c r="F20" s="406">
        <v>-111.52199563095193</v>
      </c>
      <c r="G20" s="406">
        <v>80.109298496661268</v>
      </c>
      <c r="H20" s="263">
        <f>SUM(E20:G20)</f>
        <v>182.90521148645109</v>
      </c>
      <c r="I20" s="407">
        <f>D20-H20</f>
        <v>142.29596447210838</v>
      </c>
      <c r="J20" s="304">
        <v>4.4000000000000003E-3</v>
      </c>
      <c r="K20" s="408">
        <f>I20</f>
        <v>142.29596447210838</v>
      </c>
      <c r="L20" s="305">
        <f>(I20/2)*J20</f>
        <v>0.31305112183863848</v>
      </c>
      <c r="M20" s="409">
        <f t="shared" ref="M20:M30" si="2">K20+L20</f>
        <v>142.60901559394702</v>
      </c>
      <c r="N20" s="39">
        <f t="shared" si="1"/>
        <v>10</v>
      </c>
      <c r="O20" s="38"/>
    </row>
    <row r="21" spans="1:17" x14ac:dyDescent="0.25">
      <c r="A21" s="39">
        <f t="shared" si="0"/>
        <v>11</v>
      </c>
      <c r="B21" s="101" t="s">
        <v>222</v>
      </c>
      <c r="C21" s="303" t="str">
        <f>C20</f>
        <v>2019</v>
      </c>
      <c r="D21" s="311">
        <f>$D$20</f>
        <v>325.20117595855947</v>
      </c>
      <c r="E21" s="121">
        <v>214.31790862074178</v>
      </c>
      <c r="F21" s="121">
        <v>-111.52199563095193</v>
      </c>
      <c r="G21" s="121">
        <v>80.109298496661268</v>
      </c>
      <c r="H21" s="190">
        <f>SUM(E21:G21)</f>
        <v>182.90521148645109</v>
      </c>
      <c r="I21" s="308">
        <f t="shared" ref="I21:I31" si="3">D21-H21</f>
        <v>142.29596447210838</v>
      </c>
      <c r="J21" s="304">
        <v>4.0000000000000001E-3</v>
      </c>
      <c r="K21" s="309">
        <f>M20+I21</f>
        <v>284.90498006605537</v>
      </c>
      <c r="L21" s="306">
        <f t="shared" ref="L21:L31" si="4">(M20+K21)/2*J21</f>
        <v>0.85502799132000473</v>
      </c>
      <c r="M21" s="310">
        <f t="shared" si="2"/>
        <v>285.76000805737539</v>
      </c>
      <c r="N21" s="39">
        <f t="shared" si="1"/>
        <v>11</v>
      </c>
      <c r="O21" s="137"/>
    </row>
    <row r="22" spans="1:17" x14ac:dyDescent="0.25">
      <c r="A22" s="39">
        <f t="shared" si="0"/>
        <v>12</v>
      </c>
      <c r="B22" s="101" t="s">
        <v>223</v>
      </c>
      <c r="C22" s="303" t="str">
        <f>C20</f>
        <v>2019</v>
      </c>
      <c r="D22" s="311">
        <f t="shared" ref="D22:D31" si="5">$D$20</f>
        <v>325.20117595855947</v>
      </c>
      <c r="E22" s="121">
        <v>214.31790862074178</v>
      </c>
      <c r="F22" s="121">
        <v>-111.52199563095193</v>
      </c>
      <c r="G22" s="121">
        <v>80.109298496661268</v>
      </c>
      <c r="H22" s="190">
        <f t="shared" ref="H22:H30" si="6">SUM(E22:G22)</f>
        <v>182.90521148645109</v>
      </c>
      <c r="I22" s="308">
        <f t="shared" si="3"/>
        <v>142.29596447210838</v>
      </c>
      <c r="J22" s="304">
        <v>4.4000000000000003E-3</v>
      </c>
      <c r="K22" s="309">
        <f t="shared" ref="K22:K30" si="7">M21+I22</f>
        <v>428.05597252948377</v>
      </c>
      <c r="L22" s="306">
        <f>(M21+K22)/2*J22</f>
        <v>1.5703951572910901</v>
      </c>
      <c r="M22" s="310">
        <f t="shared" si="2"/>
        <v>429.62636768677487</v>
      </c>
      <c r="N22" s="39">
        <f t="shared" si="1"/>
        <v>12</v>
      </c>
      <c r="O22" s="137"/>
    </row>
    <row r="23" spans="1:17" x14ac:dyDescent="0.25">
      <c r="A23" s="39">
        <f t="shared" si="0"/>
        <v>13</v>
      </c>
      <c r="B23" s="101" t="s">
        <v>224</v>
      </c>
      <c r="C23" s="303" t="str">
        <f>C20</f>
        <v>2019</v>
      </c>
      <c r="D23" s="311">
        <f t="shared" si="5"/>
        <v>325.20117595855947</v>
      </c>
      <c r="E23" s="121">
        <v>214.31790862074178</v>
      </c>
      <c r="F23" s="121">
        <v>-111.52199563095193</v>
      </c>
      <c r="G23" s="121">
        <v>80.109298496661268</v>
      </c>
      <c r="H23" s="190">
        <f t="shared" si="6"/>
        <v>182.90521148645109</v>
      </c>
      <c r="I23" s="308">
        <f>D23-H23</f>
        <v>142.29596447210838</v>
      </c>
      <c r="J23" s="304">
        <v>4.4999999999999997E-3</v>
      </c>
      <c r="K23" s="309">
        <f t="shared" si="7"/>
        <v>571.92233215888325</v>
      </c>
      <c r="L23" s="306">
        <f>(M22+K23)/2*J23</f>
        <v>2.2534845746527306</v>
      </c>
      <c r="M23" s="310">
        <f t="shared" si="2"/>
        <v>574.17581673353595</v>
      </c>
      <c r="N23" s="39">
        <f t="shared" si="1"/>
        <v>13</v>
      </c>
      <c r="O23" s="137"/>
      <c r="Q23" s="307"/>
    </row>
    <row r="24" spans="1:17" x14ac:dyDescent="0.25">
      <c r="A24" s="39">
        <f t="shared" si="0"/>
        <v>14</v>
      </c>
      <c r="B24" s="101" t="s">
        <v>225</v>
      </c>
      <c r="C24" s="303" t="str">
        <f>C20</f>
        <v>2019</v>
      </c>
      <c r="D24" s="311">
        <f t="shared" si="5"/>
        <v>325.20117595855947</v>
      </c>
      <c r="E24" s="121">
        <v>214.31790862074178</v>
      </c>
      <c r="F24" s="121">
        <v>-111.52199563095193</v>
      </c>
      <c r="G24" s="121">
        <v>80.109298496661268</v>
      </c>
      <c r="H24" s="190">
        <f t="shared" si="6"/>
        <v>182.90521148645109</v>
      </c>
      <c r="I24" s="308">
        <f t="shared" si="3"/>
        <v>142.29596447210838</v>
      </c>
      <c r="J24" s="304">
        <v>4.5999999999999999E-3</v>
      </c>
      <c r="K24" s="309">
        <f t="shared" si="7"/>
        <v>716.47178120564433</v>
      </c>
      <c r="L24" s="306">
        <f t="shared" si="4"/>
        <v>2.9684894752601148</v>
      </c>
      <c r="M24" s="310">
        <f t="shared" si="2"/>
        <v>719.4402706809044</v>
      </c>
      <c r="N24" s="39">
        <f t="shared" si="1"/>
        <v>14</v>
      </c>
      <c r="O24" s="137"/>
    </row>
    <row r="25" spans="1:17" x14ac:dyDescent="0.25">
      <c r="A25" s="39">
        <f t="shared" si="0"/>
        <v>15</v>
      </c>
      <c r="B25" s="101" t="s">
        <v>226</v>
      </c>
      <c r="C25" s="303" t="str">
        <f>C20</f>
        <v>2019</v>
      </c>
      <c r="D25" s="311">
        <f t="shared" si="5"/>
        <v>325.20117595855947</v>
      </c>
      <c r="E25" s="36">
        <v>288.95415264480692</v>
      </c>
      <c r="F25" s="36">
        <v>-84.485757445093</v>
      </c>
      <c r="G25" s="36">
        <v>0</v>
      </c>
      <c r="H25" s="190">
        <f>SUM(E25:G25)</f>
        <v>204.46839519971394</v>
      </c>
      <c r="I25" s="308">
        <f t="shared" si="3"/>
        <v>120.73278075884554</v>
      </c>
      <c r="J25" s="304">
        <v>4.4999999999999997E-3</v>
      </c>
      <c r="K25" s="309">
        <f t="shared" si="7"/>
        <v>840.17305143975</v>
      </c>
      <c r="L25" s="306">
        <f>(M24+K25)/2*J25</f>
        <v>3.5091299747714721</v>
      </c>
      <c r="M25" s="310">
        <f t="shared" si="2"/>
        <v>843.68218141452144</v>
      </c>
      <c r="N25" s="39">
        <f t="shared" si="1"/>
        <v>15</v>
      </c>
      <c r="O25" s="137"/>
    </row>
    <row r="26" spans="1:17" x14ac:dyDescent="0.25">
      <c r="A26" s="39">
        <f t="shared" si="0"/>
        <v>16</v>
      </c>
      <c r="B26" s="101" t="s">
        <v>227</v>
      </c>
      <c r="C26" s="303" t="str">
        <f>C20</f>
        <v>2019</v>
      </c>
      <c r="D26" s="311">
        <f t="shared" si="5"/>
        <v>325.20117595855947</v>
      </c>
      <c r="E26" s="121">
        <v>288.95415264480692</v>
      </c>
      <c r="F26" s="121">
        <v>-84.485757445093</v>
      </c>
      <c r="G26" s="121">
        <v>0</v>
      </c>
      <c r="H26" s="190">
        <f t="shared" si="6"/>
        <v>204.46839519971394</v>
      </c>
      <c r="I26" s="308">
        <f t="shared" si="3"/>
        <v>120.73278075884554</v>
      </c>
      <c r="J26" s="304">
        <v>4.7000000000000002E-3</v>
      </c>
      <c r="K26" s="309">
        <f t="shared" si="7"/>
        <v>964.41496217336703</v>
      </c>
      <c r="L26" s="306">
        <f t="shared" si="4"/>
        <v>4.2490282874315382</v>
      </c>
      <c r="M26" s="310">
        <f t="shared" si="2"/>
        <v>968.66399046079857</v>
      </c>
      <c r="N26" s="39">
        <f t="shared" si="1"/>
        <v>16</v>
      </c>
      <c r="O26" s="137"/>
    </row>
    <row r="27" spans="1:17" x14ac:dyDescent="0.25">
      <c r="A27" s="39">
        <f t="shared" si="0"/>
        <v>17</v>
      </c>
      <c r="B27" s="101" t="s">
        <v>228</v>
      </c>
      <c r="C27" s="303" t="str">
        <f>C20</f>
        <v>2019</v>
      </c>
      <c r="D27" s="311">
        <f t="shared" si="5"/>
        <v>325.20117595855947</v>
      </c>
      <c r="E27" s="121">
        <v>288.95415264480692</v>
      </c>
      <c r="F27" s="121">
        <v>-84.485757445093</v>
      </c>
      <c r="G27" s="121">
        <v>0</v>
      </c>
      <c r="H27" s="190">
        <f t="shared" si="6"/>
        <v>204.46839519971394</v>
      </c>
      <c r="I27" s="308">
        <f t="shared" si="3"/>
        <v>120.73278075884554</v>
      </c>
      <c r="J27" s="304">
        <v>4.7000000000000002E-3</v>
      </c>
      <c r="K27" s="309">
        <f t="shared" si="7"/>
        <v>1089.3967712196441</v>
      </c>
      <c r="L27" s="306">
        <f t="shared" si="4"/>
        <v>4.8364427899490403</v>
      </c>
      <c r="M27" s="310">
        <f t="shared" si="2"/>
        <v>1094.233214009593</v>
      </c>
      <c r="N27" s="39">
        <f t="shared" si="1"/>
        <v>17</v>
      </c>
      <c r="O27" s="137"/>
    </row>
    <row r="28" spans="1:17" x14ac:dyDescent="0.25">
      <c r="A28" s="39">
        <f t="shared" si="0"/>
        <v>18</v>
      </c>
      <c r="B28" s="101" t="s">
        <v>229</v>
      </c>
      <c r="C28" s="303" t="str">
        <f>C20</f>
        <v>2019</v>
      </c>
      <c r="D28" s="311">
        <f t="shared" si="5"/>
        <v>325.20117595855947</v>
      </c>
      <c r="E28" s="121">
        <v>288.95415264480692</v>
      </c>
      <c r="F28" s="121">
        <v>-84.485757445093</v>
      </c>
      <c r="G28" s="121">
        <v>0</v>
      </c>
      <c r="H28" s="190">
        <f t="shared" si="6"/>
        <v>204.46839519971394</v>
      </c>
      <c r="I28" s="308">
        <f t="shared" si="3"/>
        <v>120.73278075884554</v>
      </c>
      <c r="J28" s="304">
        <v>4.4999999999999997E-3</v>
      </c>
      <c r="K28" s="309">
        <f t="shared" si="7"/>
        <v>1214.9659947684386</v>
      </c>
      <c r="L28" s="306">
        <f t="shared" si="4"/>
        <v>5.1956982197505708</v>
      </c>
      <c r="M28" s="310">
        <f t="shared" si="2"/>
        <v>1220.1616929881891</v>
      </c>
      <c r="N28" s="39">
        <f t="shared" si="1"/>
        <v>18</v>
      </c>
      <c r="O28" s="137"/>
    </row>
    <row r="29" spans="1:17" x14ac:dyDescent="0.25">
      <c r="A29" s="39">
        <f t="shared" si="0"/>
        <v>19</v>
      </c>
      <c r="B29" s="101" t="s">
        <v>230</v>
      </c>
      <c r="C29" s="303" t="str">
        <f>C20</f>
        <v>2019</v>
      </c>
      <c r="D29" s="311">
        <f t="shared" si="5"/>
        <v>325.20117595855947</v>
      </c>
      <c r="E29" s="121">
        <v>288.95415264480692</v>
      </c>
      <c r="F29" s="121">
        <v>-84.485757445093</v>
      </c>
      <c r="G29" s="121">
        <v>0</v>
      </c>
      <c r="H29" s="190">
        <f t="shared" si="6"/>
        <v>204.46839519971394</v>
      </c>
      <c r="I29" s="308">
        <f t="shared" si="3"/>
        <v>120.73278075884554</v>
      </c>
      <c r="J29" s="304">
        <v>4.5999999999999999E-3</v>
      </c>
      <c r="K29" s="309">
        <f t="shared" si="7"/>
        <v>1340.8944737470347</v>
      </c>
      <c r="L29" s="306">
        <f t="shared" si="4"/>
        <v>5.8904291834910154</v>
      </c>
      <c r="M29" s="310">
        <f t="shared" si="2"/>
        <v>1346.7849029305257</v>
      </c>
      <c r="N29" s="39">
        <f t="shared" si="1"/>
        <v>19</v>
      </c>
      <c r="O29" s="137"/>
    </row>
    <row r="30" spans="1:17" x14ac:dyDescent="0.25">
      <c r="A30" s="39">
        <f t="shared" si="0"/>
        <v>20</v>
      </c>
      <c r="B30" s="101" t="s">
        <v>231</v>
      </c>
      <c r="C30" s="303" t="str">
        <f>C20</f>
        <v>2019</v>
      </c>
      <c r="D30" s="311">
        <f t="shared" si="5"/>
        <v>325.20117595855947</v>
      </c>
      <c r="E30" s="121">
        <v>288.95415264480692</v>
      </c>
      <c r="F30" s="121">
        <v>-84.485757445093</v>
      </c>
      <c r="G30" s="121">
        <v>0</v>
      </c>
      <c r="H30" s="190">
        <f t="shared" si="6"/>
        <v>204.46839519971394</v>
      </c>
      <c r="I30" s="308">
        <f t="shared" si="3"/>
        <v>120.73278075884554</v>
      </c>
      <c r="J30" s="304">
        <v>4.4999999999999997E-3</v>
      </c>
      <c r="K30" s="309">
        <f t="shared" si="7"/>
        <v>1467.5176836893713</v>
      </c>
      <c r="L30" s="306">
        <f t="shared" si="4"/>
        <v>6.3321808198947673</v>
      </c>
      <c r="M30" s="310">
        <f t="shared" si="2"/>
        <v>1473.8498645092661</v>
      </c>
      <c r="N30" s="39">
        <f t="shared" si="1"/>
        <v>20</v>
      </c>
      <c r="O30" s="137"/>
    </row>
    <row r="31" spans="1:17" x14ac:dyDescent="0.25">
      <c r="A31" s="39">
        <f t="shared" si="0"/>
        <v>21</v>
      </c>
      <c r="B31" s="312" t="s">
        <v>232</v>
      </c>
      <c r="C31" s="313" t="str">
        <f>C20</f>
        <v>2019</v>
      </c>
      <c r="D31" s="320">
        <f t="shared" si="5"/>
        <v>325.20117595855947</v>
      </c>
      <c r="E31" s="121">
        <v>288.95415264480692</v>
      </c>
      <c r="F31" s="121">
        <v>-84.485757445093</v>
      </c>
      <c r="G31" s="121">
        <v>0</v>
      </c>
      <c r="H31" s="315">
        <f>SUM(E31:G31)</f>
        <v>204.46839519971394</v>
      </c>
      <c r="I31" s="316">
        <f t="shared" si="3"/>
        <v>120.73278075884554</v>
      </c>
      <c r="J31" s="317">
        <v>4.5999999999999999E-3</v>
      </c>
      <c r="K31" s="318">
        <f>M30+I31</f>
        <v>1594.5826452681117</v>
      </c>
      <c r="L31" s="319">
        <f t="shared" si="4"/>
        <v>7.0573947724879691</v>
      </c>
      <c r="M31" s="320">
        <f>K31+L31</f>
        <v>1601.6400400405996</v>
      </c>
      <c r="N31" s="39">
        <f t="shared" si="1"/>
        <v>21</v>
      </c>
      <c r="O31" s="137"/>
    </row>
    <row r="32" spans="1:17" ht="16.5" thickBot="1" x14ac:dyDescent="0.3">
      <c r="A32" s="39">
        <f t="shared" si="0"/>
        <v>22</v>
      </c>
      <c r="D32" s="321">
        <f t="shared" ref="D32:I32" si="8">SUM(D20:D31)</f>
        <v>3902.4141115027128</v>
      </c>
      <c r="E32" s="322">
        <f>SUM(E20:E31)</f>
        <v>3094.2686116173577</v>
      </c>
      <c r="F32" s="322">
        <f t="shared" si="8"/>
        <v>-1149.0102802704107</v>
      </c>
      <c r="G32" s="322">
        <f t="shared" si="8"/>
        <v>400.54649248330634</v>
      </c>
      <c r="H32" s="322">
        <f t="shared" si="8"/>
        <v>2345.8048238302531</v>
      </c>
      <c r="I32" s="321">
        <f t="shared" si="8"/>
        <v>1556.6092876724611</v>
      </c>
      <c r="J32" s="323"/>
      <c r="K32" s="324"/>
      <c r="L32" s="321">
        <f>SUM(L20:L31)</f>
        <v>45.030752368138948</v>
      </c>
      <c r="M32" s="324"/>
      <c r="N32" s="39">
        <f t="shared" si="1"/>
        <v>22</v>
      </c>
    </row>
    <row r="33" spans="1:13" ht="16.5" thickTop="1" x14ac:dyDescent="0.25">
      <c r="D33" s="325"/>
      <c r="E33" s="325"/>
      <c r="F33" s="325"/>
      <c r="G33" s="325"/>
      <c r="H33" s="325"/>
      <c r="I33" s="325"/>
      <c r="J33" s="325"/>
      <c r="K33" s="325"/>
      <c r="L33" s="325"/>
      <c r="M33" s="325"/>
    </row>
    <row r="34" spans="1:13" x14ac:dyDescent="0.25">
      <c r="A34" s="27" t="s">
        <v>16</v>
      </c>
      <c r="B34" s="25" t="s">
        <v>278</v>
      </c>
      <c r="F34" s="326"/>
      <c r="G34" s="326"/>
    </row>
    <row r="35" spans="1:13" ht="18.75" x14ac:dyDescent="0.25">
      <c r="A35" s="327">
        <v>1</v>
      </c>
      <c r="B35" s="40" t="s">
        <v>557</v>
      </c>
      <c r="F35" s="326"/>
      <c r="G35" s="326"/>
    </row>
    <row r="36" spans="1:13" ht="18.75" x14ac:dyDescent="0.25">
      <c r="A36" s="327">
        <v>2</v>
      </c>
      <c r="B36" s="40" t="s">
        <v>233</v>
      </c>
    </row>
    <row r="37" spans="1:13" ht="18.75" x14ac:dyDescent="0.25">
      <c r="A37" s="327">
        <v>3</v>
      </c>
      <c r="B37" s="40" t="s">
        <v>234</v>
      </c>
    </row>
    <row r="38" spans="1:13" ht="18.75" x14ac:dyDescent="0.25">
      <c r="A38" s="327">
        <v>4</v>
      </c>
      <c r="B38" s="40" t="s">
        <v>235</v>
      </c>
    </row>
    <row r="39" spans="1:13" ht="18.75" x14ac:dyDescent="0.25">
      <c r="A39" s="327"/>
      <c r="B39" s="40" t="s">
        <v>236</v>
      </c>
    </row>
    <row r="40" spans="1:13" ht="18.75" x14ac:dyDescent="0.25">
      <c r="A40" s="327">
        <v>5</v>
      </c>
      <c r="B40" s="40" t="s">
        <v>237</v>
      </c>
      <c r="C40" s="388"/>
    </row>
    <row r="41" spans="1:13" ht="18.75" x14ac:dyDescent="0.25">
      <c r="A41" s="327">
        <v>6</v>
      </c>
      <c r="B41" s="40" t="s">
        <v>238</v>
      </c>
    </row>
    <row r="42" spans="1:13" ht="18.75" x14ac:dyDescent="0.25">
      <c r="A42" s="327">
        <v>7</v>
      </c>
      <c r="B42" s="40" t="s">
        <v>239</v>
      </c>
    </row>
  </sheetData>
  <mergeCells count="5">
    <mergeCell ref="B3:N3"/>
    <mergeCell ref="B4:N4"/>
    <mergeCell ref="B5:N5"/>
    <mergeCell ref="B6:N6"/>
    <mergeCell ref="B7:M7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Roman,Bold"&amp;7AS FILED SEC.4 WITH COST ADJ INCL. IN APPENDIX X CYCLE 10 (ER22-139)</oddHeader>
    <oddFooter>&amp;L&amp;F&amp;CPage 7.1&amp;R&amp;A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3B3B9-87C6-4A42-8C75-02B6AB4D9C35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e183c04-4e8d-4715-bce7-54b439dc82e0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59EF9C-5E72-4C63-8247-4E680AC65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9</vt:i4>
      </vt:variant>
    </vt:vector>
  </HeadingPairs>
  <TitlesOfParts>
    <vt:vector size="29" baseType="lpstr">
      <vt:lpstr>Pg1 Appendix X C9 Cost Adj</vt:lpstr>
      <vt:lpstr>Pg2 Appendix X C9 Comparison</vt:lpstr>
      <vt:lpstr>Pg3 Rev App. X C9</vt:lpstr>
      <vt:lpstr>Pg4 App.X C9 Adj-Cost Adj</vt:lpstr>
      <vt:lpstr>Pg4.1 As Filed-Orig. App X C9</vt:lpstr>
      <vt:lpstr>Pg5 Rev Sec.2-Non-Direct Exp</vt:lpstr>
      <vt:lpstr>Pg6 As Filed Sec.2-Cost Adj </vt:lpstr>
      <vt:lpstr>Pg7 Rev Sec.4-TU</vt:lpstr>
      <vt:lpstr>Pg7.1 As Filed Sec.4-Cost Adj</vt:lpstr>
      <vt:lpstr>Pg8 Rev Stmt AH</vt:lpstr>
      <vt:lpstr>Pg8.1 As Filed Stmt AH-Cost Adj</vt:lpstr>
      <vt:lpstr>Pg8.2 Rev AH-3</vt:lpstr>
      <vt:lpstr>Pg8.3 Rev AH-3-Cost Adj</vt:lpstr>
      <vt:lpstr>Pg9 Rev Stmt AL</vt:lpstr>
      <vt:lpstr>Pg9.1 Rev Stmt AL-Cost Adj</vt:lpstr>
      <vt:lpstr>Pg10 Rev Stmt AV</vt:lpstr>
      <vt:lpstr>Pg11 As Filed Stmt AV-Cost Adj</vt:lpstr>
      <vt:lpstr>Pg12 Rev AV-4 </vt:lpstr>
      <vt:lpstr>Pg13 As Filed AV-4-Cost Adj</vt:lpstr>
      <vt:lpstr>Pg14 Appendix X C9 Int Calc</vt:lpstr>
      <vt:lpstr>'Pg11 As Filed Stmt AV-Cost Adj'!Print_Area</vt:lpstr>
      <vt:lpstr>'Pg13 As Filed AV-4-Cost Adj'!Print_Area</vt:lpstr>
      <vt:lpstr>'Pg4 App.X C9 Adj-Cost Adj'!Print_Area</vt:lpstr>
      <vt:lpstr>'Pg4.1 As Filed-Orig. App X C9'!Print_Area</vt:lpstr>
      <vt:lpstr>'Pg6 As Filed Sec.2-Cost Adj '!Print_Area</vt:lpstr>
      <vt:lpstr>'Pg7.1 As Filed Sec.4-Cost Adj'!Print_Area</vt:lpstr>
      <vt:lpstr>'Pg8.1 As Filed Stmt AH-Cost Adj'!Print_Area</vt:lpstr>
      <vt:lpstr>'Pg8.3 Rev AH-3-Cost Adj'!Print_Area</vt:lpstr>
      <vt:lpstr>'Pg9.1 Rev Stmt AL-Cost Adj'!Print_Area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Pham, Jenny L.</cp:lastModifiedBy>
  <cp:lastPrinted>2023-10-10T23:19:20Z</cp:lastPrinted>
  <dcterms:created xsi:type="dcterms:W3CDTF">2021-03-15T22:51:55Z</dcterms:created>
  <dcterms:modified xsi:type="dcterms:W3CDTF">2023-10-10T23:19:20Z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0x01010051C0C4427B38DE4E8452B3A89053EC88</vt:lpwstr>
  </property>
</Properties>
</file>