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ltanedo_semprautilities_com/Documents/User Folders/Desktop/"/>
    </mc:Choice>
  </mc:AlternateContent>
  <xr:revisionPtr revIDLastSave="0" documentId="8_{40E46441-D340-4D1D-8DBB-D41700A653FC}" xr6:coauthVersionLast="47" xr6:coauthVersionMax="47" xr10:uidLastSave="{00000000-0000-0000-0000-000000000000}"/>
  <bookViews>
    <workbookView xWindow="38280" yWindow="3990" windowWidth="20730" windowHeight="11160" xr2:uid="{A1AA674E-836A-4CFE-B14F-C8BAAC5651C2}"/>
  </bookViews>
  <sheets>
    <sheet name="Pg1 Appendix X C8 Cost Adj" sheetId="1" r:id="rId1"/>
    <sheet name="Pg2 Appendix X C8 Comparison" sheetId="16" r:id="rId2"/>
    <sheet name="Pg3 Revised Appendix X C8" sheetId="15" r:id="rId3"/>
    <sheet name="Pg4 As Filed Appendix X C8" sheetId="14" r:id="rId4"/>
    <sheet name="Pg5 Rev B1.Atchmnt 2 BK2 NonDir" sheetId="13" r:id="rId5"/>
    <sheet name="Pg6 Rev C.Atchmnt 3-Sec 4a TU " sheetId="12" r:id="rId6"/>
    <sheet name="Pg6.1 Rev C2 Atchmnt 3-Sec4b " sheetId="22" r:id="rId7"/>
    <sheet name="Pg7 Revised Stmt AH" sheetId="19" r:id="rId8"/>
    <sheet name="Pg7.1 Revised AH-2" sheetId="20" r:id="rId9"/>
    <sheet name="Pg7.2 Revised AH-3" sheetId="18" r:id="rId10"/>
    <sheet name="Pg8 Revised Stmt AL" sheetId="17" r:id="rId11"/>
    <sheet name="Pg9 Revised Stmt AV" sheetId="11" r:id="rId12"/>
    <sheet name="Pg10 Revised AV-4" sheetId="21" r:id="rId13"/>
    <sheet name="Pg11 Appendix X C8 Int Calc " sheetId="2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8" l="1"/>
  <c r="F36" i="19"/>
  <c r="C30" i="21"/>
  <c r="C29" i="21"/>
  <c r="E24" i="17"/>
  <c r="E22" i="17"/>
  <c r="F44" i="19"/>
  <c r="F41" i="19"/>
  <c r="F40" i="19"/>
  <c r="F39" i="19"/>
  <c r="F38" i="19"/>
  <c r="F37" i="19"/>
  <c r="F35" i="19"/>
  <c r="F34" i="19"/>
  <c r="F33" i="19"/>
  <c r="F31" i="19"/>
  <c r="F27" i="19"/>
  <c r="F25" i="19"/>
  <c r="F24" i="19"/>
  <c r="F23" i="19"/>
  <c r="F22" i="19"/>
  <c r="F21" i="19"/>
  <c r="F20" i="19"/>
  <c r="F19" i="19"/>
  <c r="F18" i="19"/>
  <c r="F17" i="19"/>
  <c r="F15" i="19"/>
  <c r="E136" i="13"/>
  <c r="E62" i="13"/>
  <c r="E58" i="13"/>
  <c r="E51" i="16" l="1"/>
  <c r="C51" i="16"/>
  <c r="C29" i="23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28" i="23"/>
  <c r="C27" i="23"/>
  <c r="C26" i="23"/>
  <c r="C25" i="23"/>
  <c r="C24" i="23"/>
  <c r="C23" i="23"/>
  <c r="C22" i="23"/>
  <c r="C21" i="23"/>
  <c r="C20" i="23"/>
  <c r="C19" i="23"/>
  <c r="I11" i="23"/>
  <c r="I12" i="23" s="1"/>
  <c r="I13" i="23" s="1"/>
  <c r="I14" i="23" s="1"/>
  <c r="I15" i="23" s="1"/>
  <c r="I16" i="23" s="1"/>
  <c r="I17" i="23" s="1"/>
  <c r="I18" i="23" s="1"/>
  <c r="I19" i="23" s="1"/>
  <c r="I20" i="23" s="1"/>
  <c r="I21" i="23" s="1"/>
  <c r="I22" i="23" s="1"/>
  <c r="I23" i="23" s="1"/>
  <c r="I24" i="23" s="1"/>
  <c r="I25" i="23" s="1"/>
  <c r="I26" i="23" s="1"/>
  <c r="I27" i="23" s="1"/>
  <c r="I28" i="23" s="1"/>
  <c r="I29" i="23" s="1"/>
  <c r="I30" i="23" s="1"/>
  <c r="I31" i="23" s="1"/>
  <c r="I32" i="23" s="1"/>
  <c r="I33" i="23" s="1"/>
  <c r="I34" i="23" s="1"/>
  <c r="I35" i="23" s="1"/>
  <c r="I36" i="23" s="1"/>
  <c r="I37" i="23" s="1"/>
  <c r="I38" i="23" s="1"/>
  <c r="I39" i="23" s="1"/>
  <c r="I40" i="23" s="1"/>
  <c r="I41" i="23" s="1"/>
  <c r="I42" i="23" s="1"/>
  <c r="I43" i="23" s="1"/>
  <c r="I44" i="23" s="1"/>
  <c r="I45" i="23" s="1"/>
  <c r="I46" i="23" s="1"/>
  <c r="I47" i="23" s="1"/>
  <c r="I48" i="23" s="1"/>
  <c r="I49" i="23" s="1"/>
  <c r="I50" i="23" s="1"/>
  <c r="I51" i="23" s="1"/>
  <c r="I52" i="23" s="1"/>
  <c r="I53" i="23" s="1"/>
  <c r="I54" i="23" s="1"/>
  <c r="I55" i="23" s="1"/>
  <c r="I56" i="23" s="1"/>
  <c r="I57" i="23" s="1"/>
  <c r="I58" i="23" s="1"/>
  <c r="I59" i="23" s="1"/>
  <c r="I60" i="23" s="1"/>
  <c r="I61" i="23" s="1"/>
  <c r="I62" i="23" s="1"/>
  <c r="I63" i="23" s="1"/>
  <c r="I64" i="23" s="1"/>
  <c r="I65" i="23" s="1"/>
  <c r="I66" i="23" s="1"/>
  <c r="A11" i="23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E31" i="16"/>
  <c r="C31" i="16"/>
  <c r="O24" i="12" l="1"/>
  <c r="K27" i="12"/>
  <c r="G27" i="12"/>
  <c r="C27" i="12"/>
  <c r="O17" i="12"/>
  <c r="A13" i="12"/>
  <c r="A14" i="12" s="1"/>
  <c r="R12" i="12"/>
  <c r="R13" i="12" s="1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R30" i="12" s="1"/>
  <c r="R31" i="12" s="1"/>
  <c r="R32" i="12" s="1"/>
  <c r="R33" i="12" s="1"/>
  <c r="R34" i="12" s="1"/>
  <c r="R35" i="12" s="1"/>
  <c r="R36" i="12" s="1"/>
  <c r="R37" i="12" s="1"/>
  <c r="R38" i="12" s="1"/>
  <c r="R39" i="12" s="1"/>
  <c r="R40" i="12" s="1"/>
  <c r="R41" i="12" s="1"/>
  <c r="R42" i="12" s="1"/>
  <c r="R43" i="12" s="1"/>
  <c r="R44" i="12" s="1"/>
  <c r="A108" i="13"/>
  <c r="A109" i="13" s="1"/>
  <c r="A110" i="13" s="1"/>
  <c r="A111" i="13" s="1"/>
  <c r="E111" i="13"/>
  <c r="A107" i="13"/>
  <c r="H106" i="13"/>
  <c r="H107" i="13" s="1"/>
  <c r="H108" i="13" s="1"/>
  <c r="H109" i="13" s="1"/>
  <c r="H110" i="13" s="1"/>
  <c r="H111" i="13" s="1"/>
  <c r="H112" i="13" s="1"/>
  <c r="H113" i="13" s="1"/>
  <c r="H114" i="13" s="1"/>
  <c r="H115" i="13" s="1"/>
  <c r="H116" i="13" s="1"/>
  <c r="H117" i="13" s="1"/>
  <c r="H118" i="13" s="1"/>
  <c r="H119" i="13" s="1"/>
  <c r="H120" i="13" s="1"/>
  <c r="H121" i="13" s="1"/>
  <c r="H122" i="13" s="1"/>
  <c r="H123" i="13" s="1"/>
  <c r="H124" i="13" s="1"/>
  <c r="H125" i="13" s="1"/>
  <c r="H126" i="13" s="1"/>
  <c r="H127" i="13" s="1"/>
  <c r="H128" i="13" s="1"/>
  <c r="H129" i="13" s="1"/>
  <c r="H130" i="13" s="1"/>
  <c r="H131" i="13" s="1"/>
  <c r="H132" i="13" s="1"/>
  <c r="H133" i="13" s="1"/>
  <c r="H134" i="13" s="1"/>
  <c r="H135" i="13" s="1"/>
  <c r="H136" i="13" s="1"/>
  <c r="H137" i="13" s="1"/>
  <c r="H138" i="13" s="1"/>
  <c r="H139" i="13" s="1"/>
  <c r="H140" i="13" s="1"/>
  <c r="H141" i="13" s="1"/>
  <c r="H142" i="13" s="1"/>
  <c r="H143" i="13" s="1"/>
  <c r="H144" i="13" s="1"/>
  <c r="H145" i="13" s="1"/>
  <c r="H146" i="13" s="1"/>
  <c r="H147" i="13" s="1"/>
  <c r="H148" i="13" s="1"/>
  <c r="H149" i="13" s="1"/>
  <c r="H150" i="13" s="1"/>
  <c r="H151" i="13" s="1"/>
  <c r="H152" i="13" s="1"/>
  <c r="H153" i="13" s="1"/>
  <c r="H154" i="13" s="1"/>
  <c r="H155" i="13" s="1"/>
  <c r="H156" i="13" s="1"/>
  <c r="H157" i="13" s="1"/>
  <c r="H158" i="13" s="1"/>
  <c r="H159" i="13" s="1"/>
  <c r="H160" i="13" s="1"/>
  <c r="H161" i="13" s="1"/>
  <c r="H162" i="13" s="1"/>
  <c r="H163" i="13" s="1"/>
  <c r="A57" i="13"/>
  <c r="A58" i="13" s="1"/>
  <c r="A56" i="13"/>
  <c r="H55" i="13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E64" i="13" l="1"/>
  <c r="E14" i="13" s="1"/>
  <c r="O20" i="12"/>
  <c r="J27" i="12"/>
  <c r="J29" i="12" s="1"/>
  <c r="N27" i="12"/>
  <c r="N29" i="12" s="1"/>
  <c r="K29" i="12"/>
  <c r="E66" i="13"/>
  <c r="I27" i="12"/>
  <c r="I29" i="12" s="1"/>
  <c r="M27" i="12"/>
  <c r="M29" i="12" s="1"/>
  <c r="E76" i="13"/>
  <c r="E18" i="13" s="1"/>
  <c r="E60" i="13"/>
  <c r="E12" i="13" s="1"/>
  <c r="O23" i="12"/>
  <c r="O18" i="12"/>
  <c r="C29" i="12"/>
  <c r="G29" i="12"/>
  <c r="E27" i="12"/>
  <c r="E29" i="12" s="1"/>
  <c r="O26" i="12"/>
  <c r="F27" i="12"/>
  <c r="F29" i="12" s="1"/>
  <c r="H27" i="12"/>
  <c r="H29" i="12" s="1"/>
  <c r="L27" i="12"/>
  <c r="L29" i="12" s="1"/>
  <c r="A15" i="12"/>
  <c r="A16" i="12" s="1"/>
  <c r="A17" i="12" s="1"/>
  <c r="O14" i="12"/>
  <c r="D27" i="12"/>
  <c r="D29" i="12" s="1"/>
  <c r="O21" i="12"/>
  <c r="A112" i="13"/>
  <c r="A113" i="13" s="1"/>
  <c r="A114" i="13" s="1"/>
  <c r="A115" i="13" s="1"/>
  <c r="A31" i="13"/>
  <c r="A32" i="13" s="1"/>
  <c r="A33" i="13" s="1"/>
  <c r="A34" i="13" s="1"/>
  <c r="G32" i="13"/>
  <c r="E161" i="13"/>
  <c r="E149" i="13"/>
  <c r="E151" i="13" s="1"/>
  <c r="E132" i="13" s="1"/>
  <c r="B100" i="13"/>
  <c r="B49" i="13"/>
  <c r="G30" i="13"/>
  <c r="A59" i="13"/>
  <c r="A60" i="13" s="1"/>
  <c r="O29" i="12" l="1"/>
  <c r="O27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61" i="13"/>
  <c r="A62" i="13" s="1"/>
  <c r="G12" i="13"/>
  <c r="G39" i="13"/>
  <c r="A35" i="13"/>
  <c r="A36" i="13" s="1"/>
  <c r="A37" i="13" s="1"/>
  <c r="G34" i="13"/>
  <c r="A116" i="13"/>
  <c r="A117" i="13" s="1"/>
  <c r="A118" i="13" s="1"/>
  <c r="A119" i="13" s="1"/>
  <c r="A28" i="12" l="1"/>
  <c r="A29" i="12" s="1"/>
  <c r="A30" i="12" s="1"/>
  <c r="A31" i="12" s="1"/>
  <c r="A120" i="13"/>
  <c r="A121" i="13" s="1"/>
  <c r="A122" i="13" s="1"/>
  <c r="A123" i="13" s="1"/>
  <c r="A38" i="13"/>
  <c r="A39" i="13" s="1"/>
  <c r="A40" i="13" s="1"/>
  <c r="A41" i="13" s="1"/>
  <c r="G41" i="13"/>
  <c r="A63" i="13"/>
  <c r="A64" i="13" s="1"/>
  <c r="A32" i="12" l="1"/>
  <c r="A33" i="12" s="1"/>
  <c r="A124" i="13"/>
  <c r="A125" i="13" s="1"/>
  <c r="A126" i="13" s="1"/>
  <c r="A65" i="13"/>
  <c r="A66" i="13" s="1"/>
  <c r="A67" i="13" s="1"/>
  <c r="A68" i="13" s="1"/>
  <c r="A69" i="13" s="1"/>
  <c r="G14" i="13"/>
  <c r="B51" i="12" l="1"/>
  <c r="B50" i="12"/>
  <c r="B49" i="12"/>
  <c r="A34" i="12"/>
  <c r="A35" i="12" s="1"/>
  <c r="A36" i="12" s="1"/>
  <c r="A37" i="12" s="1"/>
  <c r="A70" i="13"/>
  <c r="A71" i="13" s="1"/>
  <c r="A127" i="13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38" i="12" l="1"/>
  <c r="A39" i="12" s="1"/>
  <c r="Q39" i="12"/>
  <c r="A143" i="13"/>
  <c r="A144" i="13" s="1"/>
  <c r="A145" i="13" s="1"/>
  <c r="A72" i="13"/>
  <c r="A73" i="13" s="1"/>
  <c r="A74" i="13" s="1"/>
  <c r="G16" i="13"/>
  <c r="A40" i="12" l="1"/>
  <c r="A41" i="12" s="1"/>
  <c r="A75" i="13"/>
  <c r="A76" i="13" s="1"/>
  <c r="A146" i="13"/>
  <c r="A147" i="13" s="1"/>
  <c r="A148" i="13" s="1"/>
  <c r="A149" i="13" s="1"/>
  <c r="A150" i="13" s="1"/>
  <c r="A151" i="13" s="1"/>
  <c r="A42" i="12" l="1"/>
  <c r="A43" i="12" s="1"/>
  <c r="Q43" i="12"/>
  <c r="Q41" i="12"/>
  <c r="A152" i="13"/>
  <c r="A153" i="13" s="1"/>
  <c r="A154" i="13" s="1"/>
  <c r="A155" i="13" s="1"/>
  <c r="A77" i="13"/>
  <c r="A78" i="13" s="1"/>
  <c r="A79" i="13" s="1"/>
  <c r="G18" i="13"/>
  <c r="A44" i="12" l="1"/>
  <c r="A80" i="13"/>
  <c r="A81" i="13" s="1"/>
  <c r="A82" i="13" s="1"/>
  <c r="A83" i="13" s="1"/>
  <c r="G20" i="13"/>
  <c r="A156" i="13"/>
  <c r="A157" i="13" s="1"/>
  <c r="A158" i="13" s="1"/>
  <c r="A159" i="13" s="1"/>
  <c r="A160" i="13" l="1"/>
  <c r="A161" i="13" s="1"/>
  <c r="A162" i="13" s="1"/>
  <c r="A163" i="13" s="1"/>
  <c r="A84" i="13"/>
  <c r="A85" i="13" s="1"/>
  <c r="A86" i="13" s="1"/>
  <c r="A87" i="13" l="1"/>
  <c r="A88" i="13" s="1"/>
  <c r="A89" i="13" s="1"/>
  <c r="A90" i="13" s="1"/>
  <c r="A91" i="13" l="1"/>
  <c r="A92" i="13" s="1"/>
  <c r="G28" i="13" s="1"/>
  <c r="G51" i="16" l="1"/>
  <c r="B45" i="16" l="1"/>
  <c r="B43" i="16"/>
  <c r="B41" i="16"/>
  <c r="B39" i="16"/>
  <c r="B37" i="16"/>
  <c r="B35" i="16"/>
  <c r="B53" i="16"/>
  <c r="B47" i="16"/>
  <c r="A14" i="16"/>
  <c r="A15" i="16" s="1"/>
  <c r="I13" i="16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A16" i="16" l="1"/>
  <c r="A17" i="16" s="1"/>
  <c r="A18" i="16" l="1"/>
  <c r="A19" i="16" s="1"/>
  <c r="A20" i="16" s="1"/>
  <c r="A21" i="16" s="1"/>
  <c r="A22" i="16" l="1"/>
  <c r="A23" i="16" s="1"/>
  <c r="A24" i="16" s="1"/>
  <c r="A25" i="16" s="1"/>
  <c r="H27" i="16" l="1"/>
  <c r="A26" i="16"/>
  <c r="A27" i="16" s="1"/>
  <c r="A28" i="16" s="1"/>
  <c r="A34" i="16" s="1"/>
  <c r="A35" i="16" s="1"/>
  <c r="A36" i="16" l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H49" i="16" l="1"/>
  <c r="A50" i="16"/>
  <c r="A51" i="16" s="1"/>
  <c r="A52" i="16" s="1"/>
  <c r="A53" i="16" s="1"/>
  <c r="A54" i="16" s="1"/>
  <c r="C88" i="21" l="1"/>
  <c r="C39" i="21" s="1"/>
  <c r="C76" i="21"/>
  <c r="C82" i="21"/>
  <c r="C15" i="21" s="1"/>
  <c r="C81" i="21"/>
  <c r="C14" i="21" s="1"/>
  <c r="C80" i="21"/>
  <c r="C13" i="21" s="1"/>
  <c r="A65" i="21"/>
  <c r="A66" i="21" s="1"/>
  <c r="F64" i="21"/>
  <c r="F65" i="21" s="1"/>
  <c r="F66" i="21" s="1"/>
  <c r="F67" i="21" s="1"/>
  <c r="F68" i="21" s="1"/>
  <c r="F69" i="21" s="1"/>
  <c r="F70" i="21" s="1"/>
  <c r="F71" i="21" s="1"/>
  <c r="F72" i="21" s="1"/>
  <c r="F73" i="21" s="1"/>
  <c r="F74" i="21" s="1"/>
  <c r="F75" i="21" s="1"/>
  <c r="F76" i="21" s="1"/>
  <c r="F77" i="21" s="1"/>
  <c r="F78" i="21" s="1"/>
  <c r="F79" i="21" s="1"/>
  <c r="F80" i="21" s="1"/>
  <c r="F81" i="21" s="1"/>
  <c r="F82" i="21" s="1"/>
  <c r="F83" i="21" s="1"/>
  <c r="F84" i="21" s="1"/>
  <c r="F85" i="21" s="1"/>
  <c r="F86" i="21" s="1"/>
  <c r="F87" i="21" s="1"/>
  <c r="F88" i="21" s="1"/>
  <c r="C46" i="21"/>
  <c r="C26" i="21"/>
  <c r="C21" i="21"/>
  <c r="A12" i="21"/>
  <c r="A13" i="21" s="1"/>
  <c r="A14" i="21" s="1"/>
  <c r="A15" i="21" s="1"/>
  <c r="A16" i="21" s="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B57" i="21"/>
  <c r="G147" i="11"/>
  <c r="B147" i="11"/>
  <c r="B146" i="11"/>
  <c r="G144" i="11"/>
  <c r="B144" i="11"/>
  <c r="B143" i="11"/>
  <c r="G135" i="11"/>
  <c r="B135" i="11"/>
  <c r="G145" i="11"/>
  <c r="B132" i="11"/>
  <c r="B131" i="11"/>
  <c r="J127" i="11"/>
  <c r="J128" i="11" s="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A127" i="11"/>
  <c r="A128" i="11" s="1"/>
  <c r="A129" i="11" s="1"/>
  <c r="A130" i="11" s="1"/>
  <c r="A131" i="11" s="1"/>
  <c r="G99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A82" i="11"/>
  <c r="A83" i="11" s="1"/>
  <c r="A84" i="11" s="1"/>
  <c r="A85" i="11" s="1"/>
  <c r="A86" i="11" s="1"/>
  <c r="E62" i="11"/>
  <c r="C61" i="11"/>
  <c r="E49" i="11"/>
  <c r="C48" i="11"/>
  <c r="G39" i="11"/>
  <c r="C62" i="11" s="1"/>
  <c r="G36" i="11"/>
  <c r="G32" i="11"/>
  <c r="E48" i="11" s="1"/>
  <c r="G25" i="11"/>
  <c r="G17" i="11"/>
  <c r="C47" i="11" s="1"/>
  <c r="A12" i="1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B120" i="11"/>
  <c r="E27" i="17"/>
  <c r="A13" i="17"/>
  <c r="A12" i="17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E50" i="18"/>
  <c r="E37" i="18"/>
  <c r="H30" i="18"/>
  <c r="F42" i="19" s="1"/>
  <c r="F28" i="18"/>
  <c r="I28" i="18" s="1"/>
  <c r="H26" i="18"/>
  <c r="D26" i="18"/>
  <c r="E24" i="18"/>
  <c r="F24" i="18" s="1"/>
  <c r="I24" i="18" s="1"/>
  <c r="F23" i="18"/>
  <c r="I23" i="18" s="1"/>
  <c r="E22" i="18"/>
  <c r="F22" i="18" s="1"/>
  <c r="I22" i="18" s="1"/>
  <c r="F21" i="18"/>
  <c r="I21" i="18" s="1"/>
  <c r="E21" i="18"/>
  <c r="I20" i="18"/>
  <c r="F20" i="18"/>
  <c r="E19" i="18"/>
  <c r="F19" i="18" s="1"/>
  <c r="I19" i="18" s="1"/>
  <c r="E18" i="18"/>
  <c r="F18" i="18" s="1"/>
  <c r="I18" i="18" s="1"/>
  <c r="E17" i="18"/>
  <c r="F17" i="18" s="1"/>
  <c r="I17" i="18" s="1"/>
  <c r="F16" i="18"/>
  <c r="I16" i="18" s="1"/>
  <c r="E16" i="18"/>
  <c r="I15" i="18"/>
  <c r="F15" i="18"/>
  <c r="E14" i="18"/>
  <c r="F14" i="18" s="1"/>
  <c r="I14" i="18" s="1"/>
  <c r="F13" i="18"/>
  <c r="I13" i="18" s="1"/>
  <c r="K12" i="18"/>
  <c r="K13" i="18" s="1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K56" i="18" s="1"/>
  <c r="E12" i="18"/>
  <c r="E26" i="18" s="1"/>
  <c r="E30" i="18" s="1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K11" i="18"/>
  <c r="F11" i="18"/>
  <c r="E61" i="20"/>
  <c r="E66" i="20" s="1"/>
  <c r="F45" i="20"/>
  <c r="I45" i="20" s="1"/>
  <c r="H41" i="20"/>
  <c r="D41" i="20"/>
  <c r="F39" i="20"/>
  <c r="I39" i="20" s="1"/>
  <c r="F38" i="20"/>
  <c r="I38" i="20" s="1"/>
  <c r="E38" i="20"/>
  <c r="E37" i="20"/>
  <c r="F37" i="20" s="1"/>
  <c r="I37" i="20" s="1"/>
  <c r="F36" i="20"/>
  <c r="I36" i="20" s="1"/>
  <c r="E36" i="20"/>
  <c r="E41" i="20" s="1"/>
  <c r="I35" i="20"/>
  <c r="F35" i="20"/>
  <c r="I34" i="20"/>
  <c r="F34" i="20"/>
  <c r="I33" i="20"/>
  <c r="F33" i="20"/>
  <c r="I32" i="20"/>
  <c r="F32" i="20"/>
  <c r="I31" i="20"/>
  <c r="F31" i="20"/>
  <c r="I30" i="20"/>
  <c r="F30" i="20"/>
  <c r="F41" i="20" s="1"/>
  <c r="H27" i="20"/>
  <c r="H43" i="20" s="1"/>
  <c r="H47" i="20" s="1"/>
  <c r="D27" i="20"/>
  <c r="D43" i="20" s="1"/>
  <c r="I25" i="20"/>
  <c r="F25" i="20"/>
  <c r="E24" i="20"/>
  <c r="F24" i="20" s="1"/>
  <c r="I24" i="20" s="1"/>
  <c r="F23" i="20"/>
  <c r="I23" i="20" s="1"/>
  <c r="E23" i="20"/>
  <c r="I22" i="20"/>
  <c r="F22" i="20"/>
  <c r="E21" i="20"/>
  <c r="F21" i="20" s="1"/>
  <c r="I21" i="20" s="1"/>
  <c r="F20" i="20"/>
  <c r="I20" i="20" s="1"/>
  <c r="E20" i="20"/>
  <c r="E19" i="20"/>
  <c r="F19" i="20" s="1"/>
  <c r="I19" i="20" s="1"/>
  <c r="F18" i="20"/>
  <c r="I18" i="20" s="1"/>
  <c r="F17" i="20"/>
  <c r="I17" i="20" s="1"/>
  <c r="F16" i="20"/>
  <c r="I16" i="20" s="1"/>
  <c r="F15" i="20"/>
  <c r="I15" i="20" s="1"/>
  <c r="E15" i="20"/>
  <c r="I14" i="20"/>
  <c r="F14" i="20"/>
  <c r="I13" i="20"/>
  <c r="F13" i="20"/>
  <c r="I12" i="20"/>
  <c r="F12" i="20"/>
  <c r="A12" i="20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K11" i="20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I11" i="20"/>
  <c r="F11" i="20"/>
  <c r="F27" i="20" s="1"/>
  <c r="F43" i="20" s="1"/>
  <c r="F47" i="20" s="1"/>
  <c r="F58" i="19"/>
  <c r="A12" i="19"/>
  <c r="A13" i="19" s="1"/>
  <c r="A14" i="19" s="1"/>
  <c r="A15" i="19" s="1"/>
  <c r="I11" i="19"/>
  <c r="I12" i="19" s="1"/>
  <c r="I13" i="19" s="1"/>
  <c r="I14" i="19" s="1"/>
  <c r="I15" i="19" s="1"/>
  <c r="I16" i="19" s="1"/>
  <c r="I17" i="19" s="1"/>
  <c r="I18" i="19" s="1"/>
  <c r="I19" i="19" s="1"/>
  <c r="I20" i="19" s="1"/>
  <c r="I21" i="19" s="1"/>
  <c r="I22" i="19" s="1"/>
  <c r="I23" i="19" s="1"/>
  <c r="I24" i="19" s="1"/>
  <c r="I25" i="19" s="1"/>
  <c r="I26" i="19" s="1"/>
  <c r="I27" i="19" s="1"/>
  <c r="I28" i="19" s="1"/>
  <c r="I29" i="19" s="1"/>
  <c r="I30" i="19" s="1"/>
  <c r="I31" i="19" s="1"/>
  <c r="I32" i="19" s="1"/>
  <c r="I33" i="19" s="1"/>
  <c r="I34" i="19" s="1"/>
  <c r="I35" i="19" s="1"/>
  <c r="I36" i="19" s="1"/>
  <c r="I37" i="19" s="1"/>
  <c r="I38" i="19" s="1"/>
  <c r="I39" i="19" s="1"/>
  <c r="I40" i="19" s="1"/>
  <c r="I41" i="19" s="1"/>
  <c r="I42" i="19" s="1"/>
  <c r="I43" i="19" s="1"/>
  <c r="I44" i="19" s="1"/>
  <c r="I45" i="19" s="1"/>
  <c r="I46" i="19" s="1"/>
  <c r="I47" i="19" s="1"/>
  <c r="I48" i="19" s="1"/>
  <c r="I49" i="19" s="1"/>
  <c r="I50" i="19" s="1"/>
  <c r="I51" i="19" s="1"/>
  <c r="I52" i="19" s="1"/>
  <c r="I53" i="19" s="1"/>
  <c r="I54" i="19" s="1"/>
  <c r="I55" i="19" s="1"/>
  <c r="I56" i="19" s="1"/>
  <c r="I57" i="19" s="1"/>
  <c r="I58" i="19" s="1"/>
  <c r="I59" i="19" s="1"/>
  <c r="I60" i="19" s="1"/>
  <c r="I61" i="19" s="1"/>
  <c r="I62" i="19" s="1"/>
  <c r="I63" i="19" s="1"/>
  <c r="I64" i="19" s="1"/>
  <c r="I65" i="19" s="1"/>
  <c r="I66" i="19" s="1"/>
  <c r="I67" i="19" s="1"/>
  <c r="I68" i="19" s="1"/>
  <c r="A12" i="22"/>
  <c r="A13" i="22" s="1"/>
  <c r="A14" i="22" s="1"/>
  <c r="A15" i="22" s="1"/>
  <c r="A16" i="22" s="1"/>
  <c r="A17" i="22" s="1"/>
  <c r="A18" i="22" s="1"/>
  <c r="A19" i="22" s="1"/>
  <c r="A20" i="22" s="1"/>
  <c r="G11" i="22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B43" i="14"/>
  <c r="B41" i="14"/>
  <c r="B39" i="14"/>
  <c r="B37" i="14"/>
  <c r="B35" i="14"/>
  <c r="D33" i="14"/>
  <c r="B33" i="14"/>
  <c r="B51" i="14"/>
  <c r="E25" i="16"/>
  <c r="B45" i="14"/>
  <c r="E21" i="16"/>
  <c r="E17" i="16"/>
  <c r="A12" i="14"/>
  <c r="A13" i="14" s="1"/>
  <c r="E11" i="14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32" i="14" s="1"/>
  <c r="E33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B43" i="15"/>
  <c r="B41" i="15"/>
  <c r="B39" i="15"/>
  <c r="B37" i="15"/>
  <c r="B35" i="15"/>
  <c r="E33" i="15"/>
  <c r="B33" i="15"/>
  <c r="B51" i="15"/>
  <c r="B45" i="15"/>
  <c r="A12" i="15"/>
  <c r="A1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32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G12" i="1"/>
  <c r="G13" i="1" s="1"/>
  <c r="G14" i="1" s="1"/>
  <c r="A12" i="1"/>
  <c r="A13" i="1" s="1"/>
  <c r="A14" i="1" s="1"/>
  <c r="C37" i="15" l="1"/>
  <c r="C39" i="16" s="1"/>
  <c r="C17" i="16"/>
  <c r="C45" i="15"/>
  <c r="C47" i="16" s="1"/>
  <c r="C25" i="16"/>
  <c r="G25" i="16" s="1"/>
  <c r="G17" i="16"/>
  <c r="C33" i="15"/>
  <c r="C35" i="16" s="1"/>
  <c r="C13" i="16"/>
  <c r="C79" i="21"/>
  <c r="C83" i="21" s="1"/>
  <c r="F56" i="19"/>
  <c r="G19" i="17"/>
  <c r="E84" i="13" s="1"/>
  <c r="F66" i="19"/>
  <c r="F68" i="19" s="1"/>
  <c r="F48" i="19" s="1"/>
  <c r="G15" i="17"/>
  <c r="E83" i="13" s="1"/>
  <c r="F28" i="19"/>
  <c r="F43" i="19"/>
  <c r="F45" i="19" s="1"/>
  <c r="F47" i="19" s="1"/>
  <c r="C41" i="21"/>
  <c r="D47" i="20"/>
  <c r="D30" i="18"/>
  <c r="C41" i="14"/>
  <c r="E43" i="16" s="1"/>
  <c r="C37" i="14"/>
  <c r="E39" i="16" s="1"/>
  <c r="G39" i="16" s="1"/>
  <c r="C45" i="14"/>
  <c r="E47" i="16" s="1"/>
  <c r="C33" i="14"/>
  <c r="E13" i="16"/>
  <c r="C35" i="14"/>
  <c r="E37" i="16" s="1"/>
  <c r="E15" i="16"/>
  <c r="G27" i="1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C49" i="11"/>
  <c r="A17" i="21"/>
  <c r="A18" i="21" s="1"/>
  <c r="A19" i="21" s="1"/>
  <c r="A67" i="21"/>
  <c r="C69" i="21"/>
  <c r="I143" i="11"/>
  <c r="A132" i="11"/>
  <c r="A133" i="11" s="1"/>
  <c r="A87" i="11"/>
  <c r="A88" i="11" s="1"/>
  <c r="I98" i="11"/>
  <c r="C60" i="11"/>
  <c r="E61" i="11"/>
  <c r="B75" i="11"/>
  <c r="A14" i="17"/>
  <c r="A15" i="17" s="1"/>
  <c r="A16" i="17" s="1"/>
  <c r="A17" i="17" s="1"/>
  <c r="A18" i="17" s="1"/>
  <c r="A19" i="17" s="1"/>
  <c r="A20" i="17" s="1"/>
  <c r="A21" i="17" s="1"/>
  <c r="A22" i="17" s="1"/>
  <c r="J26" i="18"/>
  <c r="A25" i="18"/>
  <c r="A26" i="18" s="1"/>
  <c r="F26" i="18"/>
  <c r="F30" i="18" s="1"/>
  <c r="I11" i="18"/>
  <c r="I26" i="18" s="1"/>
  <c r="I30" i="18" s="1"/>
  <c r="F12" i="18"/>
  <c r="I12" i="18" s="1"/>
  <c r="I27" i="20"/>
  <c r="I41" i="20"/>
  <c r="J27" i="20"/>
  <c r="A26" i="20"/>
  <c r="A27" i="20" s="1"/>
  <c r="E27" i="20"/>
  <c r="E43" i="20" s="1"/>
  <c r="E47" i="20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21" i="22"/>
  <c r="A22" i="22" s="1"/>
  <c r="A14" i="14"/>
  <c r="A15" i="14" s="1"/>
  <c r="D35" i="14"/>
  <c r="C25" i="14"/>
  <c r="E35" i="15"/>
  <c r="A14" i="15"/>
  <c r="A15" i="15" s="1"/>
  <c r="C12" i="21" l="1"/>
  <c r="C16" i="21" s="1"/>
  <c r="G47" i="16"/>
  <c r="F49" i="19"/>
  <c r="C47" i="14"/>
  <c r="C51" i="14" s="1"/>
  <c r="E35" i="16"/>
  <c r="G13" i="16"/>
  <c r="E27" i="16"/>
  <c r="A25" i="11"/>
  <c r="I25" i="11"/>
  <c r="C50" i="11"/>
  <c r="D62" i="11" s="1"/>
  <c r="G62" i="11" s="1"/>
  <c r="I17" i="11"/>
  <c r="E60" i="11"/>
  <c r="E47" i="11"/>
  <c r="D48" i="11"/>
  <c r="G48" i="11" s="1"/>
  <c r="A68" i="21"/>
  <c r="A20" i="21"/>
  <c r="A21" i="21" s="1"/>
  <c r="A89" i="11"/>
  <c r="I99" i="11"/>
  <c r="D47" i="11"/>
  <c r="I144" i="11"/>
  <c r="A134" i="11"/>
  <c r="C63" i="11"/>
  <c r="D60" i="11"/>
  <c r="I27" i="11"/>
  <c r="A26" i="11"/>
  <c r="A27" i="11" s="1"/>
  <c r="D61" i="11"/>
  <c r="G61" i="11" s="1"/>
  <c r="G65" i="11" s="1"/>
  <c r="G131" i="11" s="1"/>
  <c r="A23" i="17"/>
  <c r="A24" i="17" s="1"/>
  <c r="A25" i="17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28" i="20"/>
  <c r="A29" i="20" s="1"/>
  <c r="A30" i="20" s="1"/>
  <c r="I43" i="20"/>
  <c r="I47" i="20" s="1"/>
  <c r="A32" i="19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23" i="22"/>
  <c r="A24" i="22" s="1"/>
  <c r="D37" i="14"/>
  <c r="A16" i="14"/>
  <c r="A17" i="14" s="1"/>
  <c r="A18" i="14" s="1"/>
  <c r="A19" i="14" s="1"/>
  <c r="E37" i="15"/>
  <c r="A16" i="15"/>
  <c r="A17" i="15" s="1"/>
  <c r="A18" i="15" s="1"/>
  <c r="A19" i="15" s="1"/>
  <c r="E69" i="13" l="1"/>
  <c r="E71" i="13" s="1"/>
  <c r="E16" i="13" s="1"/>
  <c r="E23" i="17"/>
  <c r="E25" i="17" s="1"/>
  <c r="E29" i="17" s="1"/>
  <c r="E49" i="16"/>
  <c r="E53" i="16" s="1"/>
  <c r="G35" i="16"/>
  <c r="D49" i="11"/>
  <c r="G49" i="11" s="1"/>
  <c r="G52" i="11" s="1"/>
  <c r="G86" i="11" s="1"/>
  <c r="A22" i="21"/>
  <c r="A23" i="21" s="1"/>
  <c r="A24" i="21" s="1"/>
  <c r="A69" i="21"/>
  <c r="A70" i="21" s="1"/>
  <c r="A71" i="21" s="1"/>
  <c r="A72" i="21" s="1"/>
  <c r="G47" i="11"/>
  <c r="G50" i="11" s="1"/>
  <c r="G109" i="11" s="1"/>
  <c r="G137" i="11"/>
  <c r="G146" i="11" s="1"/>
  <c r="G143" i="11"/>
  <c r="D63" i="11"/>
  <c r="G60" i="11"/>
  <c r="G63" i="11" s="1"/>
  <c r="G154" i="11" s="1"/>
  <c r="I47" i="11"/>
  <c r="I60" i="11"/>
  <c r="A28" i="11"/>
  <c r="A29" i="11" s="1"/>
  <c r="A30" i="11" s="1"/>
  <c r="I145" i="11"/>
  <c r="A135" i="11"/>
  <c r="A136" i="11" s="1"/>
  <c r="A137" i="11" s="1"/>
  <c r="A90" i="11"/>
  <c r="I100" i="11"/>
  <c r="G98" i="11"/>
  <c r="A26" i="17"/>
  <c r="A27" i="17" s="1"/>
  <c r="A28" i="17" s="1"/>
  <c r="A29" i="17" s="1"/>
  <c r="J30" i="18"/>
  <c r="A31" i="20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4" i="19"/>
  <c r="A20" i="14"/>
  <c r="A21" i="14" s="1"/>
  <c r="A22" i="14" s="1"/>
  <c r="A23" i="14" s="1"/>
  <c r="D41" i="14"/>
  <c r="A20" i="15"/>
  <c r="A21" i="15" s="1"/>
  <c r="A22" i="15" s="1"/>
  <c r="A23" i="15" s="1"/>
  <c r="E41" i="15"/>
  <c r="E85" i="13" l="1"/>
  <c r="E86" i="13" s="1"/>
  <c r="C31" i="21"/>
  <c r="C32" i="21" s="1"/>
  <c r="C36" i="21" s="1"/>
  <c r="G89" i="11" s="1"/>
  <c r="G149" i="11"/>
  <c r="G152" i="11" s="1"/>
  <c r="G156" i="11" s="1"/>
  <c r="D50" i="11"/>
  <c r="A73" i="21"/>
  <c r="A25" i="21"/>
  <c r="A26" i="21" s="1"/>
  <c r="I135" i="11"/>
  <c r="A91" i="11"/>
  <c r="A92" i="11" s="1"/>
  <c r="I146" i="11"/>
  <c r="A138" i="1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31" i="11"/>
  <c r="I36" i="11"/>
  <c r="J41" i="20"/>
  <c r="A42" i="20"/>
  <c r="A43" i="20" s="1"/>
  <c r="J43" i="20"/>
  <c r="A45" i="19"/>
  <c r="D45" i="14"/>
  <c r="A24" i="14"/>
  <c r="A25" i="14" s="1"/>
  <c r="A26" i="14" s="1"/>
  <c r="A32" i="14" s="1"/>
  <c r="A33" i="14" s="1"/>
  <c r="E45" i="15"/>
  <c r="A24" i="15"/>
  <c r="A25" i="15" s="1"/>
  <c r="A26" i="15" s="1"/>
  <c r="A32" i="15" s="1"/>
  <c r="A33" i="15" s="1"/>
  <c r="G100" i="11" l="1"/>
  <c r="G92" i="11"/>
  <c r="G101" i="11" s="1"/>
  <c r="I152" i="11"/>
  <c r="A27" i="21"/>
  <c r="A28" i="21" s="1"/>
  <c r="A29" i="21" s="1"/>
  <c r="A74" i="21"/>
  <c r="I32" i="11"/>
  <c r="A32" i="11"/>
  <c r="I101" i="11"/>
  <c r="A93" i="11"/>
  <c r="A94" i="11" s="1"/>
  <c r="A95" i="11" s="1"/>
  <c r="A96" i="11" s="1"/>
  <c r="A97" i="11" s="1"/>
  <c r="A98" i="11" s="1"/>
  <c r="A99" i="11" s="1"/>
  <c r="A100" i="11" s="1"/>
  <c r="A101" i="11" s="1"/>
  <c r="A102" i="11" s="1"/>
  <c r="A153" i="11"/>
  <c r="A154" i="11" s="1"/>
  <c r="A155" i="11" s="1"/>
  <c r="A156" i="11" s="1"/>
  <c r="B158" i="11" s="1"/>
  <c r="A44" i="20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46" i="19"/>
  <c r="A47" i="19" s="1"/>
  <c r="A34" i="14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34" i="15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G104" i="11" l="1"/>
  <c r="G107" i="11" s="1"/>
  <c r="I156" i="11"/>
  <c r="A75" i="21"/>
  <c r="A30" i="21"/>
  <c r="A31" i="21" s="1"/>
  <c r="A32" i="21" s="1"/>
  <c r="I48" i="11"/>
  <c r="A33" i="11"/>
  <c r="A34" i="11" s="1"/>
  <c r="A35" i="11" s="1"/>
  <c r="I61" i="11"/>
  <c r="A103" i="11"/>
  <c r="A104" i="11" s="1"/>
  <c r="I147" i="11"/>
  <c r="J47" i="20"/>
  <c r="A48" i="19"/>
  <c r="A49" i="19" s="1"/>
  <c r="A50" i="19" s="1"/>
  <c r="A51" i="19" s="1"/>
  <c r="A52" i="19" s="1"/>
  <c r="D47" i="14"/>
  <c r="A48" i="14"/>
  <c r="A49" i="14" s="1"/>
  <c r="A50" i="14" s="1"/>
  <c r="A51" i="14" s="1"/>
  <c r="A52" i="14" s="1"/>
  <c r="E47" i="15"/>
  <c r="A48" i="15"/>
  <c r="A49" i="15" s="1"/>
  <c r="A50" i="15" s="1"/>
  <c r="A51" i="15" s="1"/>
  <c r="A52" i="15" s="1"/>
  <c r="E134" i="13" l="1"/>
  <c r="G111" i="11"/>
  <c r="E51" i="15"/>
  <c r="A33" i="21"/>
  <c r="A34" i="21" s="1"/>
  <c r="A35" i="21" s="1"/>
  <c r="A36" i="21" s="1"/>
  <c r="A37" i="21" s="1"/>
  <c r="A38" i="21" s="1"/>
  <c r="A39" i="21" s="1"/>
  <c r="A76" i="21"/>
  <c r="A77" i="21" s="1"/>
  <c r="A78" i="21" s="1"/>
  <c r="A79" i="21" s="1"/>
  <c r="A36" i="11"/>
  <c r="A37" i="11" s="1"/>
  <c r="A38" i="11" s="1"/>
  <c r="A39" i="11" s="1"/>
  <c r="A40" i="11" s="1"/>
  <c r="A41" i="11" s="1"/>
  <c r="A42" i="11" s="1"/>
  <c r="I39" i="11"/>
  <c r="A105" i="11"/>
  <c r="A106" i="11" s="1"/>
  <c r="A107" i="11" s="1"/>
  <c r="I107" i="11"/>
  <c r="A53" i="19"/>
  <c r="A54" i="19" s="1"/>
  <c r="A55" i="19" s="1"/>
  <c r="A56" i="19" s="1"/>
  <c r="D51" i="14"/>
  <c r="E88" i="13" l="1"/>
  <c r="E90" i="13" s="1"/>
  <c r="E92" i="13" s="1"/>
  <c r="E28" i="13" s="1"/>
  <c r="E157" i="13"/>
  <c r="E159" i="13" s="1"/>
  <c r="E163" i="13" s="1"/>
  <c r="E140" i="13" s="1"/>
  <c r="E142" i="13" s="1"/>
  <c r="E113" i="13" s="1"/>
  <c r="E115" i="13" s="1"/>
  <c r="E119" i="13" s="1"/>
  <c r="E123" i="13" s="1"/>
  <c r="E79" i="13" s="1"/>
  <c r="E20" i="13" s="1"/>
  <c r="E30" i="13" s="1"/>
  <c r="E32" i="13" s="1"/>
  <c r="E34" i="13" s="1"/>
  <c r="E39" i="13" s="1"/>
  <c r="E41" i="13" s="1"/>
  <c r="A80" i="21"/>
  <c r="A40" i="21"/>
  <c r="A41" i="21" s="1"/>
  <c r="A42" i="21" s="1"/>
  <c r="A43" i="21" s="1"/>
  <c r="A44" i="21" s="1"/>
  <c r="A108" i="11"/>
  <c r="A109" i="11" s="1"/>
  <c r="A110" i="11" s="1"/>
  <c r="A111" i="11" s="1"/>
  <c r="I111" i="11"/>
  <c r="A43" i="11"/>
  <c r="A44" i="11" s="1"/>
  <c r="A45" i="11" s="1"/>
  <c r="A46" i="11" s="1"/>
  <c r="I49" i="11"/>
  <c r="A57" i="19"/>
  <c r="A58" i="19" s="1"/>
  <c r="C13" i="15" l="1"/>
  <c r="D13" i="22"/>
  <c r="D22" i="22" s="1"/>
  <c r="D24" i="22" s="1"/>
  <c r="A45" i="21"/>
  <c r="A46" i="21" s="1"/>
  <c r="A47" i="21" s="1"/>
  <c r="A48" i="21" s="1"/>
  <c r="A81" i="21"/>
  <c r="A47" i="11"/>
  <c r="I134" i="11"/>
  <c r="A59" i="19"/>
  <c r="A60" i="19" s="1"/>
  <c r="A61" i="19" s="1"/>
  <c r="A62" i="19" s="1"/>
  <c r="A63" i="19" s="1"/>
  <c r="A64" i="19" s="1"/>
  <c r="A65" i="19" s="1"/>
  <c r="A66" i="19" s="1"/>
  <c r="I31" i="12" l="1"/>
  <c r="I33" i="12" s="1"/>
  <c r="C31" i="12"/>
  <c r="K31" i="12"/>
  <c r="K33" i="12" s="1"/>
  <c r="J31" i="12"/>
  <c r="J33" i="12" s="1"/>
  <c r="H31" i="12"/>
  <c r="H33" i="12" s="1"/>
  <c r="L31" i="12"/>
  <c r="L33" i="12" s="1"/>
  <c r="E31" i="12"/>
  <c r="E33" i="12" s="1"/>
  <c r="G31" i="12"/>
  <c r="G33" i="12" s="1"/>
  <c r="F31" i="12"/>
  <c r="F33" i="12" s="1"/>
  <c r="M31" i="12"/>
  <c r="M33" i="12" s="1"/>
  <c r="N31" i="12"/>
  <c r="N33" i="12" s="1"/>
  <c r="D31" i="12"/>
  <c r="D33" i="12" s="1"/>
  <c r="C15" i="16"/>
  <c r="G15" i="16" s="1"/>
  <c r="C35" i="15"/>
  <c r="C37" i="16" s="1"/>
  <c r="G37" i="16" s="1"/>
  <c r="A82" i="21"/>
  <c r="A48" i="11"/>
  <c r="A67" i="19"/>
  <c r="A68" i="19" s="1"/>
  <c r="N38" i="12" l="1"/>
  <c r="M38" i="12"/>
  <c r="L38" i="12"/>
  <c r="C33" i="12"/>
  <c r="O31" i="12"/>
  <c r="O33" i="12" s="1"/>
  <c r="H38" i="12"/>
  <c r="G38" i="12"/>
  <c r="F38" i="12"/>
  <c r="I38" i="12"/>
  <c r="K38" i="12"/>
  <c r="J38" i="12"/>
  <c r="A83" i="21"/>
  <c r="A84" i="21" s="1"/>
  <c r="A85" i="21" s="1"/>
  <c r="A86" i="21" s="1"/>
  <c r="A49" i="11"/>
  <c r="I52" i="11" s="1"/>
  <c r="E38" i="12" l="1"/>
  <c r="E39" i="12" s="1"/>
  <c r="E41" i="12" s="1"/>
  <c r="D38" i="12"/>
  <c r="D39" i="12" s="1"/>
  <c r="D41" i="12" s="1"/>
  <c r="C38" i="12"/>
  <c r="C39" i="12" s="1"/>
  <c r="C41" i="12" s="1"/>
  <c r="C43" i="12" s="1"/>
  <c r="D12" i="12" s="1"/>
  <c r="D43" i="12" s="1"/>
  <c r="E12" i="12" s="1"/>
  <c r="E43" i="12" s="1"/>
  <c r="A87" i="21"/>
  <c r="A88" i="21" s="1"/>
  <c r="A50" i="11"/>
  <c r="I50" i="11"/>
  <c r="H37" i="12" l="1"/>
  <c r="H39" i="12" s="1"/>
  <c r="H41" i="12" s="1"/>
  <c r="F12" i="12"/>
  <c r="G37" i="12"/>
  <c r="G39" i="12" s="1"/>
  <c r="G41" i="12" s="1"/>
  <c r="F37" i="12"/>
  <c r="F39" i="12" s="1"/>
  <c r="F41" i="12" s="1"/>
  <c r="I109" i="11"/>
  <c r="A51" i="11"/>
  <c r="A52" i="11" s="1"/>
  <c r="F43" i="12" l="1"/>
  <c r="G12" i="12" s="1"/>
  <c r="G43" i="12" s="1"/>
  <c r="H12" i="12" s="1"/>
  <c r="H43" i="12" s="1"/>
  <c r="J37" i="12" s="1"/>
  <c r="J39" i="12" s="1"/>
  <c r="J41" i="12" s="1"/>
  <c r="I12" i="12"/>
  <c r="I37" i="12"/>
  <c r="I39" i="12" s="1"/>
  <c r="I41" i="12" s="1"/>
  <c r="I43" i="12" s="1"/>
  <c r="J12" i="12" s="1"/>
  <c r="J43" i="12" s="1"/>
  <c r="K12" i="12" s="1"/>
  <c r="K37" i="12"/>
  <c r="K39" i="12" s="1"/>
  <c r="K41" i="12" s="1"/>
  <c r="A53" i="11"/>
  <c r="A54" i="11" s="1"/>
  <c r="A55" i="11" s="1"/>
  <c r="I86" i="11"/>
  <c r="K43" i="12" l="1"/>
  <c r="L37" i="12"/>
  <c r="L39" i="12" s="1"/>
  <c r="L41" i="12" s="1"/>
  <c r="L12" i="12"/>
  <c r="M37" i="12"/>
  <c r="M39" i="12" s="1"/>
  <c r="M41" i="12" s="1"/>
  <c r="N37" i="12"/>
  <c r="N39" i="12" s="1"/>
  <c r="N41" i="12" s="1"/>
  <c r="I62" i="11"/>
  <c r="A56" i="11"/>
  <c r="A57" i="11" s="1"/>
  <c r="A58" i="11" s="1"/>
  <c r="A59" i="11" s="1"/>
  <c r="A60" i="11" s="1"/>
  <c r="L43" i="12" l="1"/>
  <c r="M12" i="12" s="1"/>
  <c r="M43" i="12" s="1"/>
  <c r="N12" i="12" s="1"/>
  <c r="N43" i="12" s="1"/>
  <c r="O41" i="12"/>
  <c r="O43" i="12" s="1"/>
  <c r="C19" i="15" s="1"/>
  <c r="A61" i="11"/>
  <c r="C41" i="15" l="1"/>
  <c r="C25" i="15"/>
  <c r="C21" i="16"/>
  <c r="A62" i="11"/>
  <c r="C27" i="16" l="1"/>
  <c r="G21" i="16"/>
  <c r="G27" i="16" s="1"/>
  <c r="C43" i="16"/>
  <c r="C47" i="15"/>
  <c r="C51" i="15" s="1"/>
  <c r="A63" i="11"/>
  <c r="I63" i="11"/>
  <c r="I65" i="11"/>
  <c r="D18" i="23" l="1"/>
  <c r="D13" i="1"/>
  <c r="G43" i="16"/>
  <c r="G49" i="16" s="1"/>
  <c r="C49" i="16"/>
  <c r="C53" i="16" s="1"/>
  <c r="G53" i="16" s="1"/>
  <c r="I154" i="11"/>
  <c r="A64" i="11"/>
  <c r="A65" i="11" s="1"/>
  <c r="G18" i="23" l="1"/>
  <c r="D19" i="23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F18" i="23"/>
  <c r="H18" i="23" s="1"/>
  <c r="I131" i="11"/>
  <c r="B68" i="11"/>
  <c r="D66" i="23" l="1"/>
  <c r="F19" i="23"/>
  <c r="G19" i="23" s="1"/>
  <c r="H19" i="23" s="1"/>
  <c r="G15" i="1"/>
  <c r="G16" i="1" s="1"/>
  <c r="G17" i="1" s="1"/>
  <c r="G18" i="1" s="1"/>
  <c r="G19" i="1" s="1"/>
  <c r="G20" i="1" s="1"/>
  <c r="G21" i="1" s="1"/>
  <c r="A15" i="1"/>
  <c r="A16" i="1" s="1"/>
  <c r="A17" i="1" s="1"/>
  <c r="A18" i="1" s="1"/>
  <c r="A19" i="1" s="1"/>
  <c r="A20" i="1" s="1"/>
  <c r="A21" i="1" s="1"/>
  <c r="F20" i="23" l="1"/>
  <c r="G20" i="23" s="1"/>
  <c r="H20" i="23" s="1"/>
  <c r="F21" i="23" s="1"/>
  <c r="G21" i="23" s="1"/>
  <c r="H21" i="23" s="1"/>
  <c r="F22" i="23" l="1"/>
  <c r="G22" i="23" s="1"/>
  <c r="H22" i="23" s="1"/>
  <c r="F23" i="23" s="1"/>
  <c r="G23" i="23" s="1"/>
  <c r="H23" i="23" s="1"/>
  <c r="F24" i="23" s="1"/>
  <c r="G24" i="23" s="1"/>
  <c r="H24" i="23" s="1"/>
  <c r="F25" i="23" l="1"/>
  <c r="G25" i="23" s="1"/>
  <c r="H25" i="23" s="1"/>
  <c r="F26" i="23" l="1"/>
  <c r="G26" i="23" s="1"/>
  <c r="H26" i="23" l="1"/>
  <c r="F27" i="23" s="1"/>
  <c r="G27" i="23" s="1"/>
  <c r="H27" i="23" s="1"/>
  <c r="F28" i="23" s="1"/>
  <c r="G28" i="23" s="1"/>
  <c r="H28" i="23" s="1"/>
  <c r="F29" i="23" s="1"/>
  <c r="G29" i="23" s="1"/>
  <c r="H29" i="23" s="1"/>
  <c r="F30" i="23" s="1"/>
  <c r="G30" i="23" s="1"/>
  <c r="H30" i="23" s="1"/>
  <c r="F31" i="23" s="1"/>
  <c r="G31" i="23" s="1"/>
  <c r="H31" i="23" s="1"/>
  <c r="F32" i="23" l="1"/>
  <c r="G32" i="23"/>
  <c r="H32" i="23" s="1"/>
  <c r="F33" i="23" s="1"/>
  <c r="G33" i="23" l="1"/>
  <c r="H33" i="23"/>
  <c r="F34" i="23" l="1"/>
  <c r="G34" i="23"/>
  <c r="H34" i="23" s="1"/>
  <c r="F35" i="23" s="1"/>
  <c r="G35" i="23" s="1"/>
  <c r="H35" i="23" s="1"/>
  <c r="F36" i="23" s="1"/>
  <c r="G36" i="23" s="1"/>
  <c r="H36" i="23" s="1"/>
  <c r="F37" i="23" s="1"/>
  <c r="G37" i="23" s="1"/>
  <c r="H37" i="23" s="1"/>
  <c r="F38" i="23" s="1"/>
  <c r="G38" i="23" l="1"/>
  <c r="H38" i="23" s="1"/>
  <c r="F39" i="23" l="1"/>
  <c r="G39" i="23" s="1"/>
  <c r="H39" i="23" s="1"/>
  <c r="F40" i="23" l="1"/>
  <c r="G40" i="23" s="1"/>
  <c r="H40" i="23" s="1"/>
  <c r="F41" i="23" l="1"/>
  <c r="G41" i="23" s="1"/>
  <c r="H41" i="23" l="1"/>
  <c r="F42" i="23" l="1"/>
  <c r="G42" i="23" s="1"/>
  <c r="H42" i="23" s="1"/>
  <c r="F43" i="23" l="1"/>
  <c r="G43" i="23" s="1"/>
  <c r="H43" i="23" s="1"/>
  <c r="F44" i="23" l="1"/>
  <c r="G44" i="23" s="1"/>
  <c r="H44" i="23" s="1"/>
  <c r="F45" i="23" l="1"/>
  <c r="G45" i="23" s="1"/>
  <c r="H45" i="23" s="1"/>
  <c r="F46" i="23" l="1"/>
  <c r="G46" i="23" s="1"/>
  <c r="H46" i="23" s="1"/>
  <c r="F47" i="23" l="1"/>
  <c r="G47" i="23" s="1"/>
  <c r="H47" i="23" s="1"/>
  <c r="F48" i="23" l="1"/>
  <c r="G48" i="23" s="1"/>
  <c r="H48" i="23" s="1"/>
  <c r="F49" i="23" l="1"/>
  <c r="G49" i="23" s="1"/>
  <c r="H49" i="23" l="1"/>
  <c r="F50" i="23" l="1"/>
  <c r="G50" i="23" s="1"/>
  <c r="H50" i="23" s="1"/>
  <c r="F51" i="23" l="1"/>
  <c r="G51" i="23" s="1"/>
  <c r="H51" i="23" s="1"/>
  <c r="F52" i="23" l="1"/>
  <c r="G52" i="23" s="1"/>
  <c r="H52" i="23" s="1"/>
  <c r="F53" i="23" l="1"/>
  <c r="G53" i="23" s="1"/>
  <c r="H53" i="23" s="1"/>
  <c r="F54" i="23" l="1"/>
  <c r="G54" i="23" s="1"/>
  <c r="H54" i="23" s="1"/>
  <c r="F55" i="23" l="1"/>
  <c r="G55" i="23" s="1"/>
  <c r="H55" i="23" s="1"/>
  <c r="F56" i="23" l="1"/>
  <c r="G56" i="23" s="1"/>
  <c r="H56" i="23" s="1"/>
  <c r="F57" i="23" l="1"/>
  <c r="G57" i="23" s="1"/>
  <c r="H57" i="23" l="1"/>
  <c r="F58" i="23" l="1"/>
  <c r="G58" i="23" s="1"/>
  <c r="H58" i="23" s="1"/>
  <c r="F59" i="23" l="1"/>
  <c r="G59" i="23" s="1"/>
  <c r="H59" i="23" s="1"/>
  <c r="F60" i="23" l="1"/>
  <c r="G60" i="23" s="1"/>
  <c r="H60" i="23" s="1"/>
  <c r="F61" i="23" l="1"/>
  <c r="G61" i="23" s="1"/>
  <c r="H61" i="23" s="1"/>
  <c r="F62" i="23" l="1"/>
  <c r="G62" i="23" s="1"/>
  <c r="H62" i="23" s="1"/>
  <c r="F63" i="23" l="1"/>
  <c r="G63" i="23" s="1"/>
  <c r="H63" i="23" s="1"/>
  <c r="F64" i="23" l="1"/>
  <c r="G64" i="23" s="1"/>
  <c r="H64" i="23" s="1"/>
  <c r="F65" i="23" l="1"/>
  <c r="G65" i="23" s="1"/>
  <c r="G66" i="23" s="1"/>
  <c r="D15" i="1" s="1"/>
  <c r="D17" i="1" s="1"/>
  <c r="D21" i="1" s="1"/>
  <c r="H65" i="23" l="1"/>
</calcChain>
</file>

<file path=xl/sharedStrings.xml><?xml version="1.0" encoding="utf-8"?>
<sst xmlns="http://schemas.openxmlformats.org/spreadsheetml/2006/main" count="1221" uniqueCount="765">
  <si>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</si>
  <si>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</si>
  <si>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</si>
  <si>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</si>
  <si>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</si>
  <si>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</si>
  <si>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</si>
  <si>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B</t>
  </si>
  <si>
    <t>Interest Expense</t>
  </si>
  <si>
    <t>Total</t>
  </si>
  <si>
    <t>(a)</t>
  </si>
  <si>
    <t xml:space="preserve"> </t>
  </si>
  <si>
    <t>A</t>
  </si>
  <si>
    <t>C = A - B</t>
  </si>
  <si>
    <t>Difference</t>
  </si>
  <si>
    <t>√</t>
  </si>
  <si>
    <t>Shall be Zero</t>
  </si>
  <si>
    <t>Transmission Related Electric Miscellaneous Intangible Plant</t>
  </si>
  <si>
    <t>Transmission Related General Plant</t>
  </si>
  <si>
    <t>SAN DIEGO GAS &amp; ELECTRIC COMPANY</t>
  </si>
  <si>
    <t>Operation and Maintenance Expenses</t>
  </si>
  <si>
    <t>FERC Form 1</t>
  </si>
  <si>
    <t>Page; Line; Col.</t>
  </si>
  <si>
    <t>Adjustments to Per Book Transmission O&amp;M Expense:</t>
  </si>
  <si>
    <t>Adjustments to Per Book A&amp;G Expense:</t>
  </si>
  <si>
    <t xml:space="preserve">   CPUC energy efficiency programs</t>
  </si>
  <si>
    <t xml:space="preserve">   CPUC Intervenor Funding Expense - Distribution</t>
  </si>
  <si>
    <t xml:space="preserve">   CPUC reimbursement fees</t>
  </si>
  <si>
    <t xml:space="preserve">   General Advertising Expenses 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</si>
  <si>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</si>
  <si>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</si>
  <si>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</si>
  <si>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>Less: Property Insurance (Due to different allocation factor)</t>
  </si>
  <si>
    <t>Transmission Wages and Salaries Allocation Factor</t>
  </si>
  <si>
    <t>Property Insurance Allocated to Transmission, General, and Common Plant</t>
  </si>
  <si>
    <t>Derivation of Transmission Plant Property Insurance Allocation Factor:</t>
  </si>
  <si>
    <t>Transmission Plant &amp; Incentive Transmission Plant</t>
  </si>
  <si>
    <t xml:space="preserve">Transmission Related Common Plant 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</si>
  <si>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</si>
  <si>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</si>
  <si>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</si>
  <si>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</si>
  <si>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</si>
  <si>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</si>
  <si>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</si>
  <si>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</si>
  <si>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</si>
  <si>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Electric Transmission O&amp;M Expenses</t>
  </si>
  <si>
    <t>(b)</t>
  </si>
  <si>
    <t>(c) = (a) - (b)</t>
  </si>
  <si>
    <t>(e) = (c) + (d)</t>
  </si>
  <si>
    <t>FERC</t>
  </si>
  <si>
    <t>Excluded</t>
  </si>
  <si>
    <t>Revised</t>
  </si>
  <si>
    <t>Acct</t>
  </si>
  <si>
    <t>Per Books</t>
  </si>
  <si>
    <t>Expenses</t>
  </si>
  <si>
    <t>Adjusted</t>
  </si>
  <si>
    <t xml:space="preserve">O&amp;M </t>
  </si>
  <si>
    <t>Electric Transmission Operation</t>
  </si>
  <si>
    <t>Operation Supervision and Engineering</t>
  </si>
  <si>
    <t>Form 1; Page 321; Line 83</t>
  </si>
  <si>
    <t>Load Dispatch - Reliability</t>
  </si>
  <si>
    <t>Form 1; Page 321; Line 85</t>
  </si>
  <si>
    <t>Load Dispatch - Monitor and Operate Transmission System</t>
  </si>
  <si>
    <t>Form 1; Page 321; Line 86</t>
  </si>
  <si>
    <t>Load Dispatch - Transmission Service and Scheduling</t>
  </si>
  <si>
    <t>Form 1; Page 321; Line 87</t>
  </si>
  <si>
    <t xml:space="preserve">Scheduling, System Control and Dispatch Services </t>
  </si>
  <si>
    <t>Form 1; Page 321; Line 88</t>
  </si>
  <si>
    <t>Reliability, Planning and Standards Development</t>
  </si>
  <si>
    <t>Form 1; Page 321; Line 89</t>
  </si>
  <si>
    <t>Transmission Service Studies</t>
  </si>
  <si>
    <t>Form 1; Page 321; Line 90</t>
  </si>
  <si>
    <t>Generation Interconnection Studies</t>
  </si>
  <si>
    <t>Form 1; Page 321; Line 91</t>
  </si>
  <si>
    <t xml:space="preserve">Reliability, Planning and Standards Development Services </t>
  </si>
  <si>
    <t>Form 1; Page 321; Line 92</t>
  </si>
  <si>
    <t>Form 1; Page 321; Line 93</t>
  </si>
  <si>
    <t>Form 1; Page 321; Line 94</t>
  </si>
  <si>
    <t>Underground Line Expenses</t>
  </si>
  <si>
    <t>Form 1; Page 321; Line 95</t>
  </si>
  <si>
    <t>Transmission of Electricity by Others</t>
  </si>
  <si>
    <t>Form 1; Page 321; Line 96</t>
  </si>
  <si>
    <t>Misc. Transmission Expenses</t>
  </si>
  <si>
    <t>Form 1; Page 321; Line 97</t>
  </si>
  <si>
    <t>Rents</t>
  </si>
  <si>
    <t>Form 1; Page 321; Line 98</t>
  </si>
  <si>
    <t xml:space="preserve">     Total Electric Transmission Operation </t>
  </si>
  <si>
    <t>Electric Transmission Maintenance</t>
  </si>
  <si>
    <t>Maintenance Supervision and Engineering</t>
  </si>
  <si>
    <t>Form 1; Page 321; Line 101</t>
  </si>
  <si>
    <t>Maintenance of Structures</t>
  </si>
  <si>
    <t>Form 1; Page 321; Line 102</t>
  </si>
  <si>
    <t>Maintenance of Computer Hardware</t>
  </si>
  <si>
    <t>Form 1; Page 321; Line 103</t>
  </si>
  <si>
    <t>Maintenance of Computer Software</t>
  </si>
  <si>
    <t>Form 1; Page 321; Line 104</t>
  </si>
  <si>
    <t>Maintenance of Communication Equipment</t>
  </si>
  <si>
    <t>Form 1; Page 321; Line 105</t>
  </si>
  <si>
    <t>Maintenance of Misc. Regional Transmission Plant</t>
  </si>
  <si>
    <t>Form 1; Page 321; Line 106</t>
  </si>
  <si>
    <t>Form 1; Page 321; Line 107</t>
  </si>
  <si>
    <t>Form 1; Page 321; Line 108</t>
  </si>
  <si>
    <t>Form 1; Page 321; Line 109</t>
  </si>
  <si>
    <t>Maintenance of Misc. Transmission Plant</t>
  </si>
  <si>
    <t>Form 1; Page 321; Line 110</t>
  </si>
  <si>
    <t>Total Electric Transmission O&amp;M Expenses</t>
  </si>
  <si>
    <t>Scheduling, System Control and Dispatch Services (ERRA)</t>
  </si>
  <si>
    <t>Reliability, Planning and Standards Development Services (ERRA)</t>
  </si>
  <si>
    <t>Transmission of Electricity by Others (ERRA)</t>
  </si>
  <si>
    <t>Total Excluded Expenses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</si>
  <si>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</si>
  <si>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</si>
  <si>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</si>
  <si>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</si>
  <si>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</si>
  <si>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</si>
  <si>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</si>
  <si>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Transmission Plant Allocation Factor</t>
  </si>
  <si>
    <t xml:space="preserve">     Transmission Related Materials and Supplies 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</si>
  <si>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</si>
  <si>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</si>
  <si>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 xml:space="preserve">     Transmission Related Prepayments 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</si>
  <si>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</si>
  <si>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</si>
  <si>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</si>
  <si>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</si>
  <si>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</si>
  <si>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</si>
  <si>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>FERC Method = 1/8 of O&amp;M Expense</t>
  </si>
  <si>
    <t xml:space="preserve">     Transmission Related Cash Working Capital - Retail Customers</t>
  </si>
  <si>
    <t>The balances for Materials &amp; Supplies and Prepayments are derived based on a 13-month average balance.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</si>
  <si>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</si>
  <si>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</si>
  <si>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</si>
  <si>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</si>
  <si>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</si>
  <si>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</si>
  <si>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</si>
  <si>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</si>
  <si>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</si>
  <si>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</si>
  <si>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</si>
  <si>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</si>
  <si>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</si>
  <si>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</si>
  <si>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</si>
  <si>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</si>
  <si>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</si>
  <si>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</si>
  <si>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</si>
  <si>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</si>
  <si>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</si>
  <si>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</si>
  <si>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</si>
  <si>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</si>
  <si>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</si>
  <si>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</si>
  <si>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</si>
  <si>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</si>
  <si>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</si>
  <si>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</si>
  <si>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</si>
  <si>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</si>
  <si>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</si>
  <si>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</si>
  <si>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</si>
  <si>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</si>
  <si>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</si>
  <si>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</si>
  <si>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</si>
  <si>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</si>
  <si>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</si>
  <si>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</si>
  <si>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</si>
  <si>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</si>
  <si>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</si>
  <si>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</si>
  <si>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</si>
  <si>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</si>
  <si>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</si>
  <si>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</si>
  <si>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</si>
  <si>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</si>
  <si>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</si>
  <si>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</si>
  <si>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</si>
  <si>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</si>
  <si>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</si>
  <si>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Amount is based upon December 31 balances.</t>
  </si>
  <si>
    <t>Incentive Weighted Cost of Capital:</t>
  </si>
  <si>
    <t>Incentive Cost of Equity Component (Preferred &amp; Common):</t>
  </si>
  <si>
    <t>Where:</t>
  </si>
  <si>
    <t xml:space="preserve">     A = Sum of Preferred Stock and Return on Equity Component</t>
  </si>
  <si>
    <t xml:space="preserve">     B = Transmission Total Federal Tax Adjustments</t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</si>
  <si>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</si>
  <si>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</si>
  <si>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</si>
  <si>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</si>
  <si>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</si>
  <si>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</si>
  <si>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</si>
  <si>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</si>
  <si>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</si>
  <si>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</si>
  <si>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</si>
  <si>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</si>
  <si>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</si>
  <si>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</si>
  <si>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</si>
  <si>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</si>
  <si>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</si>
  <si>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</si>
  <si>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</si>
  <si>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</si>
  <si>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</si>
  <si>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</si>
  <si>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t>Section 1 - Direct Maintenance Expense Cost Component</t>
  </si>
  <si>
    <t>Section 2 - Non-Direct Expense Cost Component</t>
  </si>
  <si>
    <t>Section 3 - Cost Component Containing Other Specific Expenses</t>
  </si>
  <si>
    <t>Section 4 - True-Up Adjustment Cost Component (Over)/Undercollection</t>
  </si>
  <si>
    <t>Section 5 - Interest True-Up Adjustment Cost Component</t>
  </si>
  <si>
    <t>Number of Months in Base Period</t>
  </si>
  <si>
    <t xml:space="preserve">Total Annual Costs Adjustment </t>
  </si>
  <si>
    <t>Interest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</si>
  <si>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</si>
  <si>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</si>
  <si>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</si>
  <si>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</si>
  <si>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 xml:space="preserve">   Scheduling, System Control &amp; Dispatch Services</t>
  </si>
  <si>
    <t xml:space="preserve">   Reliability, Planning &amp; Standards Development</t>
  </si>
  <si>
    <t xml:space="preserve">   Station Expenses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</si>
  <si>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</si>
  <si>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</si>
  <si>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</si>
  <si>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</si>
  <si>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</si>
  <si>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</si>
  <si>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 xml:space="preserve">   Other Cost Adjustments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</si>
  <si>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</si>
  <si>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</si>
  <si>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</si>
  <si>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 xml:space="preserve">     Total Adjusted Non-Direct A&amp;G Expenses Including Property Insurance</t>
  </si>
  <si>
    <t>Total Adjusted Non-Direct A&amp;G Expenses Excluding Property Insurance</t>
  </si>
  <si>
    <t>Transmission Related Non-Direct Administrative &amp; General Expenses</t>
  </si>
  <si>
    <t xml:space="preserve">     Transmission Related Non-Direct A&amp;G Expense Including Property Insurance Expense</t>
  </si>
  <si>
    <r>
      <t>(d)</t>
    </r>
    <r>
      <rPr>
        <b/>
        <vertAlign val="superscript"/>
        <sz val="12"/>
        <rFont val="Times New Roman"/>
        <family val="1"/>
      </rPr>
      <t xml:space="preserve"> 4</t>
    </r>
  </si>
  <si>
    <t xml:space="preserve">Add / (Deduct) </t>
  </si>
  <si>
    <t>O&amp;M Cost Adj</t>
  </si>
  <si>
    <r>
      <t xml:space="preserve">Station Expenses </t>
    </r>
    <r>
      <rPr>
        <b/>
        <vertAlign val="superscript"/>
        <sz val="12"/>
        <rFont val="Times New Roman"/>
        <family val="1"/>
      </rPr>
      <t>1</t>
    </r>
  </si>
  <si>
    <t xml:space="preserve">Overhead Line Expenses  </t>
  </si>
  <si>
    <t xml:space="preserve">  Total Electric Transmission Maintenance</t>
  </si>
  <si>
    <t>Total Adjusted Electric Transmission O&amp;M Expenses</t>
  </si>
  <si>
    <t>Excluded Expenses (recovery method in parentheses)</t>
  </si>
  <si>
    <t>Misc. Transmission Expenses:</t>
  </si>
  <si>
    <t xml:space="preserve">     Century Energy Systems Balancing Account (CES-21BA)</t>
  </si>
  <si>
    <t xml:space="preserve">     Hazardous Substance Cleanup Cost Memo Account (HSCCMA)</t>
  </si>
  <si>
    <t xml:space="preserve">     ISO Grid Management Costs (ERRA)</t>
  </si>
  <si>
    <t xml:space="preserve">     Reliability Services (RS rates)</t>
  </si>
  <si>
    <t xml:space="preserve">     Other (TRBAA, TACBAA) </t>
  </si>
  <si>
    <r>
      <t xml:space="preserve">Maintenance of Station Equipment </t>
    </r>
    <r>
      <rPr>
        <b/>
        <vertAlign val="superscript"/>
        <sz val="12"/>
        <rFont val="Times New Roman"/>
        <family val="1"/>
      </rPr>
      <t>1</t>
    </r>
  </si>
  <si>
    <t>As a result, such items are excluded in Column b.</t>
  </si>
  <si>
    <t>SAN DIEGO GAS AND ELECTRIC COMPANY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</si>
  <si>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</si>
  <si>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</si>
  <si>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</si>
  <si>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</si>
  <si>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</si>
  <si>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Total Monthly Costs Adjustment </t>
  </si>
  <si>
    <r>
      <t xml:space="preserve">Maintenance of Overhead Lines </t>
    </r>
    <r>
      <rPr>
        <b/>
        <vertAlign val="superscript"/>
        <sz val="12"/>
        <rFont val="Times New Roman"/>
        <family val="1"/>
      </rPr>
      <t>2</t>
    </r>
  </si>
  <si>
    <r>
      <t xml:space="preserve">Maintenance of Underground Lines </t>
    </r>
    <r>
      <rPr>
        <b/>
        <vertAlign val="superscript"/>
        <sz val="12"/>
        <rFont val="Times New Roman"/>
        <family val="1"/>
      </rPr>
      <t>1</t>
    </r>
  </si>
  <si>
    <t xml:space="preserve">Account 571 for Overhead Line Maintenance is excluded because Citizens is charged via a Direct Maintenance order, which is reflected on AH-1. </t>
  </si>
  <si>
    <t>Citizens portion of Equity AFUDC totaling $197K is embedded in the Equity AFUDC component of Transmission Depreciation expense.</t>
  </si>
  <si>
    <t xml:space="preserve">Section C.6a of the Citizens Sunrise Protocols provides a mechanism for SDG&amp;E to correct errors that affected the Appendix X costs in a previous Informational </t>
  </si>
  <si>
    <t>A. Non-Direct Annual Carrying Charge Percentages</t>
  </si>
  <si>
    <t>Lease Agreement</t>
  </si>
  <si>
    <t xml:space="preserve">     Transmission Related A&amp;G Carrying Charge Percentage</t>
  </si>
  <si>
    <t xml:space="preserve">     Transmission Related Payroll Tax Carrying Charge Percentage</t>
  </si>
  <si>
    <t>Transmission Related M&amp;S Allocated to Transmission</t>
  </si>
  <si>
    <t>Transmission Related Prepayments Allocated to Transmission</t>
  </si>
  <si>
    <t>Transmission Related Working Cash</t>
  </si>
  <si>
    <t xml:space="preserve">     Total Transmission Related Working Capital</t>
  </si>
  <si>
    <t>Transmission Working Capital Revenue</t>
  </si>
  <si>
    <t xml:space="preserve">     Transmission Related Working Capital Revenue Carrying Charge Percentage</t>
  </si>
  <si>
    <t xml:space="preserve">Derivation of End Use Transmission Rate Base </t>
  </si>
  <si>
    <t>A. Derivation of Transmission Rate Base:</t>
  </si>
  <si>
    <t>Net Transmission Plant:</t>
  </si>
  <si>
    <t>Transmission Plant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</si>
  <si>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</si>
  <si>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</si>
  <si>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</si>
  <si>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</si>
  <si>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</si>
  <si>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</si>
  <si>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</si>
  <si>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</si>
  <si>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</si>
  <si>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</si>
  <si>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</si>
  <si>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</si>
  <si>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</si>
  <si>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</si>
  <si>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</si>
  <si>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Other Regulatory Assets/Liabilities</t>
  </si>
  <si>
    <t xml:space="preserve">     Total Transmission Rate Base</t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</si>
  <si>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</si>
  <si>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</si>
  <si>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</si>
  <si>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</si>
  <si>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</si>
  <si>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</si>
  <si>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A. Derivation of Net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</si>
  <si>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</si>
  <si>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</si>
  <si>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</si>
  <si>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</si>
  <si>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</si>
  <si>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</si>
  <si>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</si>
  <si>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</si>
  <si>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</si>
  <si>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Incentive Transmission Plant</t>
  </si>
  <si>
    <t>Incentive Transmission Plant Depreciation Reserve</t>
  </si>
  <si>
    <t xml:space="preserve">     Total Net Incentive Transmission Plant</t>
  </si>
  <si>
    <t>Sum Lines 3 and 5</t>
  </si>
  <si>
    <t>Line 7 / Line 9</t>
  </si>
  <si>
    <t>Transmission Revenues Data to Reflect Changed Rates</t>
  </si>
  <si>
    <t>BORDER -</t>
  </si>
  <si>
    <t>EAST LINE</t>
  </si>
  <si>
    <t xml:space="preserve">   True-Up Adjustment derived in Cycle 8</t>
  </si>
  <si>
    <t>B. Citizens Monthly Cost @ Proposed Changed Rates</t>
  </si>
  <si>
    <t>Items in bold have changed compared to the original Appendix X Cycle 8 filing per ER19-2017.</t>
  </si>
  <si>
    <t>Cost Statement BK2</t>
  </si>
  <si>
    <t xml:space="preserve">Section 2 - Derivation of Non-Direct Expenses Cost Component </t>
  </si>
  <si>
    <t>Transmission Operations Expense Carrying Charge Percentage</t>
  </si>
  <si>
    <t>Transmission Maintenance Expense Carrying Charge Percentage</t>
  </si>
  <si>
    <t>Transmission Related A&amp;G Carrying Charge Percentage</t>
  </si>
  <si>
    <t>Transmission Related Payroll Tax Carrying Charge Percentage</t>
  </si>
  <si>
    <t>Transmission Related General &amp; Common Plant Revenues Carrying Charge Percentage</t>
  </si>
  <si>
    <t>Transmission Depreciation</t>
  </si>
  <si>
    <t>Not Applicable to Citizens Service</t>
  </si>
  <si>
    <t>Federal and State Income Tax</t>
  </si>
  <si>
    <t>Rate of Return</t>
  </si>
  <si>
    <t>Transmission Related Working Capital Revenue Carrying Charge Percentage</t>
  </si>
  <si>
    <t>Transmission Related Municipal Franchise Fees Expenses</t>
  </si>
  <si>
    <t xml:space="preserve">     Annual Carrying Charge Rate as Applied to Leased Transmission Plant</t>
  </si>
  <si>
    <t>B. Derivation of Non-Direct Expense Cost Component</t>
  </si>
  <si>
    <t>Annual Carrying Charged Rate</t>
  </si>
  <si>
    <t xml:space="preserve">    Annual Transmission Maintenance and Other Costs Charged to Citizens</t>
  </si>
  <si>
    <t>Total Transmission Plant</t>
  </si>
  <si>
    <t>A. Transmission Related O&amp;M Expenses</t>
  </si>
  <si>
    <t>Transmission Operation Expenses</t>
  </si>
  <si>
    <t xml:space="preserve">     Transmission Operations Expense Carrying Charge Percentage</t>
  </si>
  <si>
    <t>Transmission Maintenance Expenses</t>
  </si>
  <si>
    <t xml:space="preserve">     Transmission Maintenance Expense Carrying Charge Percentage</t>
  </si>
  <si>
    <t>Total Transmission O&amp;M</t>
  </si>
  <si>
    <t>B. Transmission Related A&amp;G Expenses</t>
  </si>
  <si>
    <t>Total Transmission Related A&amp;G Expenses Including Property Ins.</t>
  </si>
  <si>
    <t>C. Transmission Related Payroll</t>
  </si>
  <si>
    <t>Transmission Related Payroll Taxes Expense</t>
  </si>
  <si>
    <t>D. Transmission Related General &amp; Common Plant Revenues</t>
  </si>
  <si>
    <t xml:space="preserve">     Transmission Related General &amp; Common Plant Revenues Carrying Charge Percentage</t>
  </si>
  <si>
    <t>E. Transmission Related Working Capital</t>
  </si>
  <si>
    <t>Return Plus FIT and SIT Rate</t>
  </si>
  <si>
    <t>D1. General &amp; Common Plant Rate</t>
  </si>
  <si>
    <t xml:space="preserve">Total Electric Common Plant Investment </t>
  </si>
  <si>
    <t>Total Electric General Plant Investment</t>
  </si>
  <si>
    <t xml:space="preserve">     Total Electric General and Common Plant</t>
  </si>
  <si>
    <t>Annual Gen &amp; Common Plant Fixed Charge Rate</t>
  </si>
  <si>
    <t xml:space="preserve">     Electric General and Common Plant Revenue</t>
  </si>
  <si>
    <t>Transmission Wages Allocation Factor for Citizens</t>
  </si>
  <si>
    <t xml:space="preserve">     Transmission Related General &amp; Common Plant Revenue </t>
  </si>
  <si>
    <t xml:space="preserve">     Transmission Related General and Common Plant Revenue Carrying Charge Percentage</t>
  </si>
  <si>
    <t>D2. Derivation of General and Common Plant Annual Revenue</t>
  </si>
  <si>
    <t>Maintenance of General and Common Plant</t>
  </si>
  <si>
    <t>Captured in Transmission Plant A&amp;G allocation</t>
  </si>
  <si>
    <t>Payroll Taxes</t>
  </si>
  <si>
    <t>Captured in Transmission Plant Payroll Taxes</t>
  </si>
  <si>
    <t>A&amp;G</t>
  </si>
  <si>
    <t>General and Common Plant Depreciation Rate</t>
  </si>
  <si>
    <r>
      <t>Federal &amp; State Income Tax</t>
    </r>
    <r>
      <rPr>
        <vertAlign val="superscript"/>
        <sz val="12"/>
        <rFont val="Times New Roman"/>
        <family val="1"/>
      </rPr>
      <t xml:space="preserve"> </t>
    </r>
  </si>
  <si>
    <t xml:space="preserve">Rate of Return Adjustment Factor </t>
  </si>
  <si>
    <t>Captured in Transmission Plant allocation</t>
  </si>
  <si>
    <t>General &amp; Common Plant Accumulated Deferred Income Taxes (ADIT) Adjustment</t>
  </si>
  <si>
    <t xml:space="preserve">     Annual General and Common Plant Fixed Charge Rate</t>
  </si>
  <si>
    <t>D3. General &amp; Common Plant Rate</t>
  </si>
  <si>
    <t>Common Depreciation Expense</t>
  </si>
  <si>
    <t>General Depreciation Expense</t>
  </si>
  <si>
    <t>Total Electric General and Common Plant</t>
  </si>
  <si>
    <t xml:space="preserve">     Common and General Plant Depreciation Rate</t>
  </si>
  <si>
    <t>D4. Derivation of General and Common Plant ADIT as a Percent of Transmission Plant</t>
  </si>
  <si>
    <t>General and Common Plant ADIT</t>
  </si>
  <si>
    <t>Return Plus FIT and SIT</t>
  </si>
  <si>
    <t xml:space="preserve">     General &amp; Common Plant ADIT Revenues</t>
  </si>
  <si>
    <t>General &amp; Common Plant Investment</t>
  </si>
  <si>
    <t xml:space="preserve">     Transmission Related General &amp; Common Plant ADIT Revenue Carrying Charge Percentage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</si>
  <si>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</si>
  <si>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</si>
  <si>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</si>
  <si>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</si>
  <si>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</si>
  <si>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</si>
  <si>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</si>
  <si>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</si>
  <si>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</si>
  <si>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</si>
  <si>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Beginning Balance (Over)/Undercollection</t>
  </si>
  <si>
    <t>Recorded Revenues (Sections 1, 2 &amp; 3)</t>
  </si>
  <si>
    <r>
      <t xml:space="preserve">Amortization of True-Up Adjustment and Interest True-Up Adjustment: </t>
    </r>
    <r>
      <rPr>
        <b/>
        <vertAlign val="superscript"/>
        <sz val="12"/>
        <color theme="1"/>
        <rFont val="Times New Roman"/>
        <family val="1"/>
      </rPr>
      <t>3</t>
    </r>
  </si>
  <si>
    <t>Amortization of Credit for Cycle 5 and Cycle 6</t>
  </si>
  <si>
    <t>Total Amortization of True-Up Adjustments</t>
  </si>
  <si>
    <t xml:space="preserve">Adjusted Total Recorded Revenues   </t>
  </si>
  <si>
    <t xml:space="preserve">Total True-Up Cost of Service          </t>
  </si>
  <si>
    <t>True-Up Adjustment without Interest - Net Monthly (Over)/Undercollection</t>
  </si>
  <si>
    <t>Interest Expense Calculations:</t>
  </si>
  <si>
    <r>
      <t xml:space="preserve">   Beginning Balance for Interest Expense</t>
    </r>
    <r>
      <rPr>
        <vertAlign val="superscript"/>
        <sz val="12"/>
        <color theme="1"/>
        <rFont val="Times New Roman"/>
        <family val="1"/>
      </rPr>
      <t xml:space="preserve"> </t>
    </r>
    <r>
      <rPr>
        <b/>
        <vertAlign val="superscript"/>
        <sz val="12"/>
        <color theme="1"/>
        <rFont val="Times New Roman"/>
        <family val="1"/>
      </rPr>
      <t>1</t>
    </r>
  </si>
  <si>
    <t>Balance Beginning of Quarter</t>
  </si>
  <si>
    <t xml:space="preserve">   Monthly Activity Included in Interest Calculation Basis</t>
  </si>
  <si>
    <t>See Footnote 2</t>
  </si>
  <si>
    <t xml:space="preserve">   Basis for Interest Expense Calculation</t>
  </si>
  <si>
    <t xml:space="preserve">   Monthly Interest Rate   </t>
  </si>
  <si>
    <t>FERC Interest Rate Website</t>
  </si>
  <si>
    <t xml:space="preserve">   Interest Expense</t>
  </si>
  <si>
    <t>True-Up Adjustment with Interest - Net Monthly (Over)/Undercollection</t>
  </si>
  <si>
    <t>Beginning Balance for Interest Calculation remains constant for 3-Month Quarter as interest is compounded quarterly on these amounts pursuant to FERC Interest Methodology per 18 CFR Section 35.19 (2)(iii)(B).</t>
  </si>
  <si>
    <t>Monthly Activity Calculated as Follows:</t>
  </si>
  <si>
    <t>Columns d, e, and f, etc., repeat the process outlined in (a), (b), and (c ) above.</t>
  </si>
  <si>
    <t>The various True-Up and Interest True-Up Adjustments (Over)/Undercollection are adjustments made to recorded revenues to avoid trueing up the true-up.</t>
  </si>
  <si>
    <r>
      <t>Reference</t>
    </r>
    <r>
      <rPr>
        <vertAlign val="superscript"/>
        <sz val="12"/>
        <color theme="1"/>
        <rFont val="Times New Roman"/>
        <family val="1"/>
      </rPr>
      <t xml:space="preserve">  </t>
    </r>
    <r>
      <rPr>
        <b/>
        <vertAlign val="superscript"/>
        <sz val="12"/>
        <color theme="1"/>
        <rFont val="Times New Roman"/>
        <family val="1"/>
      </rPr>
      <t>1</t>
    </r>
  </si>
  <si>
    <t>Section 1 - True-Up COS - Direct Maintenance Expense Cost Component</t>
  </si>
  <si>
    <t>Section 2 - True-Up COS - Non-Direct Expense Cost Component</t>
  </si>
  <si>
    <t>Section 3 - True-Up COS - Cost Component Containing Other Specific Expenses:</t>
  </si>
  <si>
    <t xml:space="preserve">   A. ADIT</t>
  </si>
  <si>
    <t xml:space="preserve">   B. Property Taxes </t>
  </si>
  <si>
    <t xml:space="preserve">   C. Non-Deductibility of Depreciation on Equity</t>
  </si>
  <si>
    <t xml:space="preserve">       AFUDC Revenue Component</t>
  </si>
  <si>
    <t xml:space="preserve">   D. Removal Costs </t>
  </si>
  <si>
    <t xml:space="preserve">     Total True-Up Cost of Service</t>
  </si>
  <si>
    <t xml:space="preserve">     Monthly True-Up Cost of Service</t>
  </si>
  <si>
    <t>Statement AH - Workpapers</t>
  </si>
  <si>
    <t>RMS Linking</t>
  </si>
  <si>
    <t>Citizens - Total Direct Maintenance Cost</t>
  </si>
  <si>
    <t xml:space="preserve">   Overhead Line Expense</t>
  </si>
  <si>
    <t>Not Applicable to 2018 Base Period</t>
  </si>
  <si>
    <t>AH-2, Line 37; Col. d</t>
  </si>
  <si>
    <t xml:space="preserve">   Damages &amp; Injuries</t>
  </si>
  <si>
    <t>AH-3, Line 20; Col. d</t>
  </si>
  <si>
    <r>
      <t xml:space="preserve">Transmission Property Insurance and Tax Allocation Factor </t>
    </r>
    <r>
      <rPr>
        <vertAlign val="superscript"/>
        <sz val="12"/>
        <rFont val="Times New Roman"/>
        <family val="1"/>
      </rPr>
      <t>1</t>
    </r>
  </si>
  <si>
    <r>
      <t xml:space="preserve">Transmission Operation Expenses Charged to Citizens </t>
    </r>
    <r>
      <rPr>
        <b/>
        <vertAlign val="superscript"/>
        <sz val="12"/>
        <rFont val="Times New Roman"/>
        <family val="1"/>
      </rPr>
      <t>3</t>
    </r>
  </si>
  <si>
    <t>Citizens O&amp;M should not include substation, underground, and overhead line maintenance per the Appendix X Tariff (See Section C - numbers 38 and 39).</t>
  </si>
  <si>
    <t>Transmission O&amp;M Expenses.</t>
  </si>
  <si>
    <t>Administrative &amp; General Expenses</t>
  </si>
  <si>
    <r>
      <t>(d)</t>
    </r>
    <r>
      <rPr>
        <b/>
        <vertAlign val="superscript"/>
        <sz val="12"/>
        <rFont val="Times New Roman"/>
        <family val="1"/>
      </rPr>
      <t xml:space="preserve"> 2</t>
    </r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</si>
  <si>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</si>
  <si>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</si>
  <si>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</si>
  <si>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</si>
  <si>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</si>
  <si>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</si>
  <si>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</si>
  <si>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</si>
  <si>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</si>
  <si>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</si>
  <si>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</si>
  <si>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</si>
  <si>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</si>
  <si>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</si>
  <si>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</si>
  <si>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t>Employee Pensions &amp; Benefits</t>
  </si>
  <si>
    <t>Form 1; Page 323; Line 187</t>
  </si>
  <si>
    <t xml:space="preserve">Franchise Requirements </t>
  </si>
  <si>
    <t>Form 1; Page 323; Line 188</t>
  </si>
  <si>
    <t xml:space="preserve">Regulatory Commission Expenses  </t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</si>
  <si>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</si>
  <si>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</si>
  <si>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</si>
  <si>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</si>
  <si>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</si>
  <si>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</si>
  <si>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</si>
  <si>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</si>
  <si>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</si>
  <si>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</si>
  <si>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</si>
  <si>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</si>
  <si>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</si>
  <si>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</si>
  <si>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Litigation expenses (ERRA)</t>
  </si>
  <si>
    <t>CPUC energy efficiency programs</t>
  </si>
  <si>
    <t>CPUC Intervenor Funding Expense - Transmission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</si>
  <si>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</si>
  <si>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</si>
  <si>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</si>
  <si>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</si>
  <si>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</si>
  <si>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</si>
  <si>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Statement AL - Workpapers</t>
  </si>
  <si>
    <t>Statement AV - Workpapers</t>
  </si>
  <si>
    <r>
      <t>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</si>
  <si>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SDG&amp;E Return on Equity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</si>
  <si>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</si>
  <si>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ROE is pursuant to SDG&amp;E's TO4 Formula Offer of Settlement in Docket No. ER13-941-001.</t>
  </si>
  <si>
    <t>8.84%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</si>
  <si>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</si>
  <si>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Shall be Zero for Incentive ROE Projects</t>
  </si>
  <si>
    <r>
      <t>B. Incentive ROE Project Transmission Rate Base:</t>
    </r>
    <r>
      <rPr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1</t>
    </r>
  </si>
  <si>
    <r>
      <t>C. Incentive Transmission Plant Abandoned Project Rate Base:</t>
    </r>
    <r>
      <rPr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1</t>
    </r>
  </si>
  <si>
    <r>
      <t>D. Incentive Transmission Construction Work In Progress</t>
    </r>
    <r>
      <rPr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1</t>
    </r>
  </si>
  <si>
    <t>The FERC approved incentives for each project will be tracked and shown separately by repeating the applicable lines. As a result, the data on this page may</t>
  </si>
  <si>
    <t>carryover to the next page.</t>
  </si>
  <si>
    <r>
      <t>B. Incentive Project Net Transmission Plant:</t>
    </r>
    <r>
      <rPr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1</t>
    </r>
  </si>
  <si>
    <t xml:space="preserve">adjustment. </t>
  </si>
  <si>
    <t>CITIZENS' SHARE OF THE SUNRISE - BORDER-EAST LINE</t>
  </si>
  <si>
    <t>A. Citizens' Annual Cost @ Proposed Changed Rates</t>
  </si>
  <si>
    <t>DERIVATION OF CITIZENS' TRUE-UP COST OF SERVICE -  (OVER) / UNDERCOLLECTION</t>
  </si>
  <si>
    <t>Derivation of Citizens' True-Up Cost of Service</t>
  </si>
  <si>
    <t>Total Annual Costs Citizens' Share of the Border East Line - Before Interest</t>
  </si>
  <si>
    <t>B. Citizens' Monthly Cost @ Proposed Changed Rates</t>
  </si>
  <si>
    <t xml:space="preserve">Citizens' Energy Portion of Sunrise Border-East Line </t>
  </si>
  <si>
    <t>Citizens' Financed Transmission Projects:</t>
  </si>
  <si>
    <t xml:space="preserve">Citizen's Share of the Sunrise - Border East-Line </t>
  </si>
  <si>
    <r>
      <t xml:space="preserve">Appendix X Cycle 10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</si>
  <si>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Appendix X Cycle 10 Annual Informational Filing </t>
  </si>
  <si>
    <t>Derivation of Other Adjustments Applicable to Appendix X Cycle 8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</si>
  <si>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</si>
  <si>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</si>
  <si>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</si>
  <si>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</si>
  <si>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</si>
  <si>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</si>
  <si>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</si>
  <si>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</si>
  <si>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3</t>
  </si>
  <si>
    <t>= Col. 4 + Col. 5</t>
  </si>
  <si>
    <t>Cumulative</t>
  </si>
  <si>
    <t>Monthly</t>
  </si>
  <si>
    <t>Overcollection (-) or</t>
  </si>
  <si>
    <t>Undercollection (+)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</si>
  <si>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</si>
  <si>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</si>
  <si>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</si>
  <si>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</si>
  <si>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</si>
  <si>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</si>
  <si>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</si>
  <si>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</si>
  <si>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</si>
  <si>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</si>
  <si>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</si>
  <si>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</si>
  <si>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</si>
  <si>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</si>
  <si>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</si>
  <si>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</si>
  <si>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</si>
  <si>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</si>
  <si>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</si>
  <si>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</si>
  <si>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</si>
  <si>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</si>
  <si>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Derivation of Interest Expense on Other Adjustments Applicable to Appendix X Cycle 8</t>
  </si>
  <si>
    <t>Page 2; Line 15; Col. C</t>
  </si>
  <si>
    <t>Revised - Appendix X Cycle 8</t>
  </si>
  <si>
    <t>As Filed - Appendix X Cycle 8 per ER 19-2017</t>
  </si>
  <si>
    <t>Increase</t>
  </si>
  <si>
    <t>(Decrease)</t>
  </si>
  <si>
    <t>Other Cost Adjustments due to Appendix X Cycle 8 Cost Adjustments Calculation:</t>
  </si>
  <si>
    <t>Page 11; Line 57; Col. 5</t>
  </si>
  <si>
    <t>Base Period &amp; True-Up Period 12 - Months Ending December 31, 2018</t>
  </si>
  <si>
    <t>Rate Effective Period June 1, 2019 to May 31, 2020</t>
  </si>
  <si>
    <t>True-Up Period - January 1, 2018 to December 31, 2018</t>
  </si>
  <si>
    <t>AH-1; Line 52</t>
  </si>
  <si>
    <t>AH-2; Line 37; Col. a</t>
  </si>
  <si>
    <t>Negative of AH-2; Line 41; Col. b</t>
  </si>
  <si>
    <t>Negative of AH-2; Line 42; Col. b</t>
  </si>
  <si>
    <t>Negative of AH-2; Line 43; Col. b</t>
  </si>
  <si>
    <t>Negative of AH-2; Line 44; Col. b</t>
  </si>
  <si>
    <t>Negative of AH-2; Line 45; Col. b</t>
  </si>
  <si>
    <t>Negative of AH-2; Line 51; Col. b</t>
  </si>
  <si>
    <t>Negative of AH-2; Line 52; Col. b</t>
  </si>
  <si>
    <t>Negative of AH-2; Line 53; Col. b</t>
  </si>
  <si>
    <t>Negative of AH-2; Line 54; Col. b</t>
  </si>
  <si>
    <t>Sum Lines 5 thru 17</t>
  </si>
  <si>
    <t>AH-3; Line 20; Col. a</t>
  </si>
  <si>
    <t>Negative of AH-3; Line 27; Col. a</t>
  </si>
  <si>
    <t>Negative of AH-3; Line 31; Col. a</t>
  </si>
  <si>
    <t>Negative of AH-3; Line 32; Col. a</t>
  </si>
  <si>
    <t>Negative of AH-3; Line 33; Col. a</t>
  </si>
  <si>
    <t>Negative of AH-3; Line 34; Col. a</t>
  </si>
  <si>
    <t>Negative of AH-3; Line 35; Col. b</t>
  </si>
  <si>
    <t>Negative of AH-3; Sum Lines 26, 28 ,30, 36; Col. a or b</t>
  </si>
  <si>
    <t>Negative of AH-3; Line 38; Col. b</t>
  </si>
  <si>
    <t>Negative of AH-3; Sum Lines 24, 25, 29, 37; Col. b</t>
  </si>
  <si>
    <t>Sum Lines 21 thru 32</t>
  </si>
  <si>
    <t>Negative of AH-3; Line 5; Col. c</t>
  </si>
  <si>
    <t>Line 33 + Line 34</t>
  </si>
  <si>
    <t>Statement AI; Line 17</t>
  </si>
  <si>
    <t>Line 35 x Line 36</t>
  </si>
  <si>
    <t>Negative of Line 34 x Line 58</t>
  </si>
  <si>
    <t>Line 37 + Line 38</t>
  </si>
  <si>
    <t>Statement AD; Line 25</t>
  </si>
  <si>
    <t>Statement AD; Line 29</t>
  </si>
  <si>
    <t>Statement AD; Line 31</t>
  </si>
  <si>
    <t>Sum Lines 42 thru 45</t>
  </si>
  <si>
    <t>Line 42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</si>
  <si>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</si>
  <si>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</si>
  <si>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</si>
  <si>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</si>
  <si>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</si>
  <si>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48 thru 55</t>
  </si>
  <si>
    <t>Line 46 / Line 56</t>
  </si>
  <si>
    <t>AL-1; Line 18</t>
  </si>
  <si>
    <t>Statement AD; Line 35</t>
  </si>
  <si>
    <t>Line 1 x Line 3</t>
  </si>
  <si>
    <t>AL-2; Line 18</t>
  </si>
  <si>
    <t>Line 3 x Line 7</t>
  </si>
  <si>
    <t>Statement AH; Line 18</t>
  </si>
  <si>
    <t>Statement AH; Line 39</t>
  </si>
  <si>
    <t>Negative of Statement AH; Line 24</t>
  </si>
  <si>
    <t>Sum Lines 12 thru 14</t>
  </si>
  <si>
    <t>Line 15 x Line 17</t>
  </si>
  <si>
    <t>AV-4; Page 1; Line 26</t>
  </si>
  <si>
    <t>AV-2A; Line 38</t>
  </si>
  <si>
    <t>Negative of Statement AR; Line 11</t>
  </si>
  <si>
    <t>Statement AD; Line 11</t>
  </si>
  <si>
    <t>Statement AD; Line 27</t>
  </si>
  <si>
    <t>Sum Lines 2 thru 5</t>
  </si>
  <si>
    <t>Statement AE; Line 1</t>
  </si>
  <si>
    <t>Statement AE; Line 11</t>
  </si>
  <si>
    <t>Statement AE; Line 13</t>
  </si>
  <si>
    <t>Statement AE; Line 15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</si>
  <si>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</si>
  <si>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</si>
  <si>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</si>
  <si>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</si>
  <si>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</si>
  <si>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</si>
  <si>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Statement AD; Line 13</t>
  </si>
  <si>
    <t>Statement AE; Line 19</t>
  </si>
  <si>
    <t>Line 23 Minus Line 24</t>
  </si>
  <si>
    <t>Page 2; Line 16</t>
  </si>
  <si>
    <t>Page 2; Line 17</t>
  </si>
  <si>
    <t>Page 2; Line 18</t>
  </si>
  <si>
    <t>Page 2; Line 19</t>
  </si>
  <si>
    <t>Statement AG; Line 1</t>
  </si>
  <si>
    <t>Line 9 + Line 10</t>
  </si>
  <si>
    <t>Statement AF; Line 7</t>
  </si>
  <si>
    <t>Statement AF; Line 11</t>
  </si>
  <si>
    <t>Line 14 + Line 15</t>
  </si>
  <si>
    <t>Statement AL; Line 5</t>
  </si>
  <si>
    <t>Statement AL; Line 9</t>
  </si>
  <si>
    <t>Statement AL; Line 19</t>
  </si>
  <si>
    <t>Sum Lines 19 thru 21</t>
  </si>
  <si>
    <t>Sum Lines 6, 11, 16, 22, 24</t>
  </si>
  <si>
    <t>Page 2; Line 25</t>
  </si>
  <si>
    <t>Statement AF; Line 9</t>
  </si>
  <si>
    <t>Line 29 + Line 30</t>
  </si>
  <si>
    <t>Statement AF; Line 13</t>
  </si>
  <si>
    <t>Line 34 + Line 35</t>
  </si>
  <si>
    <t xml:space="preserve"> 12 Months Ending December 31, 2018</t>
  </si>
  <si>
    <t>Attachment 2; Section 1; Page 1; Line 17</t>
  </si>
  <si>
    <t>Attachment 2; Section 2; Page 1; Line 31</t>
  </si>
  <si>
    <t>Attachment 2; Section 3; Page 1; Line 21</t>
  </si>
  <si>
    <t>Attachment 2; Section 3; Page 1; Line 28</t>
  </si>
  <si>
    <t>Attachment 2; Section 3; Page 1; Line 33</t>
  </si>
  <si>
    <t>Attachment 2; Section 3; Page 2; Line 19</t>
  </si>
  <si>
    <t>Sum Lines 1 thru 10</t>
  </si>
  <si>
    <t>Line 12 / 12 months</t>
  </si>
  <si>
    <t>Previous Month Balance, Line 32</t>
  </si>
  <si>
    <t>Cycle 6 = TU-1a; Line 21</t>
  </si>
  <si>
    <t>Cycle 7 = TU-1b; Line 21</t>
  </si>
  <si>
    <t>Negative of TU-1a; Line 17</t>
  </si>
  <si>
    <t>Negative of TU-1a; Line 11</t>
  </si>
  <si>
    <t>Negative of TU-1b; Line 15</t>
  </si>
  <si>
    <t>Negative of TU-1b; Line 11</t>
  </si>
  <si>
    <t>Negative of TU-1b; Line 19</t>
  </si>
  <si>
    <t xml:space="preserve"> Sum Lines 6 thru 15</t>
  </si>
  <si>
    <t>Line 3 + Line 16</t>
  </si>
  <si>
    <t>Att. 3; Sec. 4b; TU-2; Line 14</t>
  </si>
  <si>
    <t>Line 20 Minus Line 18</t>
  </si>
  <si>
    <t>AH-2; (Line 17 + Line 35); Col. e</t>
  </si>
  <si>
    <t>Line 4 / Line 1</t>
  </si>
  <si>
    <t>AH-2; Line 31; Col. e</t>
  </si>
  <si>
    <t>Line 8 / Line 1</t>
  </si>
  <si>
    <t>Line 4 + Line 8</t>
  </si>
  <si>
    <t>Line 15 / Line 1</t>
  </si>
  <si>
    <t>Statement AK; Line 41</t>
  </si>
  <si>
    <t>Line 20 / Line 1</t>
  </si>
  <si>
    <t>Page 3; Line 18</t>
  </si>
  <si>
    <t>Sum Lines 29 thru 31</t>
  </si>
  <si>
    <t>Statement AV2; Line 31</t>
  </si>
  <si>
    <t>Line 32 x Line 34</t>
  </si>
  <si>
    <t>Line 36 / Line 1</t>
  </si>
  <si>
    <t>Line 2 + Line 4</t>
  </si>
  <si>
    <t>Line 37 Below</t>
  </si>
  <si>
    <t>Line 6 x Line 8</t>
  </si>
  <si>
    <t>Line 10 x Line 12</t>
  </si>
  <si>
    <t>Line 14 / Line 16</t>
  </si>
  <si>
    <t>Line 46 Below</t>
  </si>
  <si>
    <t>Statement AV2; Line 27</t>
  </si>
  <si>
    <t>Statement AV2; Line 29</t>
  </si>
  <si>
    <t>Line 58 Below</t>
  </si>
  <si>
    <t>Sum Lines 21 thru 35</t>
  </si>
  <si>
    <t>Statement AJ; Line 1</t>
  </si>
  <si>
    <t>Statement AJ; Line 3</t>
  </si>
  <si>
    <t>Line 6 Above</t>
  </si>
  <si>
    <t>(Line 40 + Line 42) / Line 44</t>
  </si>
  <si>
    <t>AF-3; Line 3; Col. c</t>
  </si>
  <si>
    <t>Line 50 x Line 52</t>
  </si>
  <si>
    <t>Line 54 / Line 56</t>
  </si>
  <si>
    <t>Attachment 2; Sec. 1; Page 1; Line 17</t>
  </si>
  <si>
    <t>Attachment 2; Sec. 2; Page 1; Line 31</t>
  </si>
  <si>
    <t>Attachment 2; Sec. 3; Page 2; Line 23</t>
  </si>
  <si>
    <t>Attachment 3; Sec. 4a; Page TU; Col. m; Line 32</t>
  </si>
  <si>
    <t>Attachment 3; Sec. 5; Page Int TU; Col. r; Line 15</t>
  </si>
  <si>
    <t>Sum Lines 1 thru 13</t>
  </si>
  <si>
    <t xml:space="preserve">   Cycle 7 Interest True-Up Adjustment</t>
  </si>
  <si>
    <t>Total Citizens' Cycle 8 Annual Costs</t>
  </si>
  <si>
    <t>Total Citizens' Cycle 8 Monthly Costs</t>
  </si>
  <si>
    <t>12 Month Rate Effective Period (June 2019 to May 2020)</t>
  </si>
  <si>
    <t>Cycle 6 Rates</t>
  </si>
  <si>
    <t>Cycle 7 Rates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</si>
  <si>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</si>
  <si>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</si>
  <si>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</si>
  <si>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</si>
  <si>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</si>
  <si>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</si>
  <si>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</si>
  <si>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</si>
  <si>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</si>
  <si>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</si>
  <si>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</si>
  <si>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</si>
  <si>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 xml:space="preserve"> i.  Amortization of Cycle 5 True-Up Adjustment</t>
  </si>
  <si>
    <t xml:space="preserve"> ii. Amortization of Cycle 5 Interest True-Up Adjustment</t>
  </si>
  <si>
    <t xml:space="preserve"> v.  Amortization of Cycle 6 True-Up Adjustment</t>
  </si>
  <si>
    <t xml:space="preserve"> vi. Amortization of Cycle 6 Interest True-Up Adjustment</t>
  </si>
  <si>
    <t xml:space="preserve"> vii.  Amortization of Cycle 7 True-Up Adjustment</t>
  </si>
  <si>
    <t xml:space="preserve"> viii. Amortization of Cycle 7 Interest True-Up Adjustment</t>
  </si>
  <si>
    <t>Since the 2018 True-Up Cost of Service is the same as the 2018 Base Period, all True-Up Cost of Service costs come from the Base Period Statement BK2.</t>
  </si>
  <si>
    <t>Used to allocate property insurance in conformance with TO4 Settlement.</t>
  </si>
  <si>
    <t>This amount represents the Direct Maintenance and Non-Direct O&amp;M expenses billed to Citizens in 2018, which is added back to derive Total Adjusted Electric</t>
  </si>
  <si>
    <t>Amount represents the Non-Direct A&amp;G expenses billed to Citizens in 2018, which is added back to derive Total Adjusted A&amp;G Expenses.</t>
  </si>
  <si>
    <t>AH-4; Line 1; Col. c</t>
  </si>
  <si>
    <t>AH-4; Line 3; Col. c</t>
  </si>
  <si>
    <t>Filing. In this Appendix X Cycle 10 Informational Filing, SDG&amp;E is correcting the Appendix X Cycle 8 for approximately ($16K) due to O&amp;M and A&amp;G 2018</t>
  </si>
  <si>
    <t>Page 3 and Page 4, Line 1</t>
  </si>
  <si>
    <t>Page 3 and Page 4, Line 3</t>
  </si>
  <si>
    <t>Page 3 and Page 4, Line 5</t>
  </si>
  <si>
    <t>Page 3 and Page 4, Line 9</t>
  </si>
  <si>
    <t>Page 3 and Page 4, Line 13</t>
  </si>
  <si>
    <t>Page 3 and Page 4, Line 18</t>
  </si>
  <si>
    <t>Page 3 and Page 4, Line 20</t>
  </si>
  <si>
    <t>Page 3 and Page 4, Line 22</t>
  </si>
  <si>
    <t>Page 3 and Page 4, Line 26</t>
  </si>
  <si>
    <t>Page 3 and Page 4, Line 30</t>
  </si>
  <si>
    <t>Page 3 and Page 4, Line 34</t>
  </si>
  <si>
    <t>Page 3 and Page 4, Line 36</t>
  </si>
  <si>
    <t>Represents reclassification of 2018 3P (People, Process, Priorities) project costs from O&amp;M FERC account 560 to A&amp;G FERC account 923, in 2020. This adjustment is being</t>
  </si>
  <si>
    <t>corrected here and reflected as an "Other Adjustments" in Cycle 10.</t>
  </si>
  <si>
    <t>This adjustment is being corrected here and reflected as an "Other Adjustments" in Cycle 10.</t>
  </si>
  <si>
    <t>Represents reclassification of 2018 3P (People, Process, Priorities) project costs from O&amp;M FERC accounts 560, 580 and 588 to A&amp;G FERC account 923,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</si>
</sst>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0.00000%"/>
    <numFmt numFmtId="168" formatCode="#,##0.0_);\(#,##0.0\)"/>
    <numFmt numFmtId="169" formatCode="0.0000%"/>
    <numFmt numFmtId="170" formatCode="0.000000"/>
    <numFmt numFmtId="171" formatCode="_(&quot;$&quot;* #,##0.000_);_(&quot;$&quot;* \(#,##0.000\);_(&quot;$&quot;* &quot;-&quot;??_);_(@_)"/>
    <numFmt numFmtId="172" formatCode="_(* #,##0.000_);_(* \(#,##0.000\);_(* &quot;-&quot;??_);_(@_)"/>
    <numFmt numFmtId="173" formatCode="00000"/>
    <numFmt numFmtId="174" formatCode="0_);\(0\)"/>
    <numFmt numFmtId="175" formatCode="0.0%"/>
    <numFmt numFmtId="176" formatCode="_(&quot;$&quot;* #,##0,_);_(&quot;$&quot;* \(#,##0,\);_(&quot;$&quot;* &quot;-&quot;??_);_(@_)"/>
    <numFmt numFmtId="177" formatCode="&quot;$&quot;#,##0,_);[Red]\(&quot;$&quot;#,##0,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i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color indexed="8"/>
      <name val="Times New Roman"/>
      <family val="1"/>
    </font>
    <font>
      <b/>
      <u val="singleAccounting"/>
      <sz val="12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0000FF"/>
      <name val="Times New Roman"/>
      <family val="1"/>
    </font>
    <font>
      <b/>
      <sz val="12"/>
      <color rgb="FF0000FF"/>
      <name val="Times New Roman"/>
      <family val="1"/>
    </font>
    <font>
      <strike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6" fillId="0" borderId="0"/>
    <xf numFmtId="0" fontId="13" fillId="0" borderId="0"/>
    <xf numFmtId="43" fontId="25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1013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0" fontId="9" fillId="0" borderId="12" xfId="0" applyFont="1" applyBorder="1"/>
    <xf numFmtId="37" fontId="9" fillId="0" borderId="0" xfId="0" applyNumberFormat="1" applyFont="1"/>
    <xf numFmtId="164" fontId="5" fillId="0" borderId="2" xfId="2" applyNumberFormat="1" applyFont="1" applyBorder="1"/>
    <xf numFmtId="0" fontId="5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5" fillId="0" borderId="0" xfId="2" applyNumberFormat="1" applyFont="1" applyFill="1" applyBorder="1"/>
    <xf numFmtId="164" fontId="9" fillId="0" borderId="0" xfId="2" applyNumberFormat="1" applyFont="1" applyFill="1" applyBorder="1"/>
    <xf numFmtId="164" fontId="5" fillId="0" borderId="2" xfId="2" applyNumberFormat="1" applyFont="1" applyFill="1" applyBorder="1"/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4" fontId="5" fillId="0" borderId="21" xfId="2" applyNumberFormat="1" applyFont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21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9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9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2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9" fillId="0" borderId="1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5" fontId="9" fillId="0" borderId="0" xfId="1" quotePrefix="1" applyNumberFormat="1" applyFont="1" applyBorder="1" applyAlignment="1">
      <alignment horizontal="centerContinuous" vertical="center"/>
    </xf>
    <xf numFmtId="49" fontId="5" fillId="0" borderId="22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quotePrefix="1" applyFont="1" applyBorder="1" applyAlignment="1">
      <alignment horizontal="center" vertical="center"/>
    </xf>
    <xf numFmtId="165" fontId="5" fillId="0" borderId="13" xfId="1" quotePrefix="1" applyNumberFormat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23" xfId="0" quotePrefix="1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49" fontId="5" fillId="0" borderId="2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38" fontId="5" fillId="0" borderId="16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38" fontId="5" fillId="0" borderId="12" xfId="1" applyNumberFormat="1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164" fontId="9" fillId="0" borderId="16" xfId="2" applyNumberFormat="1" applyFont="1" applyFill="1" applyBorder="1" applyAlignment="1">
      <alignment vertical="center"/>
    </xf>
    <xf numFmtId="38" fontId="9" fillId="0" borderId="12" xfId="1" applyNumberFormat="1" applyFont="1" applyBorder="1" applyAlignment="1">
      <alignment horizontal="center" vertical="center"/>
    </xf>
    <xf numFmtId="165" fontId="9" fillId="0" borderId="16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17" xfId="1" applyNumberFormat="1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49" fontId="9" fillId="0" borderId="2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4" fontId="9" fillId="0" borderId="10" xfId="2" applyNumberFormat="1" applyFont="1" applyFill="1" applyBorder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0" fontId="19" fillId="0" borderId="29" xfId="0" applyFont="1" applyBorder="1" applyAlignment="1">
      <alignment horizontal="center"/>
    </xf>
    <xf numFmtId="164" fontId="5" fillId="0" borderId="30" xfId="2" applyNumberFormat="1" applyFont="1" applyFill="1" applyBorder="1" applyAlignment="1">
      <alignment vertical="center"/>
    </xf>
    <xf numFmtId="38" fontId="9" fillId="0" borderId="9" xfId="1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166" fontId="9" fillId="0" borderId="16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9" fillId="0" borderId="17" xfId="1" applyNumberFormat="1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vertical="center"/>
    </xf>
    <xf numFmtId="165" fontId="9" fillId="0" borderId="27" xfId="1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5" fillId="0" borderId="27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6" xfId="2" applyNumberFormat="1" applyFont="1" applyFill="1" applyBorder="1" applyAlignment="1">
      <alignment vertical="center"/>
    </xf>
    <xf numFmtId="164" fontId="5" fillId="0" borderId="18" xfId="2" applyNumberFormat="1" applyFont="1" applyFill="1" applyBorder="1" applyAlignment="1">
      <alignment vertical="center"/>
    </xf>
    <xf numFmtId="0" fontId="19" fillId="0" borderId="31" xfId="0" applyFont="1" applyBorder="1" applyAlignment="1">
      <alignment horizontal="center"/>
    </xf>
    <xf numFmtId="164" fontId="5" fillId="0" borderId="32" xfId="2" applyNumberFormat="1" applyFont="1" applyFill="1" applyBorder="1" applyAlignment="1">
      <alignment vertical="center"/>
    </xf>
    <xf numFmtId="49" fontId="9" fillId="0" borderId="28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66" fontId="9" fillId="0" borderId="10" xfId="0" applyNumberFormat="1" applyFont="1" applyBorder="1" applyAlignment="1">
      <alignment vertical="center"/>
    </xf>
    <xf numFmtId="166" fontId="9" fillId="0" borderId="10" xfId="1" applyNumberFormat="1" applyFont="1" applyFill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9" fontId="9" fillId="0" borderId="11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0" fontId="9" fillId="0" borderId="12" xfId="0" applyFont="1" applyBorder="1" applyAlignment="1">
      <alignment vertical="center"/>
    </xf>
    <xf numFmtId="49" fontId="9" fillId="0" borderId="8" xfId="0" applyNumberFormat="1" applyFont="1" applyBorder="1" applyAlignment="1">
      <alignment horizontal="center" vertical="center"/>
    </xf>
    <xf numFmtId="165" fontId="9" fillId="0" borderId="3" xfId="1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37" fontId="9" fillId="0" borderId="12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20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21" xfId="2" applyNumberFormat="1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164" fontId="9" fillId="0" borderId="20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9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9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170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169" fontId="9" fillId="0" borderId="0" xfId="3" applyNumberFormat="1" applyFont="1" applyAlignment="1">
      <alignment horizontal="right" vertical="center"/>
    </xf>
    <xf numFmtId="169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70" fontId="9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9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9" fontId="9" fillId="0" borderId="0" xfId="3" applyNumberFormat="1" applyFont="1" applyBorder="1" applyAlignment="1">
      <alignment horizontal="right" vertical="center"/>
    </xf>
    <xf numFmtId="169" fontId="9" fillId="0" borderId="2" xfId="3" applyNumberFormat="1" applyFont="1" applyBorder="1" applyAlignment="1">
      <alignment horizontal="right" vertical="center"/>
    </xf>
    <xf numFmtId="169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9" fontId="9" fillId="0" borderId="2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3" xfId="11" applyFont="1" applyBorder="1"/>
    <xf numFmtId="0" fontId="9" fillId="0" borderId="12" xfId="11" applyFont="1" applyBorder="1" applyAlignment="1">
      <alignment horizontal="center" vertical="center"/>
    </xf>
    <xf numFmtId="0" fontId="5" fillId="0" borderId="22" xfId="11" applyFont="1" applyBorder="1" applyAlignment="1">
      <alignment horizontal="center"/>
    </xf>
    <xf numFmtId="0" fontId="5" fillId="0" borderId="13" xfId="1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9" fillId="0" borderId="11" xfId="11" applyFont="1" applyBorder="1" applyAlignment="1">
      <alignment horizontal="center" vertical="center"/>
    </xf>
    <xf numFmtId="0" fontId="5" fillId="0" borderId="26" xfId="11" applyFont="1" applyBorder="1"/>
    <xf numFmtId="10" fontId="5" fillId="0" borderId="16" xfId="19" applyNumberFormat="1" applyFont="1" applyBorder="1" applyAlignment="1">
      <alignment horizont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5" xfId="11" applyFont="1" applyBorder="1" applyAlignment="1">
      <alignment horizontal="left"/>
    </xf>
    <xf numFmtId="164" fontId="9" fillId="2" borderId="16" xfId="20" applyNumberFormat="1" applyFont="1" applyFill="1" applyBorder="1" applyAlignment="1">
      <alignment horizontal="right" vertical="center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5" xfId="11" applyFont="1" applyBorder="1"/>
    <xf numFmtId="164" fontId="9" fillId="0" borderId="16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165" fontId="5" fillId="2" borderId="16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41" fontId="9" fillId="0" borderId="0" xfId="13" applyNumberFormat="1" applyFont="1" applyFill="1" applyBorder="1" applyAlignment="1">
      <alignment horizontal="center"/>
    </xf>
    <xf numFmtId="0" fontId="5" fillId="0" borderId="25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6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171" fontId="5" fillId="0" borderId="16" xfId="11" applyNumberFormat="1" applyFont="1" applyBorder="1" applyAlignment="1">
      <alignment vertical="center"/>
    </xf>
    <xf numFmtId="171" fontId="5" fillId="0" borderId="0" xfId="11" applyNumberFormat="1" applyFont="1" applyAlignment="1">
      <alignment vertical="center"/>
    </xf>
    <xf numFmtId="0" fontId="5" fillId="0" borderId="30" xfId="11" applyFont="1" applyBorder="1"/>
    <xf numFmtId="0" fontId="5" fillId="0" borderId="10" xfId="11" applyFont="1" applyBorder="1"/>
    <xf numFmtId="44" fontId="5" fillId="0" borderId="3" xfId="11" applyNumberFormat="1" applyFont="1" applyBorder="1"/>
    <xf numFmtId="0" fontId="5" fillId="0" borderId="25" xfId="11" applyFont="1" applyBorder="1" applyAlignment="1">
      <alignment horizontal="center"/>
    </xf>
    <xf numFmtId="0" fontId="5" fillId="0" borderId="25" xfId="11" applyFont="1" applyBorder="1"/>
    <xf numFmtId="171" fontId="9" fillId="0" borderId="16" xfId="20" applyNumberFormat="1" applyFont="1" applyFill="1" applyBorder="1" applyAlignment="1">
      <alignment horizontal="right"/>
    </xf>
    <xf numFmtId="171" fontId="9" fillId="0" borderId="0" xfId="20" applyNumberFormat="1" applyFont="1" applyFill="1" applyBorder="1" applyAlignment="1">
      <alignment horizontal="right"/>
    </xf>
    <xf numFmtId="171" fontId="9" fillId="0" borderId="16" xfId="11" applyNumberFormat="1" applyFont="1" applyBorder="1" applyAlignment="1">
      <alignment horizontal="right"/>
    </xf>
    <xf numFmtId="171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2" fontId="5" fillId="0" borderId="16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2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41" fontId="5" fillId="0" borderId="0" xfId="13" applyNumberFormat="1" applyFont="1" applyFill="1" applyBorder="1" applyAlignment="1">
      <alignment horizontal="center"/>
    </xf>
    <xf numFmtId="171" fontId="5" fillId="0" borderId="16" xfId="14" applyNumberFormat="1" applyFont="1" applyBorder="1"/>
    <xf numFmtId="171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10" xfId="14" applyNumberFormat="1" applyFont="1" applyBorder="1"/>
    <xf numFmtId="165" fontId="5" fillId="0" borderId="3" xfId="14" applyNumberFormat="1" applyFont="1" applyFill="1" applyBorder="1"/>
    <xf numFmtId="0" fontId="5" fillId="0" borderId="3" xfId="11" applyFont="1" applyBorder="1" applyAlignment="1">
      <alignment horizontal="center"/>
    </xf>
    <xf numFmtId="0" fontId="5" fillId="0" borderId="23" xfId="11" applyFont="1" applyBorder="1" applyAlignment="1">
      <alignment horizontal="center"/>
    </xf>
    <xf numFmtId="0" fontId="5" fillId="0" borderId="15" xfId="11" applyFont="1" applyBorder="1" applyAlignment="1">
      <alignment horizontal="center"/>
    </xf>
    <xf numFmtId="10" fontId="5" fillId="0" borderId="25" xfId="19" applyNumberFormat="1" applyFont="1" applyBorder="1" applyAlignment="1">
      <alignment horizontal="center"/>
    </xf>
    <xf numFmtId="10" fontId="5" fillId="0" borderId="17" xfId="19" applyNumberFormat="1" applyFont="1" applyBorder="1" applyAlignment="1">
      <alignment horizontal="center"/>
    </xf>
    <xf numFmtId="164" fontId="9" fillId="2" borderId="25" xfId="20" applyNumberFormat="1" applyFont="1" applyFill="1" applyBorder="1" applyAlignment="1">
      <alignment horizontal="right" vertical="center"/>
    </xf>
    <xf numFmtId="41" fontId="9" fillId="0" borderId="17" xfId="13" applyNumberFormat="1" applyFont="1" applyBorder="1" applyAlignment="1">
      <alignment horizontal="center"/>
    </xf>
    <xf numFmtId="164" fontId="9" fillId="0" borderId="25" xfId="11" applyNumberFormat="1" applyFont="1" applyBorder="1" applyAlignment="1">
      <alignment horizontal="right" vertical="center"/>
    </xf>
    <xf numFmtId="0" fontId="5" fillId="0" borderId="17" xfId="11" applyFont="1" applyBorder="1" applyAlignment="1">
      <alignment horizontal="center"/>
    </xf>
    <xf numFmtId="165" fontId="9" fillId="2" borderId="25" xfId="1" applyNumberFormat="1" applyFont="1" applyFill="1" applyBorder="1" applyAlignment="1">
      <alignment horizontal="right" vertical="center"/>
    </xf>
    <xf numFmtId="43" fontId="5" fillId="0" borderId="17" xfId="11" applyNumberFormat="1" applyFont="1" applyBorder="1" applyAlignment="1">
      <alignment horizontal="center"/>
    </xf>
    <xf numFmtId="41" fontId="5" fillId="0" borderId="17" xfId="13" applyNumberFormat="1" applyFont="1" applyBorder="1" applyAlignment="1">
      <alignment horizontal="left"/>
    </xf>
    <xf numFmtId="165" fontId="9" fillId="2" borderId="16" xfId="1" applyNumberFormat="1" applyFont="1" applyFill="1" applyBorder="1" applyAlignment="1">
      <alignment horizontal="right" vertical="center"/>
    </xf>
    <xf numFmtId="41" fontId="5" fillId="0" borderId="17" xfId="13" applyNumberFormat="1" applyFont="1" applyFill="1" applyBorder="1" applyAlignment="1">
      <alignment horizontal="left"/>
    </xf>
    <xf numFmtId="41" fontId="9" fillId="0" borderId="17" xfId="13" applyNumberFormat="1" applyFont="1" applyFill="1" applyBorder="1" applyAlignment="1">
      <alignment horizontal="center"/>
    </xf>
    <xf numFmtId="0" fontId="5" fillId="0" borderId="29" xfId="11" applyFont="1" applyBorder="1"/>
    <xf numFmtId="171" fontId="9" fillId="0" borderId="25" xfId="20" applyNumberFormat="1" applyFont="1" applyFill="1" applyBorder="1" applyAlignment="1">
      <alignment horizontal="right"/>
    </xf>
    <xf numFmtId="171" fontId="9" fillId="0" borderId="25" xfId="11" applyNumberFormat="1" applyFont="1" applyBorder="1" applyAlignment="1">
      <alignment horizontal="right"/>
    </xf>
    <xf numFmtId="0" fontId="9" fillId="0" borderId="17" xfId="11" applyFont="1" applyBorder="1" applyAlignment="1">
      <alignment horizontal="center"/>
    </xf>
    <xf numFmtId="172" fontId="9" fillId="0" borderId="25" xfId="1" applyNumberFormat="1" applyFont="1" applyFill="1" applyBorder="1" applyAlignment="1">
      <alignment horizontal="right"/>
    </xf>
    <xf numFmtId="43" fontId="9" fillId="0" borderId="17" xfId="11" applyNumberFormat="1" applyFont="1" applyBorder="1" applyAlignment="1">
      <alignment horizontal="center"/>
    </xf>
    <xf numFmtId="41" fontId="5" fillId="0" borderId="17" xfId="13" applyNumberFormat="1" applyFont="1" applyBorder="1" applyAlignment="1">
      <alignment horizontal="center"/>
    </xf>
    <xf numFmtId="41" fontId="5" fillId="0" borderId="17" xfId="13" applyNumberFormat="1" applyFont="1" applyFill="1" applyBorder="1" applyAlignment="1">
      <alignment horizontal="center"/>
    </xf>
    <xf numFmtId="41" fontId="5" fillId="0" borderId="17" xfId="13" applyNumberFormat="1" applyFont="1" applyFill="1" applyBorder="1"/>
    <xf numFmtId="165" fontId="5" fillId="0" borderId="17" xfId="14" applyNumberFormat="1" applyFont="1" applyFill="1" applyBorder="1"/>
    <xf numFmtId="0" fontId="5" fillId="0" borderId="29" xfId="11" applyFont="1" applyBorder="1" applyAlignment="1">
      <alignment horizontal="center"/>
    </xf>
    <xf numFmtId="0" fontId="5" fillId="0" borderId="0" xfId="1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3" xfId="0" applyBorder="1"/>
    <xf numFmtId="0" fontId="16" fillId="0" borderId="3" xfId="0" applyFont="1" applyBorder="1" applyAlignment="1">
      <alignment horizontal="center"/>
    </xf>
    <xf numFmtId="0" fontId="9" fillId="0" borderId="0" xfId="11" applyFont="1" applyBorder="1"/>
    <xf numFmtId="164" fontId="9" fillId="0" borderId="0" xfId="11" applyNumberFormat="1" applyFont="1" applyBorder="1" applyAlignment="1">
      <alignment horizontal="right" vertical="center"/>
    </xf>
    <xf numFmtId="164" fontId="9" fillId="0" borderId="0" xfId="11" applyNumberFormat="1" applyFont="1" applyBorder="1" applyAlignment="1">
      <alignment vertical="center"/>
    </xf>
    <xf numFmtId="171" fontId="5" fillId="0" borderId="0" xfId="11" applyNumberFormat="1" applyFont="1" applyBorder="1" applyAlignment="1">
      <alignment vertical="center"/>
    </xf>
    <xf numFmtId="171" fontId="9" fillId="0" borderId="0" xfId="11" applyNumberFormat="1" applyFont="1" applyBorder="1" applyAlignment="1">
      <alignment horizontal="right"/>
    </xf>
    <xf numFmtId="172" fontId="9" fillId="0" borderId="0" xfId="1" applyNumberFormat="1" applyFont="1" applyAlignment="1">
      <alignment horizontal="center"/>
    </xf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65" fontId="9" fillId="0" borderId="33" xfId="1" applyNumberFormat="1" applyFont="1" applyFill="1" applyBorder="1" applyAlignment="1">
      <alignment vertical="center"/>
    </xf>
    <xf numFmtId="165" fontId="9" fillId="0" borderId="33" xfId="1" applyNumberFormat="1" applyFont="1" applyFill="1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15" fontId="9" fillId="0" borderId="33" xfId="0" applyNumberFormat="1" applyFont="1" applyBorder="1" applyAlignment="1">
      <alignment horizontal="center" vertical="center"/>
    </xf>
    <xf numFmtId="0" fontId="20" fillId="0" borderId="0" xfId="11" applyFont="1"/>
    <xf numFmtId="0" fontId="9" fillId="0" borderId="0" xfId="11" applyFont="1"/>
    <xf numFmtId="0" fontId="20" fillId="0" borderId="0" xfId="11" applyFont="1" applyAlignment="1">
      <alignment horizontal="left"/>
    </xf>
    <xf numFmtId="165" fontId="5" fillId="3" borderId="33" xfId="1" applyNumberFormat="1" applyFont="1" applyFill="1" applyBorder="1" applyAlignment="1" applyProtection="1">
      <alignment vertical="center"/>
      <protection locked="0"/>
    </xf>
    <xf numFmtId="165" fontId="9" fillId="3" borderId="33" xfId="1" applyNumberFormat="1" applyFont="1" applyFill="1" applyBorder="1" applyAlignment="1" applyProtection="1">
      <alignment vertical="center"/>
      <protection locked="0"/>
    </xf>
    <xf numFmtId="10" fontId="9" fillId="2" borderId="33" xfId="0" applyNumberFormat="1" applyFont="1" applyFill="1" applyBorder="1" applyAlignment="1">
      <alignment horizontal="right" vertical="center"/>
    </xf>
    <xf numFmtId="164" fontId="5" fillId="0" borderId="2" xfId="2" applyNumberFormat="1" applyFont="1" applyFill="1" applyBorder="1" applyAlignment="1">
      <alignment horizontal="right" vertical="center"/>
    </xf>
    <xf numFmtId="165" fontId="9" fillId="2" borderId="33" xfId="1" applyNumberFormat="1" applyFont="1" applyFill="1" applyBorder="1" applyAlignment="1" applyProtection="1">
      <alignment horizontal="right" vertical="center"/>
    </xf>
    <xf numFmtId="165" fontId="9" fillId="2" borderId="33" xfId="1" applyNumberFormat="1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9" fillId="0" borderId="0" xfId="0" quotePrefix="1" applyFont="1" applyAlignment="1">
      <alignment horizontal="centerContinuous" vertical="center"/>
    </xf>
    <xf numFmtId="0" fontId="5" fillId="0" borderId="33" xfId="0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9" fillId="0" borderId="34" xfId="1" applyNumberFormat="1" applyFont="1" applyFill="1" applyBorder="1" applyAlignment="1">
      <alignment vertical="center"/>
    </xf>
    <xf numFmtId="49" fontId="18" fillId="0" borderId="11" xfId="0" applyNumberFormat="1" applyFont="1" applyBorder="1"/>
    <xf numFmtId="166" fontId="9" fillId="0" borderId="0" xfId="0" applyNumberFormat="1" applyFont="1"/>
    <xf numFmtId="166" fontId="9" fillId="0" borderId="0" xfId="1" applyNumberFormat="1" applyFont="1" applyFill="1" applyBorder="1"/>
    <xf numFmtId="0" fontId="9" fillId="0" borderId="11" xfId="0" applyFont="1" applyBorder="1" applyAlignment="1">
      <alignment horizontal="center" vertical="center"/>
    </xf>
    <xf numFmtId="0" fontId="9" fillId="0" borderId="0" xfId="25" applyFont="1"/>
    <xf numFmtId="49" fontId="9" fillId="0" borderId="11" xfId="0" applyNumberFormat="1" applyFont="1" applyBorder="1" applyAlignment="1">
      <alignment horizontal="center"/>
    </xf>
    <xf numFmtId="165" fontId="9" fillId="0" borderId="33" xfId="1" applyNumberFormat="1" applyFont="1" applyFill="1" applyBorder="1"/>
    <xf numFmtId="0" fontId="9" fillId="0" borderId="0" xfId="23" applyFont="1"/>
    <xf numFmtId="0" fontId="9" fillId="0" borderId="0" xfId="23" applyFont="1" applyAlignment="1">
      <alignment wrapText="1"/>
    </xf>
    <xf numFmtId="0" fontId="5" fillId="0" borderId="11" xfId="0" applyFont="1" applyBorder="1" applyAlignment="1">
      <alignment horizontal="left"/>
    </xf>
    <xf numFmtId="0" fontId="9" fillId="0" borderId="21" xfId="0" applyFont="1" applyBorder="1"/>
    <xf numFmtId="0" fontId="5" fillId="0" borderId="11" xfId="23" applyFont="1" applyBorder="1" applyAlignment="1">
      <alignment horizontal="left"/>
    </xf>
    <xf numFmtId="0" fontId="5" fillId="0" borderId="0" xfId="23" applyFont="1"/>
    <xf numFmtId="0" fontId="14" fillId="0" borderId="11" xfId="23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15" fontId="9" fillId="0" borderId="33" xfId="11" applyNumberFormat="1" applyFont="1" applyBorder="1" applyAlignment="1">
      <alignment horizontal="center" vertical="center"/>
    </xf>
    <xf numFmtId="0" fontId="9" fillId="0" borderId="33" xfId="11" applyFont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0" fontId="9" fillId="2" borderId="33" xfId="11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2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4" fontId="9" fillId="3" borderId="33" xfId="13" applyNumberFormat="1" applyFont="1" applyFill="1" applyBorder="1" applyAlignment="1" applyProtection="1">
      <alignment horizontal="center" vertical="center"/>
      <protection locked="0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4" fontId="5" fillId="2" borderId="0" xfId="13" applyNumberFormat="1" applyFont="1" applyFill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3" borderId="33" xfId="28" applyNumberFormat="1" applyFont="1" applyFill="1" applyBorder="1" applyAlignment="1">
      <alignment vertical="center"/>
    </xf>
    <xf numFmtId="10" fontId="9" fillId="0" borderId="0" xfId="28" applyNumberFormat="1" applyFont="1" applyBorder="1" applyAlignment="1">
      <alignment vertical="center"/>
    </xf>
    <xf numFmtId="164" fontId="5" fillId="0" borderId="2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0" fontId="9" fillId="0" borderId="33" xfId="0" applyFont="1" applyBorder="1" applyAlignment="1">
      <alignment horizontal="center" vertical="center" wrapText="1"/>
    </xf>
    <xf numFmtId="164" fontId="9" fillId="3" borderId="33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33" xfId="3" applyNumberFormat="1" applyFont="1" applyFill="1" applyBorder="1" applyAlignment="1">
      <alignment horizontal="right" vertical="center"/>
    </xf>
    <xf numFmtId="10" fontId="9" fillId="0" borderId="33" xfId="3" applyNumberFormat="1" applyFont="1" applyBorder="1" applyAlignment="1">
      <alignment horizontal="right" vertical="center"/>
    </xf>
    <xf numFmtId="9" fontId="9" fillId="3" borderId="33" xfId="3" applyFont="1" applyFill="1" applyBorder="1" applyAlignment="1">
      <alignment horizontal="right" vertical="center"/>
    </xf>
    <xf numFmtId="169" fontId="9" fillId="0" borderId="33" xfId="3" applyNumberFormat="1" applyFont="1" applyBorder="1" applyAlignment="1">
      <alignment horizontal="right" vertical="center"/>
    </xf>
    <xf numFmtId="169" fontId="9" fillId="2" borderId="33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9" fontId="9" fillId="2" borderId="33" xfId="3" applyFont="1" applyFill="1" applyBorder="1" applyAlignment="1">
      <alignment horizontal="right" vertical="center"/>
    </xf>
    <xf numFmtId="10" fontId="9" fillId="2" borderId="33" xfId="3" applyNumberFormat="1" applyFont="1" applyFill="1" applyBorder="1" applyAlignment="1">
      <alignment horizontal="right" vertical="center"/>
    </xf>
    <xf numFmtId="169" fontId="9" fillId="2" borderId="33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165" fontId="7" fillId="0" borderId="33" xfId="1" applyNumberFormat="1" applyFont="1" applyBorder="1"/>
    <xf numFmtId="0" fontId="19" fillId="0" borderId="0" xfId="0" applyFont="1" applyBorder="1" applyAlignment="1">
      <alignment horizontal="center"/>
    </xf>
    <xf numFmtId="0" fontId="5" fillId="0" borderId="0" xfId="11" applyFont="1" applyAlignment="1">
      <alignment horizontal="right"/>
    </xf>
    <xf numFmtId="0" fontId="5" fillId="0" borderId="34" xfId="11" applyFont="1" applyBorder="1" applyAlignment="1">
      <alignment horizontal="center"/>
    </xf>
    <xf numFmtId="0" fontId="5" fillId="0" borderId="33" xfId="11" applyFont="1" applyBorder="1" applyAlignment="1">
      <alignment horizontal="center"/>
    </xf>
    <xf numFmtId="165" fontId="5" fillId="0" borderId="29" xfId="14" applyNumberFormat="1" applyFont="1" applyFill="1" applyBorder="1"/>
    <xf numFmtId="165" fontId="9" fillId="0" borderId="33" xfId="1" applyNumberFormat="1" applyFont="1" applyFill="1" applyBorder="1" applyAlignment="1" applyProtection="1">
      <alignment horizontal="right" vertical="center"/>
      <protection locked="0"/>
    </xf>
    <xf numFmtId="164" fontId="9" fillId="0" borderId="33" xfId="2" applyNumberFormat="1" applyFont="1" applyFill="1" applyBorder="1" applyAlignment="1">
      <alignment vertical="center"/>
    </xf>
    <xf numFmtId="164" fontId="9" fillId="2" borderId="0" xfId="2" applyNumberFormat="1" applyFont="1" applyFill="1" applyAlignment="1">
      <alignment vertical="center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7" fontId="9" fillId="0" borderId="0" xfId="31" applyNumberFormat="1" applyFont="1" applyAlignment="1">
      <alignment horizontal="right"/>
    </xf>
    <xf numFmtId="0" fontId="18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7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7" fontId="9" fillId="0" borderId="0" xfId="31" applyNumberFormat="1" applyFont="1" applyAlignment="1">
      <alignment vertical="center"/>
    </xf>
    <xf numFmtId="167" fontId="9" fillId="0" borderId="0" xfId="31" applyNumberFormat="1" applyFont="1"/>
    <xf numFmtId="0" fontId="5" fillId="0" borderId="0" xfId="31" applyFont="1" applyAlignment="1" applyProtection="1">
      <alignment vertical="center"/>
      <protection locked="0"/>
    </xf>
    <xf numFmtId="167" fontId="9" fillId="0" borderId="0" xfId="31" applyNumberFormat="1" applyFont="1" applyAlignment="1" applyProtection="1">
      <alignment horizontal="right"/>
      <protection locked="0"/>
    </xf>
    <xf numFmtId="167" fontId="9" fillId="0" borderId="0" xfId="31" quotePrefix="1" applyNumberFormat="1" applyFont="1" applyAlignment="1">
      <alignment horizontal="right" vertical="center"/>
    </xf>
    <xf numFmtId="167" fontId="9" fillId="0" borderId="0" xfId="31" quotePrefix="1" applyNumberFormat="1" applyFont="1" applyAlignment="1">
      <alignment horizontal="right"/>
    </xf>
    <xf numFmtId="169" fontId="9" fillId="3" borderId="0" xfId="31" applyNumberFormat="1" applyFont="1" applyFill="1" applyAlignment="1">
      <alignment horizontal="right" vertical="center"/>
    </xf>
    <xf numFmtId="10" fontId="9" fillId="0" borderId="33" xfId="3" quotePrefix="1" applyNumberFormat="1" applyFont="1" applyBorder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7" fontId="5" fillId="0" borderId="0" xfId="31" quotePrefix="1" applyNumberFormat="1" applyFont="1" applyAlignment="1">
      <alignment horizontal="right"/>
    </xf>
    <xf numFmtId="0" fontId="18" fillId="0" borderId="0" xfId="31" applyFont="1" applyAlignment="1">
      <alignment vertical="center"/>
    </xf>
    <xf numFmtId="10" fontId="18" fillId="0" borderId="0" xfId="31" applyNumberFormat="1" applyFont="1" applyAlignment="1">
      <alignment horizontal="right"/>
    </xf>
    <xf numFmtId="164" fontId="5" fillId="0" borderId="2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4" fontId="9" fillId="0" borderId="0" xfId="31" applyNumberFormat="1" applyFont="1" applyAlignment="1">
      <alignment horizontal="left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0" xfId="31" applyFont="1" applyAlignment="1">
      <alignment horizontal="center" vertical="center"/>
    </xf>
    <xf numFmtId="0" fontId="18" fillId="0" borderId="0" xfId="31" applyFont="1" applyAlignment="1">
      <alignment horizontal="center"/>
    </xf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0" fontId="5" fillId="0" borderId="0" xfId="31" applyFont="1" applyAlignment="1">
      <alignment horizontal="left"/>
    </xf>
    <xf numFmtId="164" fontId="5" fillId="2" borderId="33" xfId="31" applyNumberFormat="1" applyFont="1" applyFill="1" applyBorder="1" applyAlignment="1" applyProtection="1">
      <alignment horizontal="right" vertical="center"/>
      <protection locked="0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33" xfId="31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20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5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9" fontId="9" fillId="2" borderId="0" xfId="19" applyNumberFormat="1" applyFont="1" applyFill="1" applyBorder="1" applyAlignment="1">
      <alignment horizontal="right" vertical="center"/>
    </xf>
    <xf numFmtId="164" fontId="5" fillId="0" borderId="36" xfId="31" applyNumberFormat="1" applyFont="1" applyBorder="1" applyAlignment="1" applyProtection="1">
      <alignment horizontal="right" vertical="center"/>
      <protection locked="0"/>
    </xf>
    <xf numFmtId="10" fontId="9" fillId="0" borderId="0" xfId="22" applyNumberFormat="1" applyFont="1" applyBorder="1" applyAlignment="1">
      <alignment horizontal="right"/>
    </xf>
    <xf numFmtId="164" fontId="9" fillId="0" borderId="0" xfId="20" applyNumberFormat="1" applyFont="1" applyBorder="1" applyAlignment="1">
      <alignment horizontal="right" vertical="center"/>
    </xf>
    <xf numFmtId="10" fontId="9" fillId="0" borderId="2" xfId="22" applyNumberFormat="1" applyFont="1" applyBorder="1" applyAlignment="1">
      <alignment horizontal="right" vertical="center"/>
    </xf>
    <xf numFmtId="10" fontId="5" fillId="0" borderId="0" xfId="19" applyNumberFormat="1" applyFont="1"/>
    <xf numFmtId="49" fontId="5" fillId="0" borderId="37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5" fontId="5" fillId="0" borderId="16" xfId="1" applyNumberFormat="1" applyFont="1" applyFill="1" applyBorder="1" applyAlignment="1">
      <alignment vertical="center"/>
    </xf>
    <xf numFmtId="165" fontId="9" fillId="0" borderId="38" xfId="1" applyNumberFormat="1" applyFont="1" applyFill="1" applyBorder="1" applyAlignment="1">
      <alignment vertical="center"/>
    </xf>
    <xf numFmtId="165" fontId="9" fillId="0" borderId="40" xfId="1" applyNumberFormat="1" applyFont="1" applyFill="1" applyBorder="1" applyAlignment="1">
      <alignment vertical="center"/>
    </xf>
    <xf numFmtId="164" fontId="9" fillId="0" borderId="40" xfId="2" applyNumberFormat="1" applyFont="1" applyFill="1" applyBorder="1" applyAlignment="1">
      <alignment vertical="center"/>
    </xf>
    <xf numFmtId="164" fontId="9" fillId="0" borderId="38" xfId="2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0" fontId="5" fillId="0" borderId="0" xfId="11" applyFont="1"/>
    <xf numFmtId="0" fontId="5" fillId="0" borderId="0" xfId="11" quotePrefix="1" applyFont="1" applyAlignment="1">
      <alignment horizontal="center"/>
    </xf>
    <xf numFmtId="168" fontId="5" fillId="0" borderId="0" xfId="11" applyNumberFormat="1" applyFont="1" applyAlignment="1">
      <alignment horizontal="center"/>
    </xf>
    <xf numFmtId="5" fontId="9" fillId="0" borderId="33" xfId="11" applyNumberFormat="1" applyFont="1" applyBorder="1" applyAlignment="1">
      <alignment horizontal="center"/>
    </xf>
    <xf numFmtId="0" fontId="9" fillId="0" borderId="33" xfId="11" applyFont="1" applyBorder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8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horizontal="right"/>
      <protection locked="0"/>
    </xf>
    <xf numFmtId="165" fontId="9" fillId="2" borderId="33" xfId="27" applyNumberFormat="1" applyFont="1" applyFill="1" applyBorder="1" applyAlignment="1" applyProtection="1">
      <alignment horizontal="right" vertical="center"/>
      <protection locked="0"/>
    </xf>
    <xf numFmtId="164" fontId="9" fillId="0" borderId="20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164" fontId="9" fillId="0" borderId="20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5" fontId="5" fillId="2" borderId="33" xfId="27" applyNumberFormat="1" applyFont="1" applyFill="1" applyBorder="1" applyAlignment="1" applyProtection="1">
      <alignment horizontal="right" vertical="center"/>
      <protection locked="0"/>
    </xf>
    <xf numFmtId="164" fontId="5" fillId="0" borderId="20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4" fontId="5" fillId="0" borderId="2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4" fontId="9" fillId="4" borderId="2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5" fontId="9" fillId="2" borderId="33" xfId="27" applyNumberFormat="1" applyFont="1" applyFill="1" applyBorder="1" applyAlignment="1" applyProtection="1">
      <alignment horizontal="right" vertical="center"/>
    </xf>
    <xf numFmtId="168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0" xfId="13" applyNumberFormat="1" applyFont="1" applyFill="1" applyAlignment="1" applyProtection="1">
      <alignment horizontal="right"/>
    </xf>
    <xf numFmtId="165" fontId="9" fillId="0" borderId="0" xfId="27" applyNumberFormat="1" applyFont="1" applyFill="1" applyAlignment="1" applyProtection="1">
      <alignment horizontal="right" vertical="center"/>
    </xf>
    <xf numFmtId="165" fontId="9" fillId="0" borderId="0" xfId="27" applyNumberFormat="1" applyFont="1" applyFill="1" applyAlignment="1" applyProtection="1">
      <alignment horizontal="right"/>
    </xf>
    <xf numFmtId="165" fontId="9" fillId="0" borderId="33" xfId="27" applyNumberFormat="1" applyFont="1" applyFill="1" applyBorder="1" applyAlignment="1" applyProtection="1">
      <alignment horizontal="right" vertical="center"/>
    </xf>
    <xf numFmtId="165" fontId="9" fillId="0" borderId="0" xfId="27" applyNumberFormat="1" applyFont="1" applyFill="1" applyBorder="1" applyAlignment="1" applyProtection="1">
      <alignment horizontal="right"/>
    </xf>
    <xf numFmtId="164" fontId="9" fillId="0" borderId="19" xfId="13" applyNumberFormat="1" applyFont="1" applyFill="1" applyBorder="1" applyAlignment="1" applyProtection="1">
      <alignment horizontal="right" vertical="center"/>
    </xf>
    <xf numFmtId="164" fontId="9" fillId="0" borderId="2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38" xfId="11" applyFont="1" applyBorder="1" applyAlignment="1">
      <alignment horizontal="center"/>
    </xf>
    <xf numFmtId="164" fontId="7" fillId="0" borderId="0" xfId="0" applyNumberFormat="1" applyFont="1"/>
    <xf numFmtId="165" fontId="7" fillId="0" borderId="0" xfId="0" applyNumberFormat="1" applyFont="1"/>
    <xf numFmtId="164" fontId="5" fillId="2" borderId="16" xfId="2" applyNumberFormat="1" applyFont="1" applyFill="1" applyBorder="1" applyAlignment="1">
      <alignment horizontal="right" vertical="center"/>
    </xf>
    <xf numFmtId="164" fontId="9" fillId="0" borderId="16" xfId="33" applyNumberFormat="1" applyFont="1" applyBorder="1" applyAlignment="1">
      <alignment vertical="center"/>
    </xf>
    <xf numFmtId="164" fontId="9" fillId="0" borderId="0" xfId="33" applyNumberFormat="1" applyFont="1" applyFill="1" applyBorder="1" applyAlignment="1">
      <alignment vertical="center"/>
    </xf>
    <xf numFmtId="165" fontId="9" fillId="2" borderId="38" xfId="1" applyNumberFormat="1" applyFont="1" applyFill="1" applyBorder="1" applyAlignment="1">
      <alignment vertical="center"/>
    </xf>
    <xf numFmtId="0" fontId="7" fillId="0" borderId="0" xfId="34" applyFont="1" applyAlignment="1">
      <alignment horizontal="center"/>
    </xf>
    <xf numFmtId="9" fontId="7" fillId="0" borderId="0" xfId="3" applyFont="1"/>
    <xf numFmtId="44" fontId="5" fillId="0" borderId="0" xfId="11" applyNumberFormat="1" applyFont="1"/>
    <xf numFmtId="0" fontId="5" fillId="0" borderId="12" xfId="11" applyFont="1" applyBorder="1" applyAlignment="1">
      <alignment horizontal="center" vertical="center"/>
    </xf>
    <xf numFmtId="0" fontId="5" fillId="0" borderId="23" xfId="11" applyFont="1" applyBorder="1"/>
    <xf numFmtId="0" fontId="5" fillId="0" borderId="7" xfId="11" applyFont="1" applyBorder="1" applyAlignment="1">
      <alignment horizontal="center"/>
    </xf>
    <xf numFmtId="0" fontId="5" fillId="0" borderId="11" xfId="11" applyFont="1" applyBorder="1" applyAlignment="1">
      <alignment horizontal="center" vertical="center"/>
    </xf>
    <xf numFmtId="0" fontId="5" fillId="0" borderId="16" xfId="11" applyFont="1" applyBorder="1" applyAlignment="1">
      <alignment horizontal="center"/>
    </xf>
    <xf numFmtId="172" fontId="9" fillId="0" borderId="16" xfId="1" applyNumberFormat="1" applyFont="1" applyFill="1" applyBorder="1" applyAlignment="1">
      <alignment horizontal="right"/>
    </xf>
    <xf numFmtId="171" fontId="9" fillId="0" borderId="16" xfId="11" applyNumberFormat="1" applyFont="1" applyBorder="1"/>
    <xf numFmtId="171" fontId="9" fillId="0" borderId="0" xfId="11" applyNumberFormat="1" applyFont="1"/>
    <xf numFmtId="172" fontId="9" fillId="0" borderId="38" xfId="1" applyNumberFormat="1" applyFont="1" applyFill="1" applyBorder="1"/>
    <xf numFmtId="172" fontId="9" fillId="0" borderId="0" xfId="1" applyNumberFormat="1" applyFont="1" applyFill="1" applyBorder="1"/>
    <xf numFmtId="171" fontId="5" fillId="0" borderId="16" xfId="11" applyNumberFormat="1" applyFont="1" applyBorder="1"/>
    <xf numFmtId="171" fontId="5" fillId="0" borderId="0" xfId="11" applyNumberFormat="1" applyFont="1"/>
    <xf numFmtId="171" fontId="5" fillId="0" borderId="18" xfId="20" applyNumberFormat="1" applyFont="1" applyBorder="1" applyAlignment="1">
      <alignment horizontal="right"/>
    </xf>
    <xf numFmtId="165" fontId="9" fillId="3" borderId="38" xfId="21" applyNumberFormat="1" applyFont="1" applyFill="1" applyBorder="1"/>
    <xf numFmtId="164" fontId="5" fillId="0" borderId="18" xfId="20" applyNumberFormat="1" applyFont="1" applyBorder="1" applyAlignment="1">
      <alignment horizontal="right"/>
    </xf>
    <xf numFmtId="0" fontId="5" fillId="0" borderId="40" xfId="11" applyFont="1" applyBorder="1" applyAlignment="1">
      <alignment horizontal="center"/>
    </xf>
    <xf numFmtId="164" fontId="9" fillId="2" borderId="25" xfId="2" applyNumberFormat="1" applyFont="1" applyFill="1" applyBorder="1" applyAlignment="1">
      <alignment horizontal="right" vertical="center"/>
    </xf>
    <xf numFmtId="164" fontId="9" fillId="0" borderId="25" xfId="11" applyNumberFormat="1" applyFont="1" applyBorder="1" applyAlignment="1">
      <alignment vertical="center"/>
    </xf>
    <xf numFmtId="0" fontId="5" fillId="0" borderId="14" xfId="11" applyFont="1" applyBorder="1" applyAlignment="1">
      <alignment horizontal="center"/>
    </xf>
    <xf numFmtId="171" fontId="9" fillId="0" borderId="25" xfId="11" applyNumberFormat="1" applyFont="1" applyBorder="1"/>
    <xf numFmtId="171" fontId="5" fillId="0" borderId="25" xfId="11" applyNumberFormat="1" applyFont="1" applyBorder="1"/>
    <xf numFmtId="164" fontId="9" fillId="0" borderId="18" xfId="2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9" fillId="0" borderId="41" xfId="31" applyFont="1" applyBorder="1" applyAlignment="1">
      <alignment horizontal="center"/>
    </xf>
    <xf numFmtId="10" fontId="9" fillId="2" borderId="0" xfId="19" applyNumberFormat="1" applyFont="1" applyFill="1" applyAlignment="1">
      <alignment horizontal="right" vertical="center"/>
    </xf>
    <xf numFmtId="10" fontId="9" fillId="0" borderId="0" xfId="19" applyNumberFormat="1" applyFont="1" applyFill="1" applyAlignment="1">
      <alignment horizontal="right"/>
    </xf>
    <xf numFmtId="10" fontId="9" fillId="3" borderId="0" xfId="19" applyNumberFormat="1" applyFont="1" applyFill="1" applyAlignment="1">
      <alignment horizontal="right" vertical="center"/>
    </xf>
    <xf numFmtId="10" fontId="9" fillId="3" borderId="0" xfId="31" applyNumberFormat="1" applyFont="1" applyFill="1" applyAlignment="1">
      <alignment horizontal="right" vertical="center"/>
    </xf>
    <xf numFmtId="10" fontId="9" fillId="2" borderId="33" xfId="31" applyNumberFormat="1" applyFont="1" applyFill="1" applyBorder="1" applyAlignment="1">
      <alignment horizontal="right" vertical="center"/>
    </xf>
    <xf numFmtId="0" fontId="27" fillId="0" borderId="0" xfId="31" applyFont="1" applyProtection="1">
      <protection locked="0"/>
    </xf>
    <xf numFmtId="0" fontId="27" fillId="0" borderId="0" xfId="31" applyFont="1" applyAlignment="1" applyProtection="1">
      <alignment vertical="center"/>
      <protection locked="0"/>
    </xf>
    <xf numFmtId="10" fontId="9" fillId="0" borderId="0" xfId="31" applyNumberFormat="1" applyFont="1" applyAlignment="1">
      <alignment horizontal="right" vertical="center"/>
    </xf>
    <xf numFmtId="10" fontId="7" fillId="0" borderId="0" xfId="3" applyNumberFormat="1" applyFont="1"/>
    <xf numFmtId="5" fontId="28" fillId="0" borderId="0" xfId="31" applyNumberFormat="1" applyFont="1" applyAlignment="1" applyProtection="1">
      <alignment horizontal="right" vertical="center"/>
      <protection locked="0"/>
    </xf>
    <xf numFmtId="5" fontId="28" fillId="0" borderId="0" xfId="31" applyNumberFormat="1" applyFont="1" applyAlignment="1" applyProtection="1">
      <alignment horizontal="right"/>
      <protection locked="0"/>
    </xf>
    <xf numFmtId="164" fontId="9" fillId="3" borderId="33" xfId="13" applyNumberFormat="1" applyFont="1" applyFill="1" applyBorder="1" applyAlignment="1">
      <alignment horizontal="right" vertical="center"/>
    </xf>
    <xf numFmtId="164" fontId="5" fillId="0" borderId="0" xfId="13" applyNumberFormat="1" applyFont="1" applyBorder="1" applyAlignment="1">
      <alignment horizontal="right" vertical="center"/>
    </xf>
    <xf numFmtId="164" fontId="5" fillId="0" borderId="0" xfId="13" applyNumberFormat="1" applyFont="1" applyBorder="1" applyAlignment="1">
      <alignment horizontal="right"/>
    </xf>
    <xf numFmtId="5" fontId="27" fillId="0" borderId="0" xfId="31" applyNumberFormat="1" applyFont="1" applyAlignment="1" applyProtection="1">
      <alignment horizontal="right" vertical="center"/>
      <protection locked="0"/>
    </xf>
    <xf numFmtId="5" fontId="27" fillId="0" borderId="0" xfId="31" applyNumberFormat="1" applyFont="1" applyAlignment="1" applyProtection="1">
      <alignment horizontal="right"/>
      <protection locked="0"/>
    </xf>
    <xf numFmtId="5" fontId="29" fillId="0" borderId="0" xfId="31" applyNumberFormat="1" applyFont="1" applyAlignment="1" applyProtection="1">
      <alignment horizontal="right" vertical="center"/>
      <protection locked="0"/>
    </xf>
    <xf numFmtId="5" fontId="29" fillId="0" borderId="0" xfId="31" applyNumberFormat="1" applyFont="1" applyAlignment="1" applyProtection="1">
      <alignment horizontal="right"/>
      <protection locked="0"/>
    </xf>
    <xf numFmtId="10" fontId="9" fillId="2" borderId="0" xfId="22" applyNumberFormat="1" applyFont="1" applyFill="1" applyBorder="1" applyAlignment="1">
      <alignment horizontal="right" vertical="center"/>
    </xf>
    <xf numFmtId="1" fontId="5" fillId="0" borderId="0" xfId="31" applyNumberFormat="1" applyFont="1" applyAlignment="1">
      <alignment horizontal="center"/>
    </xf>
    <xf numFmtId="0" fontId="5" fillId="0" borderId="42" xfId="31" applyFont="1" applyBorder="1" applyAlignment="1">
      <alignment horizontal="center"/>
    </xf>
    <xf numFmtId="164" fontId="9" fillId="2" borderId="0" xfId="13" applyNumberFormat="1" applyFont="1" applyFill="1" applyAlignment="1">
      <alignment horizontal="center" vertical="center"/>
    </xf>
    <xf numFmtId="165" fontId="9" fillId="2" borderId="36" xfId="1" applyNumberFormat="1" applyFont="1" applyFill="1" applyBorder="1" applyAlignment="1">
      <alignment horizontal="center" vertical="center"/>
    </xf>
    <xf numFmtId="165" fontId="30" fillId="0" borderId="0" xfId="14" applyNumberFormat="1" applyFont="1" applyBorder="1" applyAlignment="1">
      <alignment vertical="center"/>
    </xf>
    <xf numFmtId="165" fontId="30" fillId="0" borderId="0" xfId="14" applyNumberFormat="1" applyFont="1" applyBorder="1"/>
    <xf numFmtId="164" fontId="9" fillId="0" borderId="0" xfId="20" applyNumberFormat="1" applyFont="1" applyAlignment="1">
      <alignment vertical="center"/>
    </xf>
    <xf numFmtId="164" fontId="5" fillId="0" borderId="0" xfId="20" applyNumberFormat="1" applyFont="1"/>
    <xf numFmtId="165" fontId="5" fillId="0" borderId="0" xfId="31" applyNumberFormat="1" applyFont="1" applyAlignment="1">
      <alignment vertical="center"/>
    </xf>
    <xf numFmtId="165" fontId="5" fillId="0" borderId="0" xfId="31" applyNumberFormat="1" applyFont="1"/>
    <xf numFmtId="10" fontId="9" fillId="0" borderId="36" xfId="31" applyNumberFormat="1" applyFont="1" applyBorder="1" applyAlignment="1">
      <alignment horizontal="right" vertical="center"/>
    </xf>
    <xf numFmtId="10" fontId="18" fillId="0" borderId="0" xfId="19" applyNumberFormat="1" applyFont="1" applyBorder="1" applyAlignment="1" applyProtection="1">
      <alignment vertical="center"/>
    </xf>
    <xf numFmtId="10" fontId="18" fillId="0" borderId="0" xfId="19" applyNumberFormat="1" applyFont="1" applyBorder="1" applyProtection="1"/>
    <xf numFmtId="164" fontId="5" fillId="0" borderId="0" xfId="20" applyNumberFormat="1" applyFont="1" applyBorder="1" applyAlignment="1">
      <alignment horizontal="right"/>
    </xf>
    <xf numFmtId="10" fontId="9" fillId="0" borderId="0" xfId="19" applyNumberFormat="1" applyFont="1" applyBorder="1" applyProtection="1"/>
    <xf numFmtId="10" fontId="9" fillId="2" borderId="36" xfId="31" applyNumberFormat="1" applyFont="1" applyFill="1" applyBorder="1" applyAlignment="1">
      <alignment horizontal="right" vertical="center"/>
    </xf>
    <xf numFmtId="42" fontId="9" fillId="0" borderId="0" xfId="31" applyNumberFormat="1" applyFont="1" applyAlignment="1">
      <alignment horizontal="right" vertical="center"/>
    </xf>
    <xf numFmtId="42" fontId="5" fillId="0" borderId="0" xfId="31" applyNumberFormat="1" applyFont="1" applyAlignment="1">
      <alignment horizontal="right"/>
    </xf>
    <xf numFmtId="0" fontId="5" fillId="0" borderId="21" xfId="31" applyFont="1" applyBorder="1" applyAlignment="1">
      <alignment vertical="center"/>
    </xf>
    <xf numFmtId="0" fontId="18" fillId="0" borderId="0" xfId="31" applyFont="1" applyAlignment="1">
      <alignment horizontal="left"/>
    </xf>
    <xf numFmtId="10" fontId="9" fillId="3" borderId="0" xfId="31" applyNumberFormat="1" applyFont="1" applyFill="1" applyAlignment="1">
      <alignment vertical="center"/>
    </xf>
    <xf numFmtId="10" fontId="9" fillId="0" borderId="0" xfId="31" applyNumberFormat="1" applyFont="1" applyAlignment="1">
      <alignment vertical="center"/>
    </xf>
    <xf numFmtId="10" fontId="9" fillId="0" borderId="0" xfId="31" applyNumberFormat="1" applyFont="1"/>
    <xf numFmtId="10" fontId="5" fillId="0" borderId="0" xfId="31" applyNumberFormat="1" applyFont="1" applyAlignment="1">
      <alignment horizontal="center" vertical="center"/>
    </xf>
    <xf numFmtId="10" fontId="5" fillId="0" borderId="0" xfId="31" applyNumberFormat="1" applyFont="1" applyAlignment="1">
      <alignment horizontal="center"/>
    </xf>
    <xf numFmtId="0" fontId="28" fillId="0" borderId="0" xfId="31" applyFont="1" applyProtection="1">
      <protection locked="0"/>
    </xf>
    <xf numFmtId="0" fontId="5" fillId="0" borderId="21" xfId="31" applyFont="1" applyBorder="1" applyAlignment="1">
      <alignment horizontal="center" vertical="center"/>
    </xf>
    <xf numFmtId="10" fontId="9" fillId="0" borderId="2" xfId="31" applyNumberFormat="1" applyFont="1" applyBorder="1" applyAlignment="1">
      <alignment horizontal="right" vertical="center"/>
    </xf>
    <xf numFmtId="10" fontId="5" fillId="0" borderId="0" xfId="31" applyNumberFormat="1" applyFont="1" applyAlignment="1">
      <alignment horizontal="right"/>
    </xf>
    <xf numFmtId="10" fontId="5" fillId="0" borderId="0" xfId="31" applyNumberFormat="1" applyFont="1" applyAlignment="1">
      <alignment vertical="center"/>
    </xf>
    <xf numFmtId="10" fontId="5" fillId="0" borderId="0" xfId="31" applyNumberFormat="1" applyFont="1"/>
    <xf numFmtId="164" fontId="9" fillId="2" borderId="0" xfId="13" applyNumberFormat="1" applyFont="1" applyFill="1" applyBorder="1" applyAlignment="1">
      <alignment vertical="center"/>
    </xf>
    <xf numFmtId="5" fontId="28" fillId="0" borderId="0" xfId="31" applyNumberFormat="1" applyFont="1" applyAlignment="1" applyProtection="1">
      <alignment horizontal="center" vertical="center"/>
      <protection locked="0"/>
    </xf>
    <xf numFmtId="5" fontId="28" fillId="0" borderId="0" xfId="31" applyNumberFormat="1" applyFont="1" applyAlignment="1" applyProtection="1">
      <alignment horizontal="center"/>
      <protection locked="0"/>
    </xf>
    <xf numFmtId="164" fontId="9" fillId="0" borderId="0" xfId="13" applyNumberFormat="1" applyFont="1" applyFill="1" applyBorder="1" applyAlignment="1">
      <alignment vertical="center"/>
    </xf>
    <xf numFmtId="164" fontId="9" fillId="0" borderId="0" xfId="13" applyNumberFormat="1" applyFont="1" applyFill="1" applyBorder="1"/>
    <xf numFmtId="5" fontId="9" fillId="0" borderId="21" xfId="31" applyNumberFormat="1" applyFont="1" applyBorder="1" applyAlignment="1">
      <alignment horizontal="center" vertical="center"/>
    </xf>
    <xf numFmtId="5" fontId="5" fillId="0" borderId="0" xfId="31" applyNumberFormat="1" applyFont="1" applyAlignment="1">
      <alignment horizontal="center"/>
    </xf>
    <xf numFmtId="10" fontId="9" fillId="0" borderId="2" xfId="22" applyNumberFormat="1" applyFont="1" applyFill="1" applyBorder="1" applyAlignment="1" applyProtection="1">
      <alignment horizontal="right" vertical="center"/>
    </xf>
    <xf numFmtId="10" fontId="5" fillId="0" borderId="0" xfId="22" applyNumberFormat="1" applyFont="1" applyFill="1" applyBorder="1" applyAlignment="1" applyProtection="1">
      <alignment horizontal="right"/>
    </xf>
    <xf numFmtId="5" fontId="5" fillId="0" borderId="0" xfId="31" applyNumberFormat="1" applyFont="1" applyAlignment="1">
      <alignment horizontal="center" vertical="center"/>
    </xf>
    <xf numFmtId="164" fontId="9" fillId="3" borderId="0" xfId="13" applyNumberFormat="1" applyFont="1" applyFill="1" applyBorder="1" applyAlignment="1">
      <alignment vertical="center"/>
    </xf>
    <xf numFmtId="0" fontId="9" fillId="0" borderId="0" xfId="31" applyFont="1" applyAlignment="1">
      <alignment horizontal="right" vertical="center"/>
    </xf>
    <xf numFmtId="0" fontId="9" fillId="0" borderId="0" xfId="31" applyFont="1" applyAlignment="1">
      <alignment horizontal="right"/>
    </xf>
    <xf numFmtId="169" fontId="9" fillId="2" borderId="36" xfId="31" applyNumberFormat="1" applyFont="1" applyFill="1" applyBorder="1" applyAlignment="1">
      <alignment horizontal="right" vertical="center"/>
    </xf>
    <xf numFmtId="10" fontId="18" fillId="0" borderId="0" xfId="19" applyNumberFormat="1" applyFont="1" applyAlignment="1">
      <alignment horizontal="right" vertical="center"/>
    </xf>
    <xf numFmtId="10" fontId="18" fillId="0" borderId="0" xfId="19" applyNumberFormat="1" applyFont="1" applyAlignment="1">
      <alignment horizontal="right"/>
    </xf>
    <xf numFmtId="164" fontId="9" fillId="0" borderId="0" xfId="13" applyNumberFormat="1" applyFont="1" applyFill="1" applyBorder="1" applyAlignment="1">
      <alignment horizontal="right" vertical="center"/>
    </xf>
    <xf numFmtId="164" fontId="9" fillId="0" borderId="0" xfId="13" applyNumberFormat="1" applyFont="1" applyFill="1" applyBorder="1" applyAlignment="1">
      <alignment horizontal="right"/>
    </xf>
    <xf numFmtId="37" fontId="5" fillId="0" borderId="0" xfId="19" applyNumberFormat="1" applyFont="1" applyAlignment="1">
      <alignment horizontal="right" vertical="center"/>
    </xf>
    <xf numFmtId="37" fontId="5" fillId="0" borderId="0" xfId="19" applyNumberFormat="1" applyFont="1" applyAlignment="1">
      <alignment horizontal="right"/>
    </xf>
    <xf numFmtId="164" fontId="9" fillId="0" borderId="0" xfId="31" applyNumberFormat="1" applyFont="1" applyAlignment="1">
      <alignment horizontal="right" vertical="center"/>
    </xf>
    <xf numFmtId="164" fontId="9" fillId="0" borderId="0" xfId="31" applyNumberFormat="1" applyFont="1" applyAlignment="1">
      <alignment horizontal="right"/>
    </xf>
    <xf numFmtId="165" fontId="5" fillId="0" borderId="21" xfId="19" applyNumberFormat="1" applyFont="1" applyBorder="1" applyAlignment="1">
      <alignment horizontal="right" vertical="center"/>
    </xf>
    <xf numFmtId="165" fontId="5" fillId="0" borderId="0" xfId="19" applyNumberFormat="1" applyFont="1" applyBorder="1" applyAlignment="1">
      <alignment horizontal="right"/>
    </xf>
    <xf numFmtId="0" fontId="14" fillId="0" borderId="0" xfId="31" applyFont="1" applyAlignment="1">
      <alignment horizontal="center"/>
    </xf>
    <xf numFmtId="0" fontId="3" fillId="0" borderId="0" xfId="23" applyFont="1" applyAlignment="1">
      <alignment horizontal="center" vertical="center"/>
    </xf>
    <xf numFmtId="5" fontId="3" fillId="0" borderId="0" xfId="23" applyNumberFormat="1" applyFont="1" applyAlignment="1">
      <alignment horizontal="center" vertical="center"/>
    </xf>
    <xf numFmtId="0" fontId="3" fillId="0" borderId="0" xfId="23" applyFont="1"/>
    <xf numFmtId="0" fontId="3" fillId="0" borderId="0" xfId="23" applyFont="1" applyAlignment="1">
      <alignment horizontal="center"/>
    </xf>
    <xf numFmtId="0" fontId="3" fillId="0" borderId="12" xfId="23" applyFont="1" applyBorder="1" applyAlignment="1">
      <alignment horizontal="center" vertical="center"/>
    </xf>
    <xf numFmtId="0" fontId="3" fillId="0" borderId="7" xfId="23" applyFont="1" applyBorder="1"/>
    <xf numFmtId="0" fontId="3" fillId="0" borderId="45" xfId="23" applyFont="1" applyBorder="1"/>
    <xf numFmtId="0" fontId="3" fillId="0" borderId="11" xfId="23" applyFont="1" applyBorder="1" applyAlignment="1">
      <alignment horizontal="center" vertical="center"/>
    </xf>
    <xf numFmtId="0" fontId="7" fillId="0" borderId="12" xfId="23" applyFont="1" applyBorder="1" applyAlignment="1">
      <alignment horizontal="center" vertical="center"/>
    </xf>
    <xf numFmtId="0" fontId="3" fillId="0" borderId="17" xfId="23" applyFont="1" applyBorder="1" applyAlignment="1">
      <alignment horizontal="center"/>
    </xf>
    <xf numFmtId="0" fontId="3" fillId="0" borderId="25" xfId="23" applyFont="1" applyBorder="1" applyAlignment="1">
      <alignment horizontal="center"/>
    </xf>
    <xf numFmtId="0" fontId="3" fillId="0" borderId="16" xfId="23" applyFont="1" applyBorder="1" applyAlignment="1">
      <alignment horizontal="center"/>
    </xf>
    <xf numFmtId="0" fontId="7" fillId="0" borderId="11" xfId="23" applyFont="1" applyBorder="1" applyAlignment="1">
      <alignment horizontal="center" vertical="center"/>
    </xf>
    <xf numFmtId="0" fontId="3" fillId="0" borderId="33" xfId="23" applyFont="1" applyBorder="1" applyAlignment="1">
      <alignment horizontal="center"/>
    </xf>
    <xf numFmtId="17" fontId="3" fillId="0" borderId="40" xfId="23" applyNumberFormat="1" applyFont="1" applyBorder="1" applyAlignment="1">
      <alignment horizontal="center"/>
    </xf>
    <xf numFmtId="17" fontId="3" fillId="0" borderId="33" xfId="23" applyNumberFormat="1" applyFont="1" applyBorder="1" applyAlignment="1">
      <alignment horizontal="center"/>
    </xf>
    <xf numFmtId="17" fontId="3" fillId="0" borderId="34" xfId="23" applyNumberFormat="1" applyFont="1" applyBorder="1" applyAlignment="1">
      <alignment horizontal="center"/>
    </xf>
    <xf numFmtId="0" fontId="3" fillId="0" borderId="38" xfId="23" applyFont="1" applyBorder="1" applyAlignment="1">
      <alignment horizontal="center"/>
    </xf>
    <xf numFmtId="0" fontId="8" fillId="0" borderId="0" xfId="23" applyFont="1" applyAlignment="1">
      <alignment horizontal="center"/>
    </xf>
    <xf numFmtId="17" fontId="8" fillId="0" borderId="17" xfId="23" applyNumberFormat="1" applyFont="1" applyBorder="1" applyAlignment="1">
      <alignment horizontal="center"/>
    </xf>
    <xf numFmtId="17" fontId="8" fillId="0" borderId="0" xfId="23" applyNumberFormat="1" applyFont="1" applyAlignment="1">
      <alignment horizontal="center"/>
    </xf>
    <xf numFmtId="17" fontId="8" fillId="0" borderId="25" xfId="23" applyNumberFormat="1" applyFont="1" applyBorder="1" applyAlignment="1">
      <alignment horizontal="center"/>
    </xf>
    <xf numFmtId="0" fontId="3" fillId="0" borderId="25" xfId="23" applyFont="1" applyBorder="1"/>
    <xf numFmtId="0" fontId="8" fillId="0" borderId="16" xfId="23" applyFont="1" applyBorder="1" applyAlignment="1">
      <alignment horizontal="center"/>
    </xf>
    <xf numFmtId="171" fontId="9" fillId="0" borderId="17" xfId="13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Fill="1" applyBorder="1" applyAlignment="1" applyProtection="1">
      <alignment horizontal="right" vertical="center"/>
      <protection locked="0"/>
    </xf>
    <xf numFmtId="164" fontId="9" fillId="0" borderId="25" xfId="13" applyNumberFormat="1" applyFont="1" applyFill="1" applyBorder="1" applyAlignment="1" applyProtection="1">
      <alignment horizontal="right" vertical="center"/>
      <protection locked="0"/>
    </xf>
    <xf numFmtId="164" fontId="9" fillId="0" borderId="17" xfId="13" applyNumberFormat="1" applyFont="1" applyFill="1" applyBorder="1" applyAlignment="1" applyProtection="1">
      <alignment horizontal="right" vertical="center"/>
      <protection locked="0"/>
    </xf>
    <xf numFmtId="0" fontId="3" fillId="0" borderId="16" xfId="23" applyFont="1" applyBorder="1" applyAlignment="1">
      <alignment horizontal="center" vertical="center"/>
    </xf>
    <xf numFmtId="0" fontId="7" fillId="0" borderId="0" xfId="23" applyFont="1" applyAlignment="1">
      <alignment horizontal="center"/>
    </xf>
    <xf numFmtId="0" fontId="3" fillId="0" borderId="17" xfId="23" applyFont="1" applyBorder="1" applyAlignment="1">
      <alignment vertical="center"/>
    </xf>
    <xf numFmtId="0" fontId="3" fillId="0" borderId="0" xfId="23" applyFont="1" applyAlignment="1">
      <alignment vertical="center"/>
    </xf>
    <xf numFmtId="0" fontId="3" fillId="0" borderId="25" xfId="23" applyFont="1" applyBorder="1" applyAlignment="1">
      <alignment vertical="center"/>
    </xf>
    <xf numFmtId="0" fontId="3" fillId="0" borderId="16" xfId="23" applyFont="1" applyBorder="1" applyAlignment="1">
      <alignment vertical="center"/>
    </xf>
    <xf numFmtId="164" fontId="9" fillId="2" borderId="17" xfId="13" applyNumberFormat="1" applyFont="1" applyFill="1" applyBorder="1" applyAlignment="1" applyProtection="1">
      <alignment horizontal="right" vertical="center"/>
      <protection locked="0"/>
    </xf>
    <xf numFmtId="165" fontId="9" fillId="2" borderId="25" xfId="1" applyNumberFormat="1" applyFont="1" applyFill="1" applyBorder="1" applyAlignment="1" applyProtection="1">
      <alignment horizontal="right" vertical="center"/>
      <protection locked="0"/>
    </xf>
    <xf numFmtId="165" fontId="9" fillId="2" borderId="17" xfId="35" applyNumberFormat="1" applyFont="1" applyFill="1" applyBorder="1" applyAlignment="1" applyProtection="1">
      <alignment horizontal="right" vertical="center"/>
      <protection locked="0"/>
    </xf>
    <xf numFmtId="165" fontId="9" fillId="2" borderId="0" xfId="35" applyNumberFormat="1" applyFont="1" applyFill="1" applyBorder="1" applyAlignment="1" applyProtection="1">
      <alignment horizontal="right" vertical="center"/>
      <protection locked="0"/>
    </xf>
    <xf numFmtId="165" fontId="9" fillId="2" borderId="25" xfId="35" applyNumberFormat="1" applyFont="1" applyFill="1" applyBorder="1" applyAlignment="1" applyProtection="1">
      <alignment horizontal="right" vertical="center"/>
      <protection locked="0"/>
    </xf>
    <xf numFmtId="164" fontId="9" fillId="0" borderId="16" xfId="13" applyNumberFormat="1" applyFont="1" applyFill="1" applyBorder="1" applyAlignment="1" applyProtection="1">
      <alignment horizontal="right" vertical="center"/>
      <protection locked="0"/>
    </xf>
    <xf numFmtId="165" fontId="3" fillId="0" borderId="17" xfId="36" applyNumberFormat="1" applyFont="1" applyFill="1" applyBorder="1" applyAlignment="1">
      <alignment vertical="center"/>
    </xf>
    <xf numFmtId="165" fontId="3" fillId="0" borderId="0" xfId="36" applyNumberFormat="1" applyFont="1" applyFill="1" applyBorder="1" applyAlignment="1">
      <alignment vertical="center"/>
    </xf>
    <xf numFmtId="165" fontId="3" fillId="0" borderId="25" xfId="36" applyNumberFormat="1" applyFont="1" applyFill="1" applyBorder="1" applyAlignment="1">
      <alignment vertical="center"/>
    </xf>
    <xf numFmtId="1" fontId="3" fillId="0" borderId="25" xfId="23" applyNumberFormat="1" applyFont="1" applyBorder="1" applyAlignment="1">
      <alignment vertical="center"/>
    </xf>
    <xf numFmtId="164" fontId="3" fillId="0" borderId="16" xfId="36" applyNumberFormat="1" applyFont="1" applyBorder="1" applyAlignment="1">
      <alignment vertical="center"/>
    </xf>
    <xf numFmtId="164" fontId="3" fillId="0" borderId="0" xfId="36" applyNumberFormat="1" applyFont="1" applyBorder="1" applyAlignment="1">
      <alignment vertical="center"/>
    </xf>
    <xf numFmtId="0" fontId="7" fillId="0" borderId="0" xfId="23" applyFont="1"/>
    <xf numFmtId="165" fontId="9" fillId="0" borderId="0" xfId="35" applyNumberFormat="1" applyFont="1" applyFill="1" applyBorder="1" applyAlignment="1" applyProtection="1">
      <alignment horizontal="right" vertical="center"/>
      <protection locked="0"/>
    </xf>
    <xf numFmtId="165" fontId="9" fillId="0" borderId="25" xfId="35" applyNumberFormat="1" applyFont="1" applyFill="1" applyBorder="1" applyAlignment="1" applyProtection="1">
      <alignment horizontal="right" vertical="center"/>
      <protection locked="0"/>
    </xf>
    <xf numFmtId="165" fontId="9" fillId="0" borderId="16" xfId="1" applyNumberFormat="1" applyFont="1" applyFill="1" applyBorder="1" applyAlignment="1" applyProtection="1">
      <alignment horizontal="right" vertical="center"/>
      <protection locked="0"/>
    </xf>
    <xf numFmtId="165" fontId="9" fillId="0" borderId="0" xfId="1" applyNumberFormat="1" applyFont="1" applyFill="1" applyBorder="1" applyAlignment="1" applyProtection="1">
      <alignment horizontal="right" vertical="center"/>
      <protection locked="0"/>
    </xf>
    <xf numFmtId="165" fontId="9" fillId="2" borderId="17" xfId="1" applyNumberFormat="1" applyFont="1" applyFill="1" applyBorder="1" applyAlignment="1" applyProtection="1">
      <alignment horizontal="right" vertical="center"/>
      <protection locked="0"/>
    </xf>
    <xf numFmtId="165" fontId="7" fillId="2" borderId="0" xfId="36" applyNumberFormat="1" applyFont="1" applyFill="1" applyBorder="1" applyAlignment="1">
      <alignment vertical="center"/>
    </xf>
    <xf numFmtId="165" fontId="7" fillId="2" borderId="25" xfId="36" applyNumberFormat="1" applyFont="1" applyFill="1" applyBorder="1" applyAlignment="1">
      <alignment vertical="center"/>
    </xf>
    <xf numFmtId="0" fontId="7" fillId="0" borderId="0" xfId="37" applyFont="1"/>
    <xf numFmtId="165" fontId="9" fillId="0" borderId="17" xfId="1" applyNumberFormat="1" applyFont="1" applyFill="1" applyBorder="1" applyAlignment="1" applyProtection="1">
      <alignment horizontal="right" vertical="center"/>
      <protection locked="0"/>
    </xf>
    <xf numFmtId="1" fontId="3" fillId="0" borderId="0" xfId="36" applyNumberFormat="1" applyFont="1" applyFill="1" applyBorder="1" applyAlignment="1">
      <alignment vertical="center"/>
    </xf>
    <xf numFmtId="1" fontId="3" fillId="0" borderId="25" xfId="36" applyNumberFormat="1" applyFont="1" applyFill="1" applyBorder="1" applyAlignment="1">
      <alignment vertical="center"/>
    </xf>
    <xf numFmtId="164" fontId="9" fillId="0" borderId="17" xfId="38" applyNumberFormat="1" applyFont="1" applyFill="1" applyBorder="1" applyAlignment="1" applyProtection="1">
      <alignment horizontal="right" vertical="center"/>
      <protection locked="0"/>
    </xf>
    <xf numFmtId="164" fontId="9" fillId="0" borderId="0" xfId="38" applyNumberFormat="1" applyFont="1" applyFill="1" applyBorder="1" applyAlignment="1" applyProtection="1">
      <alignment horizontal="right" vertical="center"/>
      <protection locked="0"/>
    </xf>
    <xf numFmtId="164" fontId="9" fillId="0" borderId="25" xfId="38" applyNumberFormat="1" applyFont="1" applyFill="1" applyBorder="1" applyAlignment="1" applyProtection="1">
      <alignment horizontal="right" vertical="center"/>
      <protection locked="0"/>
    </xf>
    <xf numFmtId="1" fontId="9" fillId="2" borderId="0" xfId="13" applyNumberFormat="1" applyFont="1" applyFill="1" applyBorder="1" applyAlignment="1" applyProtection="1">
      <alignment horizontal="right" vertical="center"/>
      <protection locked="0"/>
    </xf>
    <xf numFmtId="1" fontId="9" fillId="2" borderId="25" xfId="13" applyNumberFormat="1" applyFont="1" applyFill="1" applyBorder="1" applyAlignment="1" applyProtection="1">
      <alignment horizontal="right" vertical="center"/>
      <protection locked="0"/>
    </xf>
    <xf numFmtId="165" fontId="9" fillId="0" borderId="25" xfId="1" applyNumberFormat="1" applyFont="1" applyFill="1" applyBorder="1" applyAlignment="1" applyProtection="1">
      <alignment horizontal="right" vertical="center"/>
      <protection locked="0"/>
    </xf>
    <xf numFmtId="165" fontId="7" fillId="2" borderId="17" xfId="1" applyNumberFormat="1" applyFont="1" applyFill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164" fontId="5" fillId="0" borderId="0" xfId="13" applyNumberFormat="1" applyFont="1" applyFill="1" applyBorder="1" applyAlignment="1" applyProtection="1">
      <alignment horizontal="right" vertical="center"/>
      <protection locked="0"/>
    </xf>
    <xf numFmtId="1" fontId="3" fillId="0" borderId="0" xfId="23" applyNumberFormat="1" applyFont="1" applyAlignment="1">
      <alignment vertical="center"/>
    </xf>
    <xf numFmtId="43" fontId="7" fillId="0" borderId="16" xfId="1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165" fontId="3" fillId="0" borderId="40" xfId="36" applyNumberFormat="1" applyFont="1" applyFill="1" applyBorder="1" applyAlignment="1">
      <alignment vertical="center"/>
    </xf>
    <xf numFmtId="165" fontId="3" fillId="0" borderId="34" xfId="36" applyNumberFormat="1" applyFont="1" applyFill="1" applyBorder="1" applyAlignment="1">
      <alignment vertical="center"/>
    </xf>
    <xf numFmtId="165" fontId="7" fillId="2" borderId="40" xfId="36" applyNumberFormat="1" applyFont="1" applyFill="1" applyBorder="1" applyAlignment="1">
      <alignment vertical="center"/>
    </xf>
    <xf numFmtId="165" fontId="7" fillId="0" borderId="38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4" fontId="9" fillId="0" borderId="46" xfId="13" applyNumberFormat="1" applyFont="1" applyFill="1" applyBorder="1" applyAlignment="1" applyProtection="1">
      <alignment horizontal="right" vertical="center"/>
      <protection locked="0"/>
    </xf>
    <xf numFmtId="164" fontId="9" fillId="0" borderId="20" xfId="13" applyNumberFormat="1" applyFont="1" applyFill="1" applyBorder="1" applyAlignment="1" applyProtection="1">
      <alignment horizontal="right" vertical="center"/>
      <protection locked="0"/>
    </xf>
    <xf numFmtId="164" fontId="9" fillId="0" borderId="47" xfId="13" applyNumberFormat="1" applyFont="1" applyFill="1" applyBorder="1" applyAlignment="1" applyProtection="1">
      <alignment horizontal="right" vertical="center"/>
      <protection locked="0"/>
    </xf>
    <xf numFmtId="0" fontId="32" fillId="0" borderId="0" xfId="23" applyFont="1"/>
    <xf numFmtId="164" fontId="9" fillId="0" borderId="17" xfId="2" applyNumberFormat="1" applyFont="1" applyFill="1" applyBorder="1" applyAlignment="1" applyProtection="1">
      <alignment horizontal="right" vertical="center"/>
      <protection locked="0"/>
    </xf>
    <xf numFmtId="164" fontId="9" fillId="0" borderId="0" xfId="2" applyNumberFormat="1" applyFont="1" applyFill="1" applyBorder="1" applyAlignment="1" applyProtection="1">
      <alignment horizontal="right" vertical="center"/>
      <protection locked="0"/>
    </xf>
    <xf numFmtId="164" fontId="9" fillId="0" borderId="25" xfId="2" applyNumberFormat="1" applyFont="1" applyFill="1" applyBorder="1" applyAlignment="1" applyProtection="1">
      <alignment horizontal="right" vertical="center"/>
      <protection locked="0"/>
    </xf>
    <xf numFmtId="164" fontId="9" fillId="0" borderId="16" xfId="2" applyNumberFormat="1" applyFont="1" applyFill="1" applyBorder="1" applyAlignment="1" applyProtection="1">
      <alignment horizontal="right" vertical="center"/>
      <protection locked="0"/>
    </xf>
    <xf numFmtId="0" fontId="9" fillId="0" borderId="0" xfId="23" applyFont="1" applyAlignment="1">
      <alignment horizontal="center"/>
    </xf>
    <xf numFmtId="0" fontId="7" fillId="0" borderId="17" xfId="23" applyFont="1" applyBorder="1" applyAlignment="1">
      <alignment vertical="center"/>
    </xf>
    <xf numFmtId="0" fontId="7" fillId="0" borderId="0" xfId="23" applyFont="1" applyAlignment="1">
      <alignment vertical="center"/>
    </xf>
    <xf numFmtId="0" fontId="7" fillId="0" borderId="25" xfId="23" applyFont="1" applyBorder="1" applyAlignment="1">
      <alignment vertical="center"/>
    </xf>
    <xf numFmtId="164" fontId="3" fillId="0" borderId="16" xfId="23" applyNumberFormat="1" applyFont="1" applyBorder="1" applyAlignment="1">
      <alignment vertical="center"/>
    </xf>
    <xf numFmtId="164" fontId="3" fillId="0" borderId="0" xfId="23" applyNumberFormat="1" applyFont="1" applyAlignment="1">
      <alignment vertical="center"/>
    </xf>
    <xf numFmtId="165" fontId="5" fillId="2" borderId="17" xfId="1" applyNumberFormat="1" applyFont="1" applyFill="1" applyBorder="1" applyAlignment="1" applyProtection="1">
      <alignment horizontal="right" vertical="center"/>
      <protection locked="0"/>
    </xf>
    <xf numFmtId="165" fontId="5" fillId="2" borderId="25" xfId="1" applyNumberFormat="1" applyFont="1" applyFill="1" applyBorder="1" applyAlignment="1" applyProtection="1">
      <alignment horizontal="right" vertical="center"/>
      <protection locked="0"/>
    </xf>
    <xf numFmtId="165" fontId="5" fillId="0" borderId="16" xfId="1" applyNumberFormat="1" applyFont="1" applyFill="1" applyBorder="1" applyAlignment="1" applyProtection="1">
      <alignment horizontal="right" vertical="center"/>
      <protection locked="0"/>
    </xf>
    <xf numFmtId="44" fontId="7" fillId="0" borderId="0" xfId="0" applyNumberFormat="1" applyFont="1"/>
    <xf numFmtId="43" fontId="3" fillId="0" borderId="21" xfId="36" applyFont="1" applyFill="1" applyBorder="1" applyAlignment="1">
      <alignment vertical="center"/>
    </xf>
    <xf numFmtId="165" fontId="3" fillId="0" borderId="21" xfId="36" applyNumberFormat="1" applyFont="1" applyFill="1" applyBorder="1" applyAlignment="1">
      <alignment vertical="center"/>
    </xf>
    <xf numFmtId="165" fontId="3" fillId="0" borderId="26" xfId="36" applyNumberFormat="1" applyFont="1" applyFill="1" applyBorder="1" applyAlignment="1">
      <alignment vertical="center"/>
    </xf>
    <xf numFmtId="0" fontId="3" fillId="0" borderId="26" xfId="23" applyFont="1" applyBorder="1" applyAlignment="1">
      <alignment vertical="center"/>
    </xf>
    <xf numFmtId="164" fontId="3" fillId="0" borderId="27" xfId="23" applyNumberFormat="1" applyFont="1" applyBorder="1" applyAlignment="1">
      <alignment vertical="center"/>
    </xf>
    <xf numFmtId="164" fontId="5" fillId="0" borderId="31" xfId="13" applyNumberFormat="1" applyFont="1" applyFill="1" applyBorder="1" applyAlignment="1" applyProtection="1">
      <alignment horizontal="right" vertical="center"/>
      <protection locked="0"/>
    </xf>
    <xf numFmtId="164" fontId="5" fillId="0" borderId="2" xfId="13" applyNumberFormat="1" applyFont="1" applyFill="1" applyBorder="1" applyAlignment="1" applyProtection="1">
      <alignment horizontal="right" vertical="center"/>
      <protection locked="0"/>
    </xf>
    <xf numFmtId="164" fontId="5" fillId="0" borderId="32" xfId="13" applyNumberFormat="1" applyFont="1" applyFill="1" applyBorder="1" applyAlignment="1" applyProtection="1">
      <alignment horizontal="right" vertical="center"/>
      <protection locked="0"/>
    </xf>
    <xf numFmtId="164" fontId="5" fillId="0" borderId="18" xfId="13" applyNumberFormat="1" applyFont="1" applyFill="1" applyBorder="1" applyAlignment="1" applyProtection="1">
      <alignment horizontal="right" vertical="center"/>
      <protection locked="0"/>
    </xf>
    <xf numFmtId="0" fontId="3" fillId="0" borderId="17" xfId="23" applyFont="1" applyBorder="1"/>
    <xf numFmtId="164" fontId="3" fillId="0" borderId="16" xfId="23" applyNumberFormat="1" applyFont="1" applyBorder="1"/>
    <xf numFmtId="164" fontId="3" fillId="0" borderId="0" xfId="23" applyNumberFormat="1" applyFont="1"/>
    <xf numFmtId="0" fontId="3" fillId="0" borderId="4" xfId="23" applyFont="1" applyBorder="1"/>
    <xf numFmtId="0" fontId="3" fillId="0" borderId="14" xfId="23" applyFont="1" applyBorder="1"/>
    <xf numFmtId="0" fontId="3" fillId="0" borderId="23" xfId="23" applyFont="1" applyBorder="1"/>
    <xf numFmtId="164" fontId="3" fillId="0" borderId="13" xfId="23" applyNumberFormat="1" applyFont="1" applyBorder="1"/>
    <xf numFmtId="164" fontId="3" fillId="0" borderId="7" xfId="23" applyNumberFormat="1" applyFont="1" applyBorder="1"/>
    <xf numFmtId="0" fontId="3" fillId="0" borderId="5" xfId="23" applyFont="1" applyBorder="1"/>
    <xf numFmtId="164" fontId="9" fillId="0" borderId="17" xfId="13" applyNumberFormat="1" applyFont="1" applyFill="1" applyBorder="1" applyAlignment="1" applyProtection="1">
      <alignment horizontal="right"/>
      <protection locked="0"/>
    </xf>
    <xf numFmtId="164" fontId="9" fillId="0" borderId="25" xfId="13" applyNumberFormat="1" applyFont="1" applyFill="1" applyBorder="1" applyAlignment="1" applyProtection="1">
      <alignment horizontal="right"/>
      <protection locked="0"/>
    </xf>
    <xf numFmtId="165" fontId="9" fillId="0" borderId="40" xfId="1" applyNumberFormat="1" applyFont="1" applyFill="1" applyBorder="1" applyAlignment="1" applyProtection="1">
      <alignment horizontal="right"/>
      <protection locked="0"/>
    </xf>
    <xf numFmtId="165" fontId="9" fillId="0" borderId="33" xfId="1" applyNumberFormat="1" applyFont="1" applyFill="1" applyBorder="1" applyAlignment="1" applyProtection="1">
      <alignment horizontal="right"/>
      <protection locked="0"/>
    </xf>
    <xf numFmtId="165" fontId="9" fillId="0" borderId="34" xfId="1" applyNumberFormat="1" applyFont="1" applyFill="1" applyBorder="1" applyAlignment="1" applyProtection="1">
      <alignment horizontal="right"/>
      <protection locked="0"/>
    </xf>
    <xf numFmtId="165" fontId="9" fillId="0" borderId="0" xfId="1" applyNumberFormat="1" applyFont="1" applyFill="1" applyBorder="1" applyAlignment="1" applyProtection="1">
      <alignment horizontal="right"/>
      <protection locked="0"/>
    </xf>
    <xf numFmtId="164" fontId="9" fillId="0" borderId="21" xfId="13" applyNumberFormat="1" applyFont="1" applyFill="1" applyBorder="1" applyAlignment="1" applyProtection="1">
      <alignment horizontal="right"/>
      <protection locked="0"/>
    </xf>
    <xf numFmtId="164" fontId="9" fillId="0" borderId="26" xfId="13" applyNumberFormat="1" applyFont="1" applyFill="1" applyBorder="1" applyAlignment="1" applyProtection="1">
      <alignment horizontal="right"/>
      <protection locked="0"/>
    </xf>
    <xf numFmtId="10" fontId="7" fillId="3" borderId="40" xfId="39" applyNumberFormat="1" applyFont="1" applyFill="1" applyBorder="1"/>
    <xf numFmtId="10" fontId="7" fillId="3" borderId="33" xfId="23" applyNumberFormat="1" applyFont="1" applyFill="1" applyBorder="1"/>
    <xf numFmtId="10" fontId="7" fillId="3" borderId="33" xfId="39" applyNumberFormat="1" applyFont="1" applyFill="1" applyBorder="1"/>
    <xf numFmtId="10" fontId="7" fillId="3" borderId="34" xfId="39" applyNumberFormat="1" applyFont="1" applyFill="1" applyBorder="1"/>
    <xf numFmtId="10" fontId="7" fillId="3" borderId="34" xfId="23" applyNumberFormat="1" applyFont="1" applyFill="1" applyBorder="1"/>
    <xf numFmtId="44" fontId="9" fillId="0" borderId="46" xfId="13" applyFont="1" applyFill="1" applyBorder="1" applyAlignment="1" applyProtection="1">
      <alignment horizontal="right"/>
      <protection locked="0"/>
    </xf>
    <xf numFmtId="44" fontId="9" fillId="0" borderId="20" xfId="13" applyFont="1" applyFill="1" applyBorder="1" applyAlignment="1" applyProtection="1">
      <alignment horizontal="right"/>
      <protection locked="0"/>
    </xf>
    <xf numFmtId="164" fontId="9" fillId="0" borderId="38" xfId="13" applyNumberFormat="1" applyFont="1" applyFill="1" applyBorder="1" applyAlignment="1" applyProtection="1">
      <alignment horizontal="right"/>
      <protection locked="0"/>
    </xf>
    <xf numFmtId="164" fontId="5" fillId="0" borderId="31" xfId="13" applyNumberFormat="1" applyFont="1" applyFill="1" applyBorder="1" applyAlignment="1" applyProtection="1">
      <alignment horizontal="right"/>
      <protection locked="0"/>
    </xf>
    <xf numFmtId="164" fontId="5" fillId="0" borderId="2" xfId="13" applyNumberFormat="1" applyFont="1" applyFill="1" applyBorder="1" applyAlignment="1" applyProtection="1">
      <alignment horizontal="right"/>
      <protection locked="0"/>
    </xf>
    <xf numFmtId="164" fontId="5" fillId="0" borderId="32" xfId="13" applyNumberFormat="1" applyFont="1" applyFill="1" applyBorder="1" applyAlignment="1" applyProtection="1">
      <alignment horizontal="right"/>
      <protection locked="0"/>
    </xf>
    <xf numFmtId="164" fontId="5" fillId="0" borderId="18" xfId="13" applyNumberFormat="1" applyFont="1" applyFill="1" applyBorder="1" applyAlignment="1" applyProtection="1">
      <alignment horizontal="right"/>
      <protection locked="0"/>
    </xf>
    <xf numFmtId="0" fontId="3" fillId="0" borderId="3" xfId="23" applyFont="1" applyBorder="1"/>
    <xf numFmtId="0" fontId="3" fillId="0" borderId="29" xfId="23" applyFont="1" applyBorder="1"/>
    <xf numFmtId="0" fontId="3" fillId="0" borderId="30" xfId="23" applyFont="1" applyBorder="1"/>
    <xf numFmtId="0" fontId="3" fillId="0" borderId="10" xfId="23" applyFont="1" applyBorder="1"/>
    <xf numFmtId="0" fontId="31" fillId="0" borderId="0" xfId="23" applyFont="1" applyAlignment="1">
      <alignment horizontal="center" vertical="center"/>
    </xf>
    <xf numFmtId="165" fontId="3" fillId="0" borderId="0" xfId="36" applyNumberFormat="1" applyFont="1"/>
    <xf numFmtId="10" fontId="3" fillId="0" borderId="0" xfId="39" applyNumberFormat="1" applyFont="1" applyBorder="1"/>
    <xf numFmtId="43" fontId="3" fillId="0" borderId="0" xfId="23" applyNumberFormat="1" applyFont="1"/>
    <xf numFmtId="0" fontId="7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7" fillId="0" borderId="33" xfId="34" applyFont="1" applyBorder="1" applyAlignment="1">
      <alignment horizontal="center"/>
    </xf>
    <xf numFmtId="0" fontId="8" fillId="0" borderId="0" xfId="34" applyFont="1" applyAlignment="1">
      <alignment horizontal="center"/>
    </xf>
    <xf numFmtId="0" fontId="34" fillId="0" borderId="0" xfId="34" applyFont="1" applyAlignment="1">
      <alignment horizontal="center"/>
    </xf>
    <xf numFmtId="0" fontId="3" fillId="0" borderId="0" xfId="34" applyFont="1"/>
    <xf numFmtId="0" fontId="7" fillId="0" borderId="0" xfId="34" applyFont="1"/>
    <xf numFmtId="164" fontId="7" fillId="0" borderId="0" xfId="34" applyNumberFormat="1" applyFont="1" applyAlignment="1">
      <alignment vertical="center"/>
    </xf>
    <xf numFmtId="164" fontId="7" fillId="0" borderId="0" xfId="34" applyNumberFormat="1" applyFont="1"/>
    <xf numFmtId="165" fontId="5" fillId="0" borderId="0" xfId="1" applyNumberFormat="1" applyFont="1" applyFill="1" applyBorder="1" applyAlignment="1" applyProtection="1">
      <alignment horizontal="right" vertical="center"/>
      <protection locked="0"/>
    </xf>
    <xf numFmtId="164" fontId="9" fillId="0" borderId="2" xfId="13" applyNumberFormat="1" applyFont="1" applyFill="1" applyBorder="1" applyAlignment="1" applyProtection="1">
      <alignment horizontal="right" vertical="center"/>
      <protection locked="0"/>
    </xf>
    <xf numFmtId="164" fontId="5" fillId="0" borderId="0" xfId="13" applyNumberFormat="1" applyFont="1" applyFill="1" applyBorder="1" applyAlignment="1" applyProtection="1">
      <alignment horizontal="right"/>
      <protection locked="0"/>
    </xf>
    <xf numFmtId="164" fontId="3" fillId="0" borderId="0" xfId="34" applyNumberFormat="1" applyFont="1" applyAlignment="1">
      <alignment vertical="center"/>
    </xf>
    <xf numFmtId="164" fontId="3" fillId="0" borderId="0" xfId="34" applyNumberFormat="1" applyFont="1"/>
    <xf numFmtId="0" fontId="31" fillId="0" borderId="0" xfId="34" applyFont="1" applyAlignment="1">
      <alignment horizontal="center" vertical="center"/>
    </xf>
    <xf numFmtId="0" fontId="3" fillId="0" borderId="0" xfId="34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65" fontId="5" fillId="3" borderId="33" xfId="1" applyNumberFormat="1" applyFont="1" applyFill="1" applyBorder="1" applyAlignment="1">
      <alignment vertical="center"/>
    </xf>
    <xf numFmtId="5" fontId="12" fillId="0" borderId="0" xfId="0" applyNumberFormat="1" applyFont="1" applyAlignment="1">
      <alignment horizontal="left" vertical="center"/>
    </xf>
    <xf numFmtId="165" fontId="9" fillId="0" borderId="33" xfId="1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5" fillId="0" borderId="7" xfId="0" quotePrefix="1" applyFont="1" applyBorder="1" applyAlignment="1">
      <alignment horizontal="center"/>
    </xf>
    <xf numFmtId="0" fontId="5" fillId="0" borderId="13" xfId="0" quotePrefix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164" fontId="5" fillId="0" borderId="31" xfId="2" applyNumberFormat="1" applyFont="1" applyFill="1" applyBorder="1" applyAlignment="1">
      <alignment vertical="center"/>
    </xf>
    <xf numFmtId="164" fontId="5" fillId="0" borderId="2" xfId="2" applyNumberFormat="1" applyFont="1" applyFill="1" applyBorder="1" applyAlignment="1">
      <alignment vertical="center"/>
    </xf>
    <xf numFmtId="38" fontId="9" fillId="0" borderId="12" xfId="1" applyNumberFormat="1" applyFont="1" applyFill="1" applyBorder="1" applyAlignment="1">
      <alignment horizontal="center" vertical="center"/>
    </xf>
    <xf numFmtId="166" fontId="10" fillId="0" borderId="0" xfId="0" applyNumberFormat="1" applyFont="1"/>
    <xf numFmtId="1" fontId="9" fillId="0" borderId="0" xfId="2" applyNumberFormat="1" applyFont="1" applyFill="1" applyBorder="1"/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9" fillId="0" borderId="3" xfId="0" applyNumberFormat="1" applyFont="1" applyBorder="1" applyAlignment="1">
      <alignment vertical="center"/>
    </xf>
    <xf numFmtId="37" fontId="5" fillId="0" borderId="22" xfId="0" applyNumberFormat="1" applyFont="1" applyBorder="1" applyAlignment="1">
      <alignment horizontal="center" vertical="center"/>
    </xf>
    <xf numFmtId="37" fontId="5" fillId="0" borderId="7" xfId="0" applyNumberFormat="1" applyFont="1" applyBorder="1" applyAlignment="1">
      <alignment vertical="center"/>
    </xf>
    <xf numFmtId="37" fontId="5" fillId="0" borderId="13" xfId="0" quotePrefix="1" applyNumberFormat="1" applyFont="1" applyBorder="1" applyAlignment="1">
      <alignment horizontal="center" vertical="center"/>
    </xf>
    <xf numFmtId="37" fontId="5" fillId="0" borderId="7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6" xfId="40" applyNumberFormat="1" applyFont="1" applyBorder="1" applyAlignment="1">
      <alignment horizontal="center" vertical="center"/>
    </xf>
    <xf numFmtId="37" fontId="5" fillId="0" borderId="0" xfId="40" applyNumberFormat="1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7" fontId="5" fillId="0" borderId="12" xfId="0" quotePrefix="1" applyNumberFormat="1" applyFont="1" applyBorder="1" applyAlignment="1">
      <alignment horizontal="center" vertical="center"/>
    </xf>
    <xf numFmtId="37" fontId="5" fillId="0" borderId="28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10" xfId="40" applyNumberFormat="1" applyFont="1" applyBorder="1" applyAlignment="1">
      <alignment horizontal="center" vertical="center"/>
    </xf>
    <xf numFmtId="37" fontId="5" fillId="0" borderId="3" xfId="4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37" fontId="5" fillId="0" borderId="9" xfId="0" applyNumberFormat="1" applyFont="1" applyBorder="1" applyAlignment="1">
      <alignment horizontal="center" vertical="center"/>
    </xf>
    <xf numFmtId="37" fontId="9" fillId="0" borderId="24" xfId="0" applyNumberFormat="1" applyFont="1" applyBorder="1" applyAlignment="1">
      <alignment horizontal="center" vertical="center"/>
    </xf>
    <xf numFmtId="37" fontId="22" fillId="0" borderId="0" xfId="0" applyNumberFormat="1" applyFont="1" applyAlignment="1">
      <alignment vertical="center"/>
    </xf>
    <xf numFmtId="37" fontId="10" fillId="0" borderId="16" xfId="40" applyNumberFormat="1" applyFont="1" applyBorder="1" applyAlignment="1">
      <alignment horizontal="left" vertical="center"/>
    </xf>
    <xf numFmtId="37" fontId="9" fillId="0" borderId="16" xfId="40" applyNumberFormat="1" applyFont="1" applyBorder="1" applyAlignment="1">
      <alignment horizontal="center" vertical="center"/>
    </xf>
    <xf numFmtId="37" fontId="9" fillId="0" borderId="0" xfId="40" applyNumberFormat="1" applyFont="1" applyAlignment="1">
      <alignment horizontal="center" vertical="center"/>
    </xf>
    <xf numFmtId="37" fontId="9" fillId="0" borderId="13" xfId="40" applyNumberFormat="1" applyFont="1" applyBorder="1" applyAlignment="1">
      <alignment horizontal="center" vertical="center"/>
    </xf>
    <xf numFmtId="37" fontId="9" fillId="0" borderId="12" xfId="40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8" fontId="9" fillId="0" borderId="24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9" fillId="0" borderId="12" xfId="0" applyNumberFormat="1" applyFont="1" applyBorder="1" applyAlignment="1">
      <alignment vertical="center"/>
    </xf>
    <xf numFmtId="164" fontId="5" fillId="0" borderId="18" xfId="2" applyNumberFormat="1" applyFont="1" applyBorder="1" applyAlignment="1">
      <alignment vertical="center"/>
    </xf>
    <xf numFmtId="164" fontId="5" fillId="0" borderId="16" xfId="2" applyNumberFormat="1" applyFont="1" applyBorder="1" applyAlignment="1">
      <alignment vertical="center"/>
    </xf>
    <xf numFmtId="164" fontId="5" fillId="0" borderId="25" xfId="2" applyNumberFormat="1" applyFont="1" applyFill="1" applyBorder="1" applyAlignment="1">
      <alignment vertical="center"/>
    </xf>
    <xf numFmtId="165" fontId="9" fillId="0" borderId="38" xfId="1" applyNumberFormat="1" applyFont="1" applyBorder="1" applyAlignment="1">
      <alignment vertical="center"/>
    </xf>
    <xf numFmtId="37" fontId="9" fillId="0" borderId="28" xfId="0" applyNumberFormat="1" applyFont="1" applyBorder="1" applyAlignment="1">
      <alignment vertical="center"/>
    </xf>
    <xf numFmtId="37" fontId="9" fillId="0" borderId="10" xfId="1" applyNumberFormat="1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7" fontId="9" fillId="0" borderId="9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18" fillId="0" borderId="11" xfId="0" applyNumberFormat="1" applyFont="1" applyBorder="1" applyAlignment="1">
      <alignment horizontal="left" vertical="center"/>
    </xf>
    <xf numFmtId="37" fontId="9" fillId="0" borderId="0" xfId="11" applyNumberFormat="1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9" fillId="0" borderId="11" xfId="11" applyNumberFormat="1" applyFont="1" applyBorder="1" applyAlignment="1">
      <alignment horizontal="center"/>
    </xf>
    <xf numFmtId="37" fontId="9" fillId="0" borderId="0" xfId="0" applyNumberFormat="1" applyFont="1" applyAlignment="1">
      <alignment vertical="top"/>
    </xf>
    <xf numFmtId="37" fontId="35" fillId="0" borderId="0" xfId="0" applyNumberFormat="1" applyFont="1"/>
    <xf numFmtId="43" fontId="35" fillId="0" borderId="0" xfId="1" applyFont="1" applyFill="1"/>
    <xf numFmtId="165" fontId="35" fillId="0" borderId="0" xfId="1" applyNumberFormat="1" applyFont="1" applyFill="1"/>
    <xf numFmtId="37" fontId="9" fillId="0" borderId="11" xfId="11" applyNumberFormat="1" applyFont="1" applyBorder="1" applyAlignment="1">
      <alignment horizontal="center" vertical="top"/>
    </xf>
    <xf numFmtId="165" fontId="9" fillId="0" borderId="33" xfId="1" applyNumberFormat="1" applyFont="1" applyFill="1" applyBorder="1" applyAlignment="1"/>
    <xf numFmtId="165" fontId="9" fillId="0" borderId="0" xfId="1" applyNumberFormat="1" applyFont="1" applyFill="1" applyAlignment="1"/>
    <xf numFmtId="37" fontId="10" fillId="0" borderId="0" xfId="0" applyNumberFormat="1" applyFont="1" applyAlignment="1">
      <alignment horizontal="right" vertical="center"/>
    </xf>
    <xf numFmtId="37" fontId="10" fillId="0" borderId="12" xfId="0" applyNumberFormat="1" applyFont="1" applyBorder="1" applyAlignment="1">
      <alignment vertical="center"/>
    </xf>
    <xf numFmtId="168" fontId="9" fillId="0" borderId="11" xfId="11" applyNumberFormat="1" applyFont="1" applyBorder="1" applyAlignment="1">
      <alignment horizontal="center" wrapText="1"/>
    </xf>
    <xf numFmtId="165" fontId="35" fillId="0" borderId="0" xfId="1" applyNumberFormat="1" applyFont="1" applyFill="1" applyBorder="1" applyAlignment="1">
      <alignment vertical="top"/>
    </xf>
    <xf numFmtId="165" fontId="9" fillId="0" borderId="33" xfId="1" applyNumberFormat="1" applyFont="1" applyFill="1" applyBorder="1" applyAlignment="1">
      <alignment vertical="top"/>
    </xf>
    <xf numFmtId="165" fontId="9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wrapText="1"/>
    </xf>
    <xf numFmtId="43" fontId="36" fillId="0" borderId="0" xfId="1" applyFont="1" applyFill="1" applyBorder="1" applyAlignment="1">
      <alignment horizontal="right"/>
    </xf>
    <xf numFmtId="37" fontId="9" fillId="0" borderId="11" xfId="0" applyNumberFormat="1" applyFont="1" applyBorder="1" applyAlignment="1">
      <alignment horizontal="center" vertical="center"/>
    </xf>
    <xf numFmtId="43" fontId="10" fillId="0" borderId="0" xfId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37" fontId="10" fillId="0" borderId="0" xfId="0" applyNumberFormat="1" applyFont="1" applyAlignment="1">
      <alignment horizontal="right"/>
    </xf>
    <xf numFmtId="164" fontId="5" fillId="0" borderId="0" xfId="2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37" fontId="9" fillId="0" borderId="8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horizontal="left" vertical="center"/>
    </xf>
    <xf numFmtId="168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165" fontId="9" fillId="2" borderId="33" xfId="1" applyNumberFormat="1" applyFont="1" applyFill="1" applyBorder="1" applyAlignment="1" applyProtection="1">
      <alignment vertical="center"/>
      <protection locked="0"/>
    </xf>
    <xf numFmtId="0" fontId="37" fillId="0" borderId="0" xfId="0" applyFont="1" applyAlignment="1">
      <alignment horizontal="center" vertical="center" wrapText="1"/>
    </xf>
    <xf numFmtId="173" fontId="9" fillId="0" borderId="0" xfId="3" applyNumberFormat="1" applyFont="1" applyBorder="1" applyAlignment="1">
      <alignment horizontal="right" vertical="center"/>
    </xf>
    <xf numFmtId="0" fontId="9" fillId="3" borderId="33" xfId="3" applyNumberFormat="1" applyFont="1" applyFill="1" applyBorder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43" fontId="9" fillId="4" borderId="0" xfId="27" applyFont="1" applyFill="1" applyBorder="1" applyAlignment="1" applyProtection="1">
      <alignment horizontal="center" vertical="center"/>
    </xf>
    <xf numFmtId="165" fontId="5" fillId="4" borderId="33" xfId="27" applyNumberFormat="1" applyFont="1" applyFill="1" applyBorder="1" applyAlignment="1" applyProtection="1">
      <alignment horizontal="center" vertical="center"/>
    </xf>
    <xf numFmtId="165" fontId="9" fillId="2" borderId="0" xfId="27" applyNumberFormat="1" applyFont="1" applyFill="1" applyBorder="1" applyAlignment="1" applyProtection="1">
      <alignment horizontal="right" vertical="center"/>
    </xf>
    <xf numFmtId="0" fontId="14" fillId="0" borderId="0" xfId="32" applyFont="1" applyAlignment="1">
      <alignment horizontal="center" vertical="center"/>
    </xf>
    <xf numFmtId="0" fontId="9" fillId="0" borderId="0" xfId="32" applyFont="1" applyAlignment="1">
      <alignment horizontal="center" vertical="center"/>
    </xf>
    <xf numFmtId="0" fontId="5" fillId="0" borderId="0" xfId="11" applyFont="1" applyAlignment="1">
      <alignment horizontal="center" vertical="center" wrapText="1"/>
    </xf>
    <xf numFmtId="168" fontId="5" fillId="0" borderId="0" xfId="0" applyNumberFormat="1" applyFont="1" applyBorder="1" applyAlignment="1">
      <alignment horizontal="center" vertical="center" wrapText="1"/>
    </xf>
    <xf numFmtId="164" fontId="9" fillId="2" borderId="17" xfId="20" applyNumberFormat="1" applyFont="1" applyFill="1" applyBorder="1" applyAlignment="1">
      <alignment horizontal="right" vertical="center"/>
    </xf>
    <xf numFmtId="164" fontId="9" fillId="0" borderId="17" xfId="11" applyNumberFormat="1" applyFont="1" applyBorder="1" applyAlignment="1">
      <alignment horizontal="right" vertical="center"/>
    </xf>
    <xf numFmtId="165" fontId="5" fillId="2" borderId="17" xfId="1" applyNumberFormat="1" applyFont="1" applyFill="1" applyBorder="1" applyAlignment="1">
      <alignment horizontal="right" vertical="center"/>
    </xf>
    <xf numFmtId="165" fontId="9" fillId="2" borderId="17" xfId="1" applyNumberFormat="1" applyFont="1" applyFill="1" applyBorder="1" applyAlignment="1">
      <alignment horizontal="right" vertical="center"/>
    </xf>
    <xf numFmtId="164" fontId="5" fillId="2" borderId="17" xfId="2" applyNumberFormat="1" applyFont="1" applyFill="1" applyBorder="1" applyAlignment="1">
      <alignment horizontal="right" vertical="center"/>
    </xf>
    <xf numFmtId="164" fontId="9" fillId="0" borderId="17" xfId="11" applyNumberFormat="1" applyFont="1" applyBorder="1" applyAlignment="1">
      <alignment vertical="center"/>
    </xf>
    <xf numFmtId="164" fontId="9" fillId="0" borderId="17" xfId="33" applyNumberFormat="1" applyFont="1" applyBorder="1" applyAlignment="1">
      <alignment vertical="center"/>
    </xf>
    <xf numFmtId="165" fontId="9" fillId="2" borderId="40" xfId="1" applyNumberFormat="1" applyFont="1" applyFill="1" applyBorder="1" applyAlignment="1">
      <alignment vertical="center"/>
    </xf>
    <xf numFmtId="171" fontId="5" fillId="0" borderId="17" xfId="11" applyNumberFormat="1" applyFont="1" applyBorder="1" applyAlignment="1">
      <alignment vertical="center"/>
    </xf>
    <xf numFmtId="171" fontId="9" fillId="0" borderId="17" xfId="20" applyNumberFormat="1" applyFont="1" applyFill="1" applyBorder="1" applyAlignment="1">
      <alignment horizontal="right"/>
    </xf>
    <xf numFmtId="171" fontId="9" fillId="0" borderId="17" xfId="11" applyNumberFormat="1" applyFont="1" applyBorder="1" applyAlignment="1">
      <alignment horizontal="right"/>
    </xf>
    <xf numFmtId="172" fontId="5" fillId="0" borderId="17" xfId="1" applyNumberFormat="1" applyFont="1" applyFill="1" applyBorder="1" applyAlignment="1">
      <alignment horizontal="right"/>
    </xf>
    <xf numFmtId="172" fontId="9" fillId="0" borderId="17" xfId="1" applyNumberFormat="1" applyFont="1" applyFill="1" applyBorder="1" applyAlignment="1">
      <alignment horizontal="right"/>
    </xf>
    <xf numFmtId="171" fontId="9" fillId="0" borderId="17" xfId="11" applyNumberFormat="1" applyFont="1" applyBorder="1"/>
    <xf numFmtId="172" fontId="9" fillId="0" borderId="40" xfId="1" applyNumberFormat="1" applyFont="1" applyFill="1" applyBorder="1"/>
    <xf numFmtId="171" fontId="5" fillId="0" borderId="17" xfId="11" applyNumberFormat="1" applyFont="1" applyBorder="1"/>
    <xf numFmtId="171" fontId="5" fillId="0" borderId="31" xfId="20" applyNumberFormat="1" applyFont="1" applyBorder="1" applyAlignment="1">
      <alignment horizontal="right"/>
    </xf>
    <xf numFmtId="171" fontId="5" fillId="0" borderId="17" xfId="14" applyNumberFormat="1" applyFont="1" applyBorder="1"/>
    <xf numFmtId="165" fontId="9" fillId="3" borderId="40" xfId="21" applyNumberFormat="1" applyFont="1" applyFill="1" applyBorder="1"/>
    <xf numFmtId="165" fontId="5" fillId="0" borderId="29" xfId="14" applyNumberFormat="1" applyFont="1" applyBorder="1"/>
    <xf numFmtId="171" fontId="9" fillId="0" borderId="0" xfId="11" applyNumberFormat="1" applyFont="1" applyBorder="1"/>
    <xf numFmtId="171" fontId="5" fillId="0" borderId="0" xfId="11" applyNumberFormat="1" applyFont="1" applyBorder="1"/>
    <xf numFmtId="165" fontId="9" fillId="0" borderId="0" xfId="1" applyNumberFormat="1" applyFont="1" applyAlignment="1">
      <alignment horizontal="center"/>
    </xf>
    <xf numFmtId="172" fontId="9" fillId="0" borderId="33" xfId="1" applyNumberFormat="1" applyFont="1" applyFill="1" applyBorder="1"/>
    <xf numFmtId="165" fontId="9" fillId="3" borderId="33" xfId="21" applyNumberFormat="1" applyFont="1" applyFill="1" applyBorder="1"/>
    <xf numFmtId="165" fontId="5" fillId="0" borderId="0" xfId="1" applyNumberFormat="1" applyFont="1" applyFill="1" applyBorder="1" applyAlignment="1">
      <alignment horizontal="right" vertical="center"/>
    </xf>
    <xf numFmtId="172" fontId="5" fillId="0" borderId="0" xfId="0" applyNumberFormat="1" applyFont="1" applyAlignment="1">
      <alignment horizontal="center"/>
    </xf>
    <xf numFmtId="172" fontId="9" fillId="0" borderId="33" xfId="1" applyNumberFormat="1" applyFont="1" applyFill="1" applyBorder="1" applyAlignment="1">
      <alignment horizontal="right"/>
    </xf>
    <xf numFmtId="171" fontId="9" fillId="0" borderId="2" xfId="20" applyNumberFormat="1" applyFont="1" applyBorder="1" applyAlignment="1">
      <alignment horizontal="right"/>
    </xf>
    <xf numFmtId="165" fontId="9" fillId="0" borderId="33" xfId="21" applyNumberFormat="1" applyFont="1" applyFill="1" applyBorder="1"/>
    <xf numFmtId="171" fontId="5" fillId="0" borderId="2" xfId="20" applyNumberFormat="1" applyFont="1" applyBorder="1" applyAlignment="1">
      <alignment horizontal="right"/>
    </xf>
    <xf numFmtId="0" fontId="5" fillId="0" borderId="0" xfId="31" applyFont="1" applyAlignment="1">
      <alignment horizontal="center"/>
    </xf>
    <xf numFmtId="0" fontId="5" fillId="0" borderId="0" xfId="11" applyFont="1" applyAlignment="1">
      <alignment horizontal="center" vertical="center"/>
    </xf>
    <xf numFmtId="167" fontId="9" fillId="0" borderId="49" xfId="31" applyNumberFormat="1" applyFont="1" applyBorder="1" applyAlignment="1" applyProtection="1">
      <alignment horizontal="right" vertical="center"/>
      <protection locked="0"/>
    </xf>
    <xf numFmtId="167" fontId="5" fillId="0" borderId="49" xfId="31" quotePrefix="1" applyNumberFormat="1" applyFont="1" applyBorder="1" applyAlignment="1">
      <alignment horizontal="right" vertical="center"/>
    </xf>
    <xf numFmtId="10" fontId="5" fillId="0" borderId="2" xfId="31" quotePrefix="1" applyNumberFormat="1" applyFont="1" applyBorder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18" fillId="0" borderId="49" xfId="31" applyNumberFormat="1" applyFont="1" applyBorder="1" applyAlignment="1">
      <alignment horizontal="right" vertical="center"/>
    </xf>
    <xf numFmtId="164" fontId="5" fillId="3" borderId="33" xfId="13" applyNumberFormat="1" applyFont="1" applyFill="1" applyBorder="1" applyAlignment="1" applyProtection="1">
      <alignment vertical="center"/>
      <protection locked="0"/>
    </xf>
    <xf numFmtId="165" fontId="7" fillId="0" borderId="1" xfId="6" applyNumberFormat="1" applyFont="1" applyBorder="1"/>
    <xf numFmtId="164" fontId="3" fillId="0" borderId="0" xfId="2" applyNumberFormat="1" applyFont="1" applyBorder="1"/>
    <xf numFmtId="164" fontId="5" fillId="0" borderId="31" xfId="20" applyNumberFormat="1" applyFont="1" applyBorder="1" applyAlignment="1">
      <alignment horizontal="right" vertical="center"/>
    </xf>
    <xf numFmtId="164" fontId="9" fillId="0" borderId="2" xfId="20" applyNumberFormat="1" applyFont="1" applyBorder="1" applyAlignment="1">
      <alignment horizontal="right" vertical="center"/>
    </xf>
    <xf numFmtId="164" fontId="5" fillId="0" borderId="2" xfId="20" applyNumberFormat="1" applyFont="1" applyBorder="1" applyAlignment="1">
      <alignment horizontal="right" vertical="center"/>
    </xf>
    <xf numFmtId="164" fontId="9" fillId="0" borderId="50" xfId="13" applyNumberFormat="1" applyFont="1" applyFill="1" applyBorder="1" applyAlignment="1" applyProtection="1">
      <alignment horizontal="right" vertical="center"/>
      <protection locked="0"/>
    </xf>
    <xf numFmtId="165" fontId="3" fillId="0" borderId="51" xfId="36" applyNumberFormat="1" applyFont="1" applyFill="1" applyBorder="1" applyAlignment="1">
      <alignment vertical="center"/>
    </xf>
    <xf numFmtId="43" fontId="3" fillId="0" borderId="51" xfId="36" applyFont="1" applyFill="1" applyBorder="1" applyAlignment="1">
      <alignment vertical="center"/>
    </xf>
    <xf numFmtId="164" fontId="9" fillId="0" borderId="51" xfId="13" applyNumberFormat="1" applyFont="1" applyFill="1" applyBorder="1" applyAlignment="1" applyProtection="1">
      <alignment horizontal="right"/>
      <protection locked="0"/>
    </xf>
    <xf numFmtId="44" fontId="9" fillId="0" borderId="50" xfId="13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52" xfId="1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64" fontId="7" fillId="0" borderId="0" xfId="2" applyNumberFormat="1" applyFont="1" applyFill="1" applyAlignment="1">
      <alignment horizontal="right" vertical="center"/>
    </xf>
    <xf numFmtId="10" fontId="9" fillId="3" borderId="0" xfId="3" applyNumberFormat="1" applyFont="1" applyFill="1" applyBorder="1"/>
    <xf numFmtId="164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Fill="1" applyAlignment="1">
      <alignment horizontal="right"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 vertical="center"/>
    </xf>
    <xf numFmtId="10" fontId="7" fillId="0" borderId="0" xfId="3" applyNumberFormat="1" applyFont="1" applyAlignment="1">
      <alignment vertical="center"/>
    </xf>
    <xf numFmtId="175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0" fontId="9" fillId="0" borderId="52" xfId="11" applyFont="1" applyBorder="1" applyAlignment="1">
      <alignment horizontal="left" vertical="center"/>
    </xf>
    <xf numFmtId="1" fontId="9" fillId="0" borderId="52" xfId="11" applyNumberFormat="1" applyFont="1" applyBorder="1" applyAlignment="1">
      <alignment horizontal="center" vertical="center"/>
    </xf>
    <xf numFmtId="165" fontId="7" fillId="0" borderId="52" xfId="1" applyNumberFormat="1" applyFont="1" applyFill="1" applyBorder="1" applyAlignment="1">
      <alignment horizontal="right" vertical="center"/>
    </xf>
    <xf numFmtId="10" fontId="9" fillId="3" borderId="52" xfId="3" applyNumberFormat="1" applyFont="1" applyFill="1" applyBorder="1"/>
    <xf numFmtId="165" fontId="7" fillId="0" borderId="52" xfId="1" applyNumberFormat="1" applyFont="1" applyBorder="1" applyAlignment="1">
      <alignment horizontal="center" vertical="center"/>
    </xf>
    <xf numFmtId="165" fontId="9" fillId="0" borderId="52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vertical="center"/>
    </xf>
    <xf numFmtId="165" fontId="7" fillId="0" borderId="0" xfId="1" applyNumberFormat="1" applyFont="1" applyBorder="1" applyAlignment="1">
      <alignment horizontal="center" vertical="center"/>
    </xf>
    <xf numFmtId="165" fontId="7" fillId="0" borderId="52" xfId="1" applyNumberFormat="1" applyFont="1" applyFill="1" applyBorder="1" applyAlignment="1">
      <alignment vertical="center"/>
    </xf>
    <xf numFmtId="164" fontId="7" fillId="0" borderId="19" xfId="2" applyNumberFormat="1" applyFont="1" applyFill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176" fontId="9" fillId="0" borderId="0" xfId="2" applyNumberFormat="1" applyFont="1" applyFill="1" applyAlignment="1">
      <alignment vertical="center"/>
    </xf>
    <xf numFmtId="177" fontId="7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33" xfId="11" quotePrefix="1" applyFont="1" applyBorder="1" applyAlignment="1">
      <alignment horizontal="center"/>
    </xf>
    <xf numFmtId="0" fontId="5" fillId="0" borderId="0" xfId="11" applyFont="1" applyAlignment="1"/>
    <xf numFmtId="164" fontId="5" fillId="0" borderId="18" xfId="20" applyNumberFormat="1" applyFont="1" applyBorder="1" applyAlignment="1">
      <alignment horizontal="right" vertical="center"/>
    </xf>
    <xf numFmtId="164" fontId="5" fillId="0" borderId="31" xfId="2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center"/>
    </xf>
    <xf numFmtId="164" fontId="9" fillId="0" borderId="2" xfId="20" applyNumberFormat="1" applyFont="1" applyBorder="1" applyAlignment="1">
      <alignment horizontal="right"/>
    </xf>
    <xf numFmtId="171" fontId="3" fillId="0" borderId="2" xfId="2" applyNumberFormat="1" applyFont="1" applyBorder="1"/>
    <xf numFmtId="171" fontId="7" fillId="0" borderId="0" xfId="0" applyNumberFormat="1" applyFont="1"/>
    <xf numFmtId="165" fontId="5" fillId="0" borderId="0" xfId="1" applyNumberFormat="1" applyFont="1" applyFill="1" applyBorder="1"/>
    <xf numFmtId="10" fontId="7" fillId="3" borderId="0" xfId="3" applyNumberFormat="1" applyFont="1" applyFill="1" applyBorder="1"/>
    <xf numFmtId="43" fontId="7" fillId="0" borderId="0" xfId="1" applyFont="1" applyAlignment="1">
      <alignment horizontal="right" vertical="center"/>
    </xf>
    <xf numFmtId="43" fontId="9" fillId="0" borderId="0" xfId="1" applyFont="1" applyFill="1" applyAlignment="1">
      <alignment horizontal="right" vertical="center"/>
    </xf>
    <xf numFmtId="43" fontId="9" fillId="0" borderId="52" xfId="1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4" fontId="7" fillId="0" borderId="0" xfId="2" applyFont="1" applyAlignment="1">
      <alignment horizontal="right" vertical="center"/>
    </xf>
    <xf numFmtId="44" fontId="9" fillId="0" borderId="19" xfId="2" applyFont="1" applyFill="1" applyBorder="1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" vertical="justify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43" xfId="23" applyFont="1" applyBorder="1" applyAlignment="1">
      <alignment horizontal="center"/>
    </xf>
    <xf numFmtId="0" fontId="3" fillId="0" borderId="6" xfId="23" applyFont="1" applyBorder="1"/>
    <xf numFmtId="0" fontId="3" fillId="0" borderId="44" xfId="23" applyFont="1" applyBorder="1"/>
    <xf numFmtId="0" fontId="3" fillId="0" borderId="0" xfId="23" applyFont="1" applyAlignment="1">
      <alignment horizontal="right"/>
    </xf>
    <xf numFmtId="0" fontId="3" fillId="3" borderId="0" xfId="23" applyFont="1" applyFill="1" applyAlignment="1">
      <alignment horizontal="center"/>
    </xf>
    <xf numFmtId="5" fontId="3" fillId="0" borderId="0" xfId="23" applyNumberFormat="1" applyFont="1" applyAlignment="1">
      <alignment horizontal="center"/>
    </xf>
    <xf numFmtId="0" fontId="3" fillId="0" borderId="0" xfId="34" applyFont="1" applyAlignment="1">
      <alignment horizontal="center"/>
    </xf>
    <xf numFmtId="5" fontId="3" fillId="0" borderId="0" xfId="34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5" fillId="0" borderId="0" xfId="11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41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3 3 2" xfId="33" xr:uid="{2C68CAE2-3D40-47D8-9AE1-DBA4C6444459}"/>
    <cellStyle name="Comma 4" xfId="6" xr:uid="{B22F5E81-ABE4-4EEE-9861-61D4A72D0EC8}"/>
    <cellStyle name="Comma 5" xfId="36" xr:uid="{CC4ED339-5AF8-4396-A949-F5E5F501DDAE}"/>
    <cellStyle name="Comma 79" xfId="21" xr:uid="{70FD1783-1E2A-4A0C-8E08-8B8328F1C457}"/>
    <cellStyle name="Comma 82" xfId="35" xr:uid="{D2FD7868-47AC-47D5-98A6-1993D72485AC}"/>
    <cellStyle name="Currency" xfId="2" builtinId="4"/>
    <cellStyle name="Currency 2" xfId="7" xr:uid="{2FB3A6EC-A591-418E-AE53-135728C8FF55}"/>
    <cellStyle name="Currency 2 2" xfId="13" xr:uid="{BE5CA40B-4EF2-46C0-ACCA-0BF3AC0AF312}"/>
    <cellStyle name="Currency 31" xfId="38" xr:uid="{FCFE6B8C-EBDA-4392-9333-E09808D9B04F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4" xfId="37" xr:uid="{60C320AC-ECE2-4526-8996-79312AD21C59}"/>
    <cellStyle name="Normal 2 2 6" xfId="25" xr:uid="{CCAFE435-1243-4CED-981B-645B00CA3137}"/>
    <cellStyle name="Normal 29" xfId="18" xr:uid="{6A52BBCB-32F0-4AFA-B971-925038B08277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4" xr:uid="{CD298842-3F7F-4B3A-A143-EE84E5418C8A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40" xr:uid="{312604D4-22C5-40C8-81F4-571D1C7C1FDD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  <cellStyle name="Percent 5" xfId="39" xr:uid="{16924245-FD24-4DD8-AABE-EDDBC2420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7933059-650F-40D8-A4B6-1A65B6A3FA6D}"/>
            </a:ext>
          </a:extLst>
        </xdr:cNvPr>
        <xdr:cNvSpPr>
          <a:spLocks noChangeShapeType="1"/>
        </xdr:cNvSpPr>
      </xdr:nvSpPr>
      <xdr:spPr bwMode="auto">
        <a:xfrm>
          <a:off x="1908177" y="185308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8C46D136-7E4B-47DD-8134-45129E81887F}"/>
            </a:ext>
          </a:extLst>
        </xdr:cNvPr>
        <xdr:cNvSpPr>
          <a:spLocks noChangeShapeType="1"/>
        </xdr:cNvSpPr>
      </xdr:nvSpPr>
      <xdr:spPr bwMode="auto">
        <a:xfrm>
          <a:off x="1765305" y="20864512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EE869616-3C11-4484-A94F-3F5EA9916A67}"/>
            </a:ext>
          </a:extLst>
        </xdr:cNvPr>
        <xdr:cNvSpPr>
          <a:spLocks noChangeShapeType="1"/>
        </xdr:cNvSpPr>
      </xdr:nvSpPr>
      <xdr:spPr bwMode="auto">
        <a:xfrm>
          <a:off x="1908177" y="274701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74E040CC-90DC-461A-9CD7-E2362204C904}"/>
            </a:ext>
          </a:extLst>
        </xdr:cNvPr>
        <xdr:cNvSpPr>
          <a:spLocks noChangeShapeType="1"/>
        </xdr:cNvSpPr>
      </xdr:nvSpPr>
      <xdr:spPr bwMode="auto">
        <a:xfrm>
          <a:off x="1908177" y="274701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9A0C5BD1-0510-46FF-BFEE-7BE513686FFE}"/>
            </a:ext>
          </a:extLst>
        </xdr:cNvPr>
        <xdr:cNvSpPr>
          <a:spLocks noChangeShapeType="1"/>
        </xdr:cNvSpPr>
      </xdr:nvSpPr>
      <xdr:spPr bwMode="auto">
        <a:xfrm>
          <a:off x="1765305" y="29803724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9921875" defaultRowHeight="14.25" x14ac:dyDescent="0.45"/>
  <cols>
    <col min="1" max="1" width="4.796875" style="1" bestFit="1" customWidth="1"/>
    <col min="2" max="2" width="72.59765625" style="1" customWidth="1"/>
    <col min="3" max="3" width="1.59765625" style="1" customWidth="1"/>
    <col min="4" max="4" width="20.796875" style="1" customWidth="1"/>
    <col min="5" max="5" width="1.53125" style="1" customWidth="1"/>
    <col min="6" max="6" width="40.59765625" style="1" customWidth="1"/>
    <col min="7" max="7" width="4.796875" style="1" customWidth="1"/>
    <col min="8" max="16384" width="9.19921875" style="1"/>
  </cols>
  <sheetData>
    <row r="2" spans="1:8" ht="17.25" x14ac:dyDescent="0.45">
      <c r="B2" s="979" t="s">
        <v>0</v>
      </c>
      <c r="C2" s="979"/>
      <c r="D2" s="979"/>
      <c r="E2" s="979"/>
      <c r="F2" s="979"/>
    </row>
    <row r="3" spans="1:8" ht="17.25" x14ac:dyDescent="0.45">
      <c r="B3" s="196" t="s">
        <v>521</v>
      </c>
      <c r="C3" s="2"/>
      <c r="D3" s="3"/>
      <c r="E3" s="3"/>
      <c r="F3" s="3"/>
    </row>
    <row r="4" spans="1:8" ht="17.25" x14ac:dyDescent="0.45">
      <c r="B4" s="978" t="s">
        <v>522</v>
      </c>
      <c r="C4" s="978"/>
      <c r="D4" s="978"/>
      <c r="E4" s="978"/>
      <c r="F4" s="978"/>
    </row>
    <row r="5" spans="1:8" ht="17.25" x14ac:dyDescent="0.45">
      <c r="B5" s="198" t="s">
        <v>524</v>
      </c>
      <c r="C5" s="2"/>
      <c r="D5" s="2"/>
      <c r="E5" s="2"/>
      <c r="F5" s="2"/>
    </row>
    <row r="6" spans="1:8" ht="15.4" x14ac:dyDescent="0.45">
      <c r="B6" s="977" t="s">
        <v>1</v>
      </c>
      <c r="C6" s="977"/>
      <c r="D6" s="977"/>
      <c r="E6" s="977"/>
      <c r="F6" s="977"/>
      <c r="G6" s="4"/>
      <c r="H6" s="4"/>
    </row>
    <row r="7" spans="1:8" ht="15.4" x14ac:dyDescent="0.45">
      <c r="B7" s="5"/>
      <c r="C7" s="5"/>
      <c r="D7" s="6"/>
      <c r="E7" s="7"/>
      <c r="F7" s="5"/>
      <c r="G7" s="5"/>
    </row>
    <row r="8" spans="1:8" ht="15.4" x14ac:dyDescent="0.45">
      <c r="A8" s="8" t="s">
        <v>2</v>
      </c>
      <c r="G8" s="8" t="s">
        <v>2</v>
      </c>
    </row>
    <row r="9" spans="1:8" ht="15.4" x14ac:dyDescent="0.45">
      <c r="A9" s="11" t="s">
        <v>6</v>
      </c>
      <c r="B9" s="9" t="s">
        <v>3</v>
      </c>
      <c r="C9" s="9"/>
      <c r="D9" s="9" t="s">
        <v>4</v>
      </c>
      <c r="E9" s="10"/>
      <c r="F9" s="9" t="s">
        <v>5</v>
      </c>
      <c r="G9" s="11" t="s">
        <v>6</v>
      </c>
    </row>
    <row r="10" spans="1:8" ht="15.4" x14ac:dyDescent="0.45">
      <c r="A10" s="496"/>
      <c r="B10" s="5"/>
      <c r="C10" s="5"/>
      <c r="D10" s="12"/>
      <c r="E10" s="12"/>
      <c r="F10" s="12"/>
      <c r="G10" s="496"/>
    </row>
    <row r="11" spans="1:8" ht="15.4" x14ac:dyDescent="0.45">
      <c r="A11" s="8">
        <v>1</v>
      </c>
      <c r="B11" s="7" t="s">
        <v>567</v>
      </c>
      <c r="C11" s="7"/>
      <c r="D11" s="12"/>
      <c r="E11" s="12"/>
      <c r="F11" s="12"/>
      <c r="G11" s="8">
        <v>1</v>
      </c>
    </row>
    <row r="12" spans="1:8" ht="15.4" x14ac:dyDescent="0.45">
      <c r="A12" s="8">
        <f>A11+1</f>
        <v>2</v>
      </c>
      <c r="B12" s="7"/>
      <c r="C12" s="7"/>
      <c r="D12" s="12"/>
      <c r="E12" s="12"/>
      <c r="F12" s="12"/>
      <c r="G12" s="8">
        <f>G11+1</f>
        <v>2</v>
      </c>
    </row>
    <row r="13" spans="1:8" ht="15.4" x14ac:dyDescent="0.45">
      <c r="A13" s="8">
        <f t="shared" ref="A13:A14" si="0">A12+1</f>
        <v>3</v>
      </c>
      <c r="B13" s="201" t="s">
        <v>517</v>
      </c>
      <c r="C13" s="13"/>
      <c r="D13" s="14">
        <f>'Pg2 Appendix X C8 Comparison'!G27</f>
        <v>-14.009962645589567</v>
      </c>
      <c r="E13" s="14"/>
      <c r="F13" s="12" t="s">
        <v>562</v>
      </c>
      <c r="G13" s="8">
        <f t="shared" ref="G13:G14" si="1">G12+1</f>
        <v>3</v>
      </c>
    </row>
    <row r="14" spans="1:8" ht="15.4" x14ac:dyDescent="0.45">
      <c r="A14" s="8">
        <f t="shared" si="0"/>
        <v>4</v>
      </c>
      <c r="B14" s="5"/>
      <c r="C14" s="12"/>
      <c r="D14" s="14"/>
      <c r="E14" s="14"/>
      <c r="F14" s="12"/>
      <c r="G14" s="8">
        <f t="shared" si="1"/>
        <v>4</v>
      </c>
    </row>
    <row r="15" spans="1:8" ht="15.4" x14ac:dyDescent="0.45">
      <c r="A15" s="8">
        <f t="shared" ref="A15:A21" si="2">A14+1</f>
        <v>5</v>
      </c>
      <c r="B15" s="5" t="s">
        <v>8</v>
      </c>
      <c r="C15" s="12"/>
      <c r="D15" s="911">
        <f>'Pg11 Appendix X C8 Int Calc '!G66</f>
        <v>-2.2930758839998919</v>
      </c>
      <c r="E15" s="15"/>
      <c r="F15" s="12" t="s">
        <v>568</v>
      </c>
      <c r="G15" s="8">
        <f t="shared" ref="G15:G21" si="3">G14+1</f>
        <v>5</v>
      </c>
    </row>
    <row r="16" spans="1:8" ht="15.4" x14ac:dyDescent="0.45">
      <c r="A16" s="8">
        <f t="shared" si="2"/>
        <v>6</v>
      </c>
      <c r="B16" s="5"/>
      <c r="C16" s="12"/>
      <c r="D16" s="16"/>
      <c r="E16" s="16"/>
      <c r="F16" s="12"/>
      <c r="G16" s="8">
        <f t="shared" si="3"/>
        <v>6</v>
      </c>
    </row>
    <row r="17" spans="1:7" ht="15.4" x14ac:dyDescent="0.45">
      <c r="A17" s="8">
        <f t="shared" si="2"/>
        <v>7</v>
      </c>
      <c r="B17" s="495" t="s">
        <v>224</v>
      </c>
      <c r="C17" s="10"/>
      <c r="D17" s="912">
        <f>D13+D15</f>
        <v>-16.303038529589458</v>
      </c>
      <c r="E17" s="14"/>
      <c r="F17" s="12" t="s">
        <v>325</v>
      </c>
      <c r="G17" s="8">
        <f t="shared" si="3"/>
        <v>7</v>
      </c>
    </row>
    <row r="18" spans="1:7" ht="15.4" x14ac:dyDescent="0.45">
      <c r="A18" s="8">
        <f t="shared" si="2"/>
        <v>8</v>
      </c>
      <c r="B18" s="5"/>
      <c r="C18" s="12"/>
      <c r="D18" s="197"/>
      <c r="E18" s="5"/>
      <c r="F18" s="5"/>
      <c r="G18" s="8">
        <f t="shared" si="3"/>
        <v>8</v>
      </c>
    </row>
    <row r="19" spans="1:7" ht="15.4" x14ac:dyDescent="0.45">
      <c r="A19" s="8">
        <f t="shared" si="2"/>
        <v>9</v>
      </c>
      <c r="B19" s="285" t="s">
        <v>223</v>
      </c>
      <c r="C19" s="12"/>
      <c r="D19" s="361">
        <v>12</v>
      </c>
      <c r="E19" s="5"/>
      <c r="F19" s="5"/>
      <c r="G19" s="8">
        <f t="shared" si="3"/>
        <v>9</v>
      </c>
    </row>
    <row r="20" spans="1:7" ht="15.4" x14ac:dyDescent="0.45">
      <c r="A20" s="8">
        <f t="shared" si="2"/>
        <v>10</v>
      </c>
      <c r="B20" s="5"/>
      <c r="C20" s="12"/>
      <c r="D20" s="197"/>
      <c r="E20" s="5"/>
      <c r="F20" s="5"/>
      <c r="G20" s="8">
        <f t="shared" si="3"/>
        <v>10</v>
      </c>
    </row>
    <row r="21" spans="1:7" ht="15.75" thickBot="1" x14ac:dyDescent="0.5">
      <c r="A21" s="8">
        <f t="shared" si="2"/>
        <v>11</v>
      </c>
      <c r="B21" s="495" t="s">
        <v>269</v>
      </c>
      <c r="C21" s="5"/>
      <c r="D21" s="967">
        <f>D17/12</f>
        <v>-1.3585865441324547</v>
      </c>
      <c r="E21" s="5"/>
      <c r="F21" s="12" t="s">
        <v>326</v>
      </c>
      <c r="G21" s="8">
        <f t="shared" si="3"/>
        <v>11</v>
      </c>
    </row>
    <row r="22" spans="1:7" ht="15.75" thickTop="1" x14ac:dyDescent="0.45">
      <c r="A22" s="8"/>
      <c r="B22" s="199"/>
      <c r="C22" s="5"/>
      <c r="D22" s="360"/>
      <c r="E22" s="5"/>
      <c r="F22" s="5"/>
      <c r="G22" s="5"/>
    </row>
    <row r="23" spans="1:7" ht="15.4" x14ac:dyDescent="0.45">
      <c r="B23" s="5"/>
      <c r="C23" s="5"/>
      <c r="D23" s="5"/>
      <c r="E23" s="5"/>
      <c r="F23" s="5"/>
      <c r="G23" s="5"/>
    </row>
    <row r="24" spans="1:7" ht="16.149999999999999" x14ac:dyDescent="0.45">
      <c r="A24" s="17">
        <v>1</v>
      </c>
      <c r="B24" s="18" t="s">
        <v>274</v>
      </c>
      <c r="C24" s="5"/>
      <c r="D24" s="5"/>
      <c r="E24" s="5"/>
      <c r="F24" s="5"/>
      <c r="G24" s="5"/>
    </row>
    <row r="25" spans="1:7" ht="15.4" x14ac:dyDescent="0.45">
      <c r="B25" s="18" t="s">
        <v>748</v>
      </c>
      <c r="C25" s="5"/>
      <c r="D25" s="5"/>
      <c r="E25" s="5"/>
      <c r="F25" s="5"/>
      <c r="G25" s="5"/>
    </row>
    <row r="26" spans="1:7" ht="15.4" x14ac:dyDescent="0.45">
      <c r="B26" s="5" t="s">
        <v>512</v>
      </c>
      <c r="C26" s="5"/>
      <c r="D26" s="5"/>
      <c r="E26" s="5"/>
      <c r="F26" s="5"/>
      <c r="G26" s="5"/>
    </row>
    <row r="27" spans="1:7" ht="15.4" x14ac:dyDescent="0.45">
      <c r="B27" s="5"/>
      <c r="C27" s="5"/>
      <c r="D27" s="5"/>
      <c r="E27" s="5"/>
      <c r="F27" s="5"/>
      <c r="G27" s="5"/>
    </row>
    <row r="28" spans="1:7" ht="15.4" x14ac:dyDescent="0.45">
      <c r="B28" s="5"/>
      <c r="C28" s="5"/>
      <c r="D28" s="5"/>
      <c r="E28" s="5"/>
      <c r="F28" s="5"/>
      <c r="G28" s="5"/>
    </row>
    <row r="29" spans="1:7" ht="16.149999999999999" x14ac:dyDescent="0.45">
      <c r="A29" s="17"/>
      <c r="B29" s="5"/>
      <c r="C29" s="5"/>
      <c r="D29" s="5"/>
      <c r="E29" s="5"/>
      <c r="F29" s="5"/>
      <c r="G29" s="5"/>
    </row>
    <row r="30" spans="1:7" ht="15.4" x14ac:dyDescent="0.45">
      <c r="B30" s="5"/>
      <c r="C30" s="5"/>
      <c r="D30" s="5"/>
      <c r="E30" s="5"/>
      <c r="F30" s="5"/>
      <c r="G30" s="5"/>
    </row>
    <row r="31" spans="1:7" ht="15.4" x14ac:dyDescent="0.45">
      <c r="B31" s="5"/>
      <c r="C31" s="5"/>
      <c r="D31" s="5"/>
      <c r="E31" s="5"/>
      <c r="F31" s="5"/>
      <c r="G31" s="5"/>
    </row>
    <row r="32" spans="1:7" ht="15.4" x14ac:dyDescent="0.45">
      <c r="B32" s="5"/>
      <c r="C32" s="5"/>
      <c r="D32" s="5"/>
      <c r="E32" s="5"/>
      <c r="F32" s="5"/>
      <c r="G32" s="5"/>
    </row>
    <row r="33" spans="2:7" ht="15.4" x14ac:dyDescent="0.45">
      <c r="B33" s="5"/>
      <c r="C33" s="5"/>
      <c r="D33" s="5"/>
      <c r="E33" s="5"/>
      <c r="F33" s="5"/>
      <c r="G33" s="5"/>
    </row>
    <row r="34" spans="2:7" ht="15.4" x14ac:dyDescent="0.45">
      <c r="B34" s="5"/>
      <c r="C34" s="5"/>
      <c r="D34" s="5"/>
      <c r="E34" s="5"/>
      <c r="F34" s="5"/>
      <c r="G34" s="5"/>
    </row>
    <row r="35" spans="2:7" ht="15.4" x14ac:dyDescent="0.45">
      <c r="B35" s="5"/>
      <c r="C35" s="5"/>
      <c r="D35" s="5"/>
      <c r="E35" s="5"/>
      <c r="F35" s="5"/>
      <c r="G35" s="5"/>
    </row>
    <row r="36" spans="2:7" ht="15.4" x14ac:dyDescent="0.45">
      <c r="B36" s="5"/>
      <c r="C36" s="5"/>
      <c r="D36" s="5"/>
      <c r="E36" s="5"/>
      <c r="F36" s="5"/>
      <c r="G36" s="5"/>
    </row>
    <row r="37" spans="2:7" ht="15.4" x14ac:dyDescent="0.45">
      <c r="B37" s="5"/>
      <c r="C37" s="5"/>
      <c r="D37" s="5"/>
      <c r="E37" s="5"/>
      <c r="F37" s="5"/>
      <c r="G37" s="5"/>
    </row>
    <row r="38" spans="2:7" ht="15.4" x14ac:dyDescent="0.45">
      <c r="B38" s="5"/>
      <c r="C38" s="5"/>
      <c r="D38" s="5"/>
      <c r="E38" s="5"/>
      <c r="F38" s="5"/>
      <c r="G38" s="5"/>
    </row>
    <row r="39" spans="2:7" ht="15.4" x14ac:dyDescent="0.45">
      <c r="B39" s="5"/>
      <c r="C39" s="5"/>
      <c r="D39" s="5"/>
      <c r="E39" s="5"/>
      <c r="F39" s="5"/>
      <c r="G39" s="5"/>
    </row>
    <row r="40" spans="2:7" ht="15.4" x14ac:dyDescent="0.45">
      <c r="B40" s="5"/>
      <c r="C40" s="5"/>
      <c r="D40" s="5"/>
      <c r="E40" s="5"/>
      <c r="F40" s="5"/>
      <c r="G40" s="5"/>
    </row>
    <row r="41" spans="2:7" ht="15.4" x14ac:dyDescent="0.45">
      <c r="B41" s="5"/>
      <c r="C41" s="5"/>
      <c r="D41" s="5"/>
      <c r="E41" s="5"/>
      <c r="F41" s="5"/>
      <c r="G41" s="5"/>
    </row>
  </sheetData>
  <mergeCells count="3">
    <mergeCell ref="B6:F6"/>
    <mergeCell ref="B4:F4"/>
    <mergeCell ref="B2:F2"/>
  </mergeCells>
  <printOptions horizontalCentered="1"/>
  <pageMargins left="0.25" right="0.25" top="0.5" bottom="0.5" header="0.25" footer="0.25"/>
  <pageSetup scale="69" orientation="portrait" r:id="rId1"/>
  <headerFooter scaleWithDoc="0" alignWithMargins="0">
    <oddFooter>&amp;CPage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2:N76"/>
  <sheetViews>
    <sheetView zoomScale="80" zoomScaleNormal="80" workbookViewId="0"/>
  </sheetViews>
  <sheetFormatPr defaultColWidth="9.06640625" defaultRowHeight="15.4" x14ac:dyDescent="0.45"/>
  <cols>
    <col min="1" max="1" width="5.06640625" style="778" customWidth="1"/>
    <col min="2" max="2" width="8.59765625" style="779" customWidth="1"/>
    <col min="3" max="3" width="65.06640625" style="779" customWidth="1"/>
    <col min="4" max="6" width="16.796875" style="779" customWidth="1"/>
    <col min="7" max="7" width="1.59765625" style="779" customWidth="1"/>
    <col min="8" max="9" width="16.796875" style="779" customWidth="1"/>
    <col min="10" max="10" width="34.59765625" style="779" customWidth="1"/>
    <col min="11" max="11" width="5.06640625" style="778" customWidth="1"/>
    <col min="12" max="12" width="4" style="779" customWidth="1"/>
    <col min="13" max="13" width="13.265625" style="779" bestFit="1" customWidth="1"/>
    <col min="14" max="14" width="9.06640625" style="779"/>
    <col min="15" max="15" width="9.73046875" style="779" customWidth="1"/>
    <col min="16" max="16" width="10" style="779" customWidth="1"/>
    <col min="17" max="16384" width="9.06640625" style="779"/>
  </cols>
  <sheetData>
    <row r="2" spans="1:14" x14ac:dyDescent="0.45">
      <c r="B2" s="1000" t="s">
        <v>19</v>
      </c>
      <c r="C2" s="1000"/>
      <c r="D2" s="1000"/>
      <c r="E2" s="1000"/>
      <c r="F2" s="1000"/>
      <c r="G2" s="1000"/>
      <c r="H2" s="1000"/>
      <c r="I2" s="1000"/>
      <c r="J2" s="1000"/>
      <c r="K2" s="780"/>
    </row>
    <row r="3" spans="1:14" x14ac:dyDescent="0.45">
      <c r="B3" s="1000" t="s">
        <v>452</v>
      </c>
      <c r="C3" s="1000"/>
      <c r="D3" s="1000"/>
      <c r="E3" s="1000"/>
      <c r="F3" s="1000"/>
      <c r="G3" s="1000"/>
      <c r="H3" s="1000"/>
      <c r="I3" s="1000"/>
      <c r="J3" s="1000"/>
      <c r="K3" s="780"/>
    </row>
    <row r="4" spans="1:14" x14ac:dyDescent="0.45">
      <c r="B4" s="1000" t="s">
        <v>661</v>
      </c>
      <c r="C4" s="1000"/>
      <c r="D4" s="1000"/>
      <c r="E4" s="1000"/>
      <c r="F4" s="1000"/>
      <c r="G4" s="1000"/>
      <c r="H4" s="1000"/>
      <c r="I4" s="1000"/>
      <c r="J4" s="1000"/>
      <c r="K4" s="780"/>
    </row>
    <row r="5" spans="1:14" x14ac:dyDescent="0.45">
      <c r="B5" s="1001" t="s">
        <v>1</v>
      </c>
      <c r="C5" s="1001"/>
      <c r="D5" s="1001"/>
      <c r="E5" s="1001"/>
      <c r="F5" s="1001"/>
      <c r="G5" s="1001"/>
      <c r="H5" s="1001"/>
      <c r="I5" s="1001"/>
      <c r="J5" s="1001"/>
      <c r="K5" s="780"/>
    </row>
    <row r="6" spans="1:14" ht="15.75" thickBot="1" x14ac:dyDescent="0.5">
      <c r="D6" s="781"/>
      <c r="E6" s="781"/>
      <c r="F6" s="781"/>
      <c r="G6" s="781"/>
      <c r="H6" s="781"/>
      <c r="I6" s="781"/>
      <c r="J6" s="781"/>
      <c r="M6" s="39"/>
    </row>
    <row r="7" spans="1:14" ht="17.25" x14ac:dyDescent="0.4">
      <c r="A7" s="780"/>
      <c r="B7" s="782"/>
      <c r="C7" s="783"/>
      <c r="D7" s="784" t="s">
        <v>10</v>
      </c>
      <c r="E7" s="785" t="s">
        <v>48</v>
      </c>
      <c r="F7" s="784" t="s">
        <v>49</v>
      </c>
      <c r="G7" s="785"/>
      <c r="H7" s="80" t="s">
        <v>453</v>
      </c>
      <c r="I7" s="80" t="s">
        <v>50</v>
      </c>
      <c r="J7" s="786"/>
      <c r="K7" s="780"/>
    </row>
    <row r="8" spans="1:14" x14ac:dyDescent="0.4">
      <c r="A8" s="778" t="s">
        <v>2</v>
      </c>
      <c r="B8" s="787" t="s">
        <v>51</v>
      </c>
      <c r="C8" s="788"/>
      <c r="D8" s="789" t="s">
        <v>9</v>
      </c>
      <c r="E8" s="780" t="s">
        <v>52</v>
      </c>
      <c r="F8" s="789" t="s">
        <v>9</v>
      </c>
      <c r="G8" s="790"/>
      <c r="H8" s="791" t="s">
        <v>248</v>
      </c>
      <c r="I8" s="84" t="s">
        <v>53</v>
      </c>
      <c r="J8" s="792"/>
      <c r="K8" s="778" t="s">
        <v>2</v>
      </c>
    </row>
    <row r="9" spans="1:14" ht="15.75" thickBot="1" x14ac:dyDescent="0.45">
      <c r="A9" s="778" t="s">
        <v>6</v>
      </c>
      <c r="B9" s="793" t="s">
        <v>54</v>
      </c>
      <c r="C9" s="794" t="s">
        <v>3</v>
      </c>
      <c r="D9" s="795" t="s">
        <v>55</v>
      </c>
      <c r="E9" s="794" t="s">
        <v>56</v>
      </c>
      <c r="F9" s="795" t="s">
        <v>57</v>
      </c>
      <c r="G9" s="796"/>
      <c r="H9" s="797" t="s">
        <v>454</v>
      </c>
      <c r="I9" s="798" t="s">
        <v>455</v>
      </c>
      <c r="J9" s="799" t="s">
        <v>5</v>
      </c>
      <c r="K9" s="778" t="s">
        <v>6</v>
      </c>
      <c r="L9" s="778"/>
    </row>
    <row r="10" spans="1:14" x14ac:dyDescent="0.45">
      <c r="B10" s="800"/>
      <c r="C10" s="801" t="s">
        <v>456</v>
      </c>
      <c r="D10" s="94"/>
      <c r="E10" s="802"/>
      <c r="F10" s="803"/>
      <c r="G10" s="804"/>
      <c r="H10" s="804"/>
      <c r="I10" s="805"/>
      <c r="J10" s="806"/>
    </row>
    <row r="11" spans="1:14" x14ac:dyDescent="0.45">
      <c r="A11" s="778">
        <v>1</v>
      </c>
      <c r="B11" s="800">
        <v>920</v>
      </c>
      <c r="C11" s="807" t="s">
        <v>457</v>
      </c>
      <c r="D11" s="92">
        <v>38528.063410000002</v>
      </c>
      <c r="E11" s="92">
        <v>0</v>
      </c>
      <c r="F11" s="92">
        <f t="shared" ref="F11:F24" si="0">D11-E11</f>
        <v>38528.063410000002</v>
      </c>
      <c r="G11" s="36"/>
      <c r="H11" s="36"/>
      <c r="I11" s="92">
        <f>F11+H11</f>
        <v>38528.063410000002</v>
      </c>
      <c r="J11" s="85" t="s">
        <v>458</v>
      </c>
      <c r="K11" s="778">
        <f>A11</f>
        <v>1</v>
      </c>
      <c r="L11" s="779" t="s">
        <v>11</v>
      </c>
      <c r="M11" s="808"/>
    </row>
    <row r="12" spans="1:14" x14ac:dyDescent="0.45">
      <c r="A12" s="778">
        <f t="shared" ref="A12:A56" si="1">A11+1</f>
        <v>2</v>
      </c>
      <c r="B12" s="800">
        <v>921</v>
      </c>
      <c r="C12" s="807" t="s">
        <v>459</v>
      </c>
      <c r="D12" s="94">
        <v>8714.1837200000009</v>
      </c>
      <c r="E12" s="95">
        <f>E34</f>
        <v>0.75301000000000207</v>
      </c>
      <c r="F12" s="94">
        <f t="shared" si="0"/>
        <v>8713.4307100000005</v>
      </c>
      <c r="G12" s="95"/>
      <c r="H12" s="95"/>
      <c r="I12" s="94">
        <f>F12+H12</f>
        <v>8713.4307100000005</v>
      </c>
      <c r="J12" s="85" t="s">
        <v>460</v>
      </c>
      <c r="K12" s="778">
        <f t="shared" ref="K12:K56" si="2">K11+1</f>
        <v>2</v>
      </c>
      <c r="M12" s="808"/>
      <c r="N12" s="809"/>
    </row>
    <row r="13" spans="1:14" x14ac:dyDescent="0.45">
      <c r="A13" s="778">
        <f t="shared" si="1"/>
        <v>3</v>
      </c>
      <c r="B13" s="800">
        <v>922</v>
      </c>
      <c r="C13" s="807" t="s">
        <v>461</v>
      </c>
      <c r="D13" s="94">
        <v>-10239.58124</v>
      </c>
      <c r="E13" s="95">
        <v>0</v>
      </c>
      <c r="F13" s="94">
        <f t="shared" si="0"/>
        <v>-10239.58124</v>
      </c>
      <c r="G13" s="95"/>
      <c r="H13" s="95"/>
      <c r="I13" s="94">
        <f t="shared" ref="I13:I24" si="3">F13+H13</f>
        <v>-10239.58124</v>
      </c>
      <c r="J13" s="85" t="s">
        <v>462</v>
      </c>
      <c r="K13" s="778">
        <f t="shared" si="2"/>
        <v>3</v>
      </c>
      <c r="M13" s="808"/>
    </row>
    <row r="14" spans="1:14" ht="15.75" x14ac:dyDescent="0.5">
      <c r="A14" s="778">
        <f t="shared" si="1"/>
        <v>4</v>
      </c>
      <c r="B14" s="787">
        <v>923</v>
      </c>
      <c r="C14" s="807" t="s">
        <v>463</v>
      </c>
      <c r="D14" s="94">
        <v>93646.322090000001</v>
      </c>
      <c r="E14" s="95">
        <f>E35</f>
        <v>333.74215999999996</v>
      </c>
      <c r="F14" s="94">
        <f t="shared" si="0"/>
        <v>93312.579930000007</v>
      </c>
      <c r="G14" s="26" t="s">
        <v>15</v>
      </c>
      <c r="H14" s="969">
        <f>543.571+282.674</f>
        <v>826.245</v>
      </c>
      <c r="I14" s="438">
        <f t="shared" si="3"/>
        <v>94138.824930000002</v>
      </c>
      <c r="J14" s="85" t="s">
        <v>464</v>
      </c>
      <c r="K14" s="778">
        <f t="shared" si="2"/>
        <v>4</v>
      </c>
      <c r="M14" s="808"/>
    </row>
    <row r="15" spans="1:14" x14ac:dyDescent="0.45">
      <c r="A15" s="778">
        <f t="shared" si="1"/>
        <v>5</v>
      </c>
      <c r="B15" s="800">
        <v>924</v>
      </c>
      <c r="C15" s="807" t="s">
        <v>465</v>
      </c>
      <c r="D15" s="94">
        <v>5523.0058700000009</v>
      </c>
      <c r="E15" s="95">
        <v>0</v>
      </c>
      <c r="F15" s="94">
        <f t="shared" si="0"/>
        <v>5523.0058700000009</v>
      </c>
      <c r="G15" s="95"/>
      <c r="H15" s="95"/>
      <c r="I15" s="94">
        <f t="shared" si="3"/>
        <v>5523.0058700000009</v>
      </c>
      <c r="J15" s="85" t="s">
        <v>466</v>
      </c>
      <c r="K15" s="778">
        <f t="shared" si="2"/>
        <v>5</v>
      </c>
      <c r="M15" s="808"/>
    </row>
    <row r="16" spans="1:14" x14ac:dyDescent="0.45">
      <c r="A16" s="778">
        <f t="shared" si="1"/>
        <v>6</v>
      </c>
      <c r="B16" s="800">
        <v>925</v>
      </c>
      <c r="C16" s="807" t="s">
        <v>467</v>
      </c>
      <c r="D16" s="94">
        <v>112646.05174</v>
      </c>
      <c r="E16" s="95">
        <f>D36</f>
        <v>102.631419228</v>
      </c>
      <c r="F16" s="94">
        <f t="shared" si="0"/>
        <v>112543.420320772</v>
      </c>
      <c r="G16" s="95"/>
      <c r="H16" s="95"/>
      <c r="I16" s="94">
        <f t="shared" si="3"/>
        <v>112543.420320772</v>
      </c>
      <c r="J16" s="85" t="s">
        <v>468</v>
      </c>
      <c r="K16" s="778">
        <f t="shared" si="2"/>
        <v>6</v>
      </c>
      <c r="M16" s="808"/>
    </row>
    <row r="17" spans="1:13" x14ac:dyDescent="0.45">
      <c r="A17" s="778">
        <f t="shared" si="1"/>
        <v>7</v>
      </c>
      <c r="B17" s="800">
        <v>926</v>
      </c>
      <c r="C17" s="807" t="s">
        <v>469</v>
      </c>
      <c r="D17" s="94">
        <v>48997.417150000008</v>
      </c>
      <c r="E17" s="95">
        <f>E38</f>
        <v>343.98778952699996</v>
      </c>
      <c r="F17" s="94">
        <f t="shared" si="0"/>
        <v>48653.429360473012</v>
      </c>
      <c r="G17" s="95"/>
      <c r="H17" s="95"/>
      <c r="I17" s="94">
        <f t="shared" si="3"/>
        <v>48653.429360473012</v>
      </c>
      <c r="J17" s="85" t="s">
        <v>470</v>
      </c>
      <c r="K17" s="778">
        <f t="shared" si="2"/>
        <v>7</v>
      </c>
      <c r="M17" s="810"/>
    </row>
    <row r="18" spans="1:13" x14ac:dyDescent="0.45">
      <c r="A18" s="778">
        <f t="shared" si="1"/>
        <v>8</v>
      </c>
      <c r="B18" s="800">
        <v>927</v>
      </c>
      <c r="C18" s="807" t="s">
        <v>471</v>
      </c>
      <c r="D18" s="94">
        <v>131978.20225999999</v>
      </c>
      <c r="E18" s="95">
        <f>E39</f>
        <v>131978.20225999999</v>
      </c>
      <c r="F18" s="94">
        <f t="shared" si="0"/>
        <v>0</v>
      </c>
      <c r="G18" s="95"/>
      <c r="H18" s="95"/>
      <c r="I18" s="94">
        <f t="shared" si="3"/>
        <v>0</v>
      </c>
      <c r="J18" s="85" t="s">
        <v>472</v>
      </c>
      <c r="K18" s="778">
        <f t="shared" si="2"/>
        <v>8</v>
      </c>
      <c r="M18" s="810"/>
    </row>
    <row r="19" spans="1:13" x14ac:dyDescent="0.45">
      <c r="A19" s="778">
        <f t="shared" si="1"/>
        <v>9</v>
      </c>
      <c r="B19" s="800">
        <v>928</v>
      </c>
      <c r="C19" s="807" t="s">
        <v>473</v>
      </c>
      <c r="D19" s="94">
        <v>20960.245720000003</v>
      </c>
      <c r="E19" s="95">
        <f>E44</f>
        <v>10076.049580000001</v>
      </c>
      <c r="F19" s="94">
        <f t="shared" si="0"/>
        <v>10884.196140000002</v>
      </c>
      <c r="G19" s="95"/>
      <c r="H19" s="95"/>
      <c r="I19" s="94">
        <f t="shared" si="3"/>
        <v>10884.196140000002</v>
      </c>
      <c r="J19" s="85" t="s">
        <v>474</v>
      </c>
      <c r="K19" s="778">
        <f t="shared" si="2"/>
        <v>9</v>
      </c>
      <c r="M19" s="810"/>
    </row>
    <row r="20" spans="1:13" x14ac:dyDescent="0.45">
      <c r="A20" s="778">
        <f t="shared" si="1"/>
        <v>10</v>
      </c>
      <c r="B20" s="800">
        <v>929</v>
      </c>
      <c r="C20" s="807" t="s">
        <v>475</v>
      </c>
      <c r="D20" s="94">
        <v>-1622.2648800000004</v>
      </c>
      <c r="E20" s="95">
        <v>0</v>
      </c>
      <c r="F20" s="94">
        <f t="shared" si="0"/>
        <v>-1622.2648800000004</v>
      </c>
      <c r="G20" s="95"/>
      <c r="H20" s="95"/>
      <c r="I20" s="94">
        <f t="shared" si="3"/>
        <v>-1622.2648800000004</v>
      </c>
      <c r="J20" s="85" t="s">
        <v>476</v>
      </c>
      <c r="K20" s="778">
        <f t="shared" si="2"/>
        <v>10</v>
      </c>
      <c r="M20" s="808"/>
    </row>
    <row r="21" spans="1:13" x14ac:dyDescent="0.45">
      <c r="A21" s="778">
        <f t="shared" si="1"/>
        <v>11</v>
      </c>
      <c r="B21" s="811">
        <v>930.1</v>
      </c>
      <c r="C21" s="807" t="s">
        <v>477</v>
      </c>
      <c r="D21" s="94">
        <v>242.68352000000002</v>
      </c>
      <c r="E21" s="95">
        <f>E45</f>
        <v>242.68352000000002</v>
      </c>
      <c r="F21" s="94">
        <f t="shared" si="0"/>
        <v>0</v>
      </c>
      <c r="G21" s="95"/>
      <c r="H21" s="95"/>
      <c r="I21" s="94">
        <f t="shared" si="3"/>
        <v>0</v>
      </c>
      <c r="J21" s="85" t="s">
        <v>478</v>
      </c>
      <c r="K21" s="778">
        <f t="shared" si="2"/>
        <v>11</v>
      </c>
      <c r="M21" s="808"/>
    </row>
    <row r="22" spans="1:13" x14ac:dyDescent="0.45">
      <c r="A22" s="778">
        <f t="shared" si="1"/>
        <v>12</v>
      </c>
      <c r="B22" s="811">
        <v>930.2</v>
      </c>
      <c r="C22" s="807" t="s">
        <v>479</v>
      </c>
      <c r="D22" s="94">
        <v>7563.7374500000005</v>
      </c>
      <c r="E22" s="95">
        <f>E47</f>
        <v>2000.03565</v>
      </c>
      <c r="F22" s="94">
        <f t="shared" si="0"/>
        <v>5563.7018000000007</v>
      </c>
      <c r="G22" s="95"/>
      <c r="H22" s="95"/>
      <c r="I22" s="94">
        <f t="shared" si="3"/>
        <v>5563.7018000000007</v>
      </c>
      <c r="J22" s="85" t="s">
        <v>480</v>
      </c>
      <c r="K22" s="778">
        <f t="shared" si="2"/>
        <v>12</v>
      </c>
      <c r="M22" s="812"/>
    </row>
    <row r="23" spans="1:13" x14ac:dyDescent="0.45">
      <c r="A23" s="778">
        <f t="shared" si="1"/>
        <v>13</v>
      </c>
      <c r="B23" s="800">
        <v>931</v>
      </c>
      <c r="C23" s="807" t="s">
        <v>86</v>
      </c>
      <c r="D23" s="94">
        <v>11844.36429</v>
      </c>
      <c r="E23" s="95">
        <v>0</v>
      </c>
      <c r="F23" s="94">
        <f t="shared" si="0"/>
        <v>11844.36429</v>
      </c>
      <c r="G23" s="95"/>
      <c r="H23" s="95"/>
      <c r="I23" s="94">
        <f t="shared" si="3"/>
        <v>11844.36429</v>
      </c>
      <c r="J23" s="85" t="s">
        <v>481</v>
      </c>
      <c r="K23" s="778">
        <f t="shared" si="2"/>
        <v>13</v>
      </c>
      <c r="M23" s="808"/>
    </row>
    <row r="24" spans="1:13" x14ac:dyDescent="0.45">
      <c r="A24" s="778">
        <f t="shared" si="1"/>
        <v>14</v>
      </c>
      <c r="B24" s="800">
        <v>935</v>
      </c>
      <c r="C24" s="807" t="s">
        <v>482</v>
      </c>
      <c r="D24" s="439">
        <v>9056.059220000001</v>
      </c>
      <c r="E24" s="293">
        <f>E48</f>
        <v>65.000791141999997</v>
      </c>
      <c r="F24" s="439">
        <f t="shared" si="0"/>
        <v>8991.0584288580012</v>
      </c>
      <c r="G24" s="440"/>
      <c r="H24" s="293"/>
      <c r="I24" s="439">
        <f t="shared" si="3"/>
        <v>8991.0584288580012</v>
      </c>
      <c r="J24" s="85" t="s">
        <v>483</v>
      </c>
      <c r="K24" s="778">
        <f t="shared" si="2"/>
        <v>14</v>
      </c>
      <c r="L24" s="779" t="s">
        <v>11</v>
      </c>
      <c r="M24" s="808"/>
    </row>
    <row r="25" spans="1:13" x14ac:dyDescent="0.45">
      <c r="A25" s="778">
        <f t="shared" si="1"/>
        <v>15</v>
      </c>
      <c r="B25" s="800"/>
      <c r="D25" s="813"/>
      <c r="F25" s="813"/>
      <c r="I25" s="813"/>
      <c r="J25" s="814"/>
      <c r="K25" s="778">
        <f t="shared" si="2"/>
        <v>15</v>
      </c>
    </row>
    <row r="26" spans="1:13" ht="16.149999999999999" thickBot="1" x14ac:dyDescent="0.55000000000000004">
      <c r="A26" s="778">
        <f t="shared" si="1"/>
        <v>16</v>
      </c>
      <c r="B26" s="800"/>
      <c r="C26" s="788" t="s">
        <v>484</v>
      </c>
      <c r="D26" s="815">
        <f>SUM(D11:D24)</f>
        <v>477838.49032000004</v>
      </c>
      <c r="E26" s="117">
        <f>SUM(E11:E24)</f>
        <v>145143.08617989699</v>
      </c>
      <c r="F26" s="115">
        <f>SUM(F11:F24)</f>
        <v>332695.40414010303</v>
      </c>
      <c r="G26" s="116" t="s">
        <v>15</v>
      </c>
      <c r="H26" s="774">
        <f>SUM(H11:H24)</f>
        <v>826.245</v>
      </c>
      <c r="I26" s="115">
        <f>SUM(I11:I25)</f>
        <v>333521.64914010302</v>
      </c>
      <c r="J26" s="130" t="str">
        <f>"Sum Lines "&amp;A11&amp;" thru "&amp;A24</f>
        <v>Sum Lines 1 thru 14</v>
      </c>
      <c r="K26" s="778">
        <f t="shared" si="2"/>
        <v>16</v>
      </c>
    </row>
    <row r="27" spans="1:13" ht="15.75" thickTop="1" x14ac:dyDescent="0.45">
      <c r="A27" s="778">
        <f t="shared" si="1"/>
        <v>17</v>
      </c>
      <c r="B27" s="800"/>
      <c r="C27" s="788"/>
      <c r="D27" s="816"/>
      <c r="E27" s="817"/>
      <c r="F27" s="114"/>
      <c r="G27" s="113"/>
      <c r="H27" s="113"/>
      <c r="I27" s="114"/>
      <c r="J27" s="130"/>
      <c r="K27" s="778">
        <f t="shared" si="2"/>
        <v>17</v>
      </c>
    </row>
    <row r="28" spans="1:13" ht="17.25" x14ac:dyDescent="0.45">
      <c r="A28" s="778">
        <f t="shared" si="1"/>
        <v>18</v>
      </c>
      <c r="B28" s="800">
        <v>413</v>
      </c>
      <c r="C28" s="779" t="s">
        <v>485</v>
      </c>
      <c r="D28" s="818">
        <v>520.42307000000005</v>
      </c>
      <c r="E28" s="311">
        <v>0</v>
      </c>
      <c r="F28" s="439">
        <f>D28-E28</f>
        <v>520.42307000000005</v>
      </c>
      <c r="G28" s="440"/>
      <c r="H28" s="293"/>
      <c r="I28" s="439">
        <f>F28+H28</f>
        <v>520.42307000000005</v>
      </c>
      <c r="J28" s="130" t="s">
        <v>747</v>
      </c>
      <c r="K28" s="778">
        <f t="shared" si="2"/>
        <v>18</v>
      </c>
    </row>
    <row r="29" spans="1:13" x14ac:dyDescent="0.45">
      <c r="A29" s="778">
        <f t="shared" si="1"/>
        <v>19</v>
      </c>
      <c r="B29" s="800"/>
      <c r="C29" s="788"/>
      <c r="D29" s="816"/>
      <c r="E29" s="817"/>
      <c r="F29" s="114"/>
      <c r="G29" s="113"/>
      <c r="H29" s="113"/>
      <c r="I29" s="114"/>
      <c r="J29" s="130"/>
      <c r="K29" s="778">
        <f t="shared" si="2"/>
        <v>19</v>
      </c>
    </row>
    <row r="30" spans="1:13" ht="15.75" thickBot="1" x14ac:dyDescent="0.5">
      <c r="A30" s="778">
        <f t="shared" si="1"/>
        <v>20</v>
      </c>
      <c r="B30" s="800"/>
      <c r="C30" s="788" t="s">
        <v>486</v>
      </c>
      <c r="D30" s="815">
        <f>D26+D28</f>
        <v>478358.91339000006</v>
      </c>
      <c r="E30" s="817">
        <f>E26+E28</f>
        <v>145143.08617989699</v>
      </c>
      <c r="F30" s="114">
        <f>F26+F28</f>
        <v>333215.82721010305</v>
      </c>
      <c r="G30" s="773"/>
      <c r="H30" s="774">
        <f>H26+H28</f>
        <v>826.245</v>
      </c>
      <c r="I30" s="115">
        <f>I26+I28</f>
        <v>334042.07221010304</v>
      </c>
      <c r="J30" s="130" t="str">
        <f>"Line "&amp;A26&amp;" + Line "&amp;A28</f>
        <v>Line 16 + Line 18</v>
      </c>
      <c r="K30" s="778">
        <f t="shared" si="2"/>
        <v>20</v>
      </c>
    </row>
    <row r="31" spans="1:13" ht="16.149999999999999" thickTop="1" thickBot="1" x14ac:dyDescent="0.5">
      <c r="A31" s="778">
        <f t="shared" si="1"/>
        <v>21</v>
      </c>
      <c r="B31" s="819"/>
      <c r="C31" s="781"/>
      <c r="D31" s="820"/>
      <c r="E31" s="821"/>
      <c r="F31" s="821"/>
      <c r="G31" s="822"/>
      <c r="H31" s="822"/>
      <c r="I31" s="823"/>
      <c r="J31" s="824"/>
      <c r="K31" s="778">
        <f t="shared" si="2"/>
        <v>21</v>
      </c>
    </row>
    <row r="32" spans="1:13" x14ac:dyDescent="0.45">
      <c r="A32" s="778">
        <f t="shared" si="1"/>
        <v>22</v>
      </c>
      <c r="B32" s="825"/>
      <c r="D32" s="826"/>
      <c r="E32" s="827"/>
      <c r="F32" s="826"/>
      <c r="G32" s="826"/>
      <c r="H32" s="826"/>
      <c r="I32" s="826"/>
      <c r="J32" s="814"/>
      <c r="K32" s="778">
        <f t="shared" si="2"/>
        <v>22</v>
      </c>
    </row>
    <row r="33" spans="1:13" x14ac:dyDescent="0.45">
      <c r="A33" s="778">
        <f t="shared" si="1"/>
        <v>23</v>
      </c>
      <c r="B33" s="828" t="s">
        <v>487</v>
      </c>
      <c r="C33" s="778"/>
      <c r="D33" s="778"/>
      <c r="E33" s="778"/>
      <c r="F33" s="778"/>
      <c r="G33" s="778"/>
      <c r="H33" s="778"/>
      <c r="I33" s="778"/>
      <c r="J33" s="814"/>
      <c r="K33" s="778">
        <f t="shared" si="2"/>
        <v>23</v>
      </c>
    </row>
    <row r="34" spans="1:13" x14ac:dyDescent="0.45">
      <c r="A34" s="130">
        <f t="shared" si="1"/>
        <v>24</v>
      </c>
      <c r="B34" s="829">
        <v>921</v>
      </c>
      <c r="C34" s="21" t="s">
        <v>488</v>
      </c>
      <c r="D34" s="830"/>
      <c r="E34" s="31">
        <v>0.75301000000000207</v>
      </c>
      <c r="F34" s="778"/>
      <c r="G34" s="778"/>
      <c r="H34" s="778"/>
      <c r="I34" s="778"/>
      <c r="J34" s="814"/>
      <c r="K34" s="778">
        <f t="shared" si="2"/>
        <v>24</v>
      </c>
    </row>
    <row r="35" spans="1:13" x14ac:dyDescent="0.45">
      <c r="A35" s="778">
        <f t="shared" si="1"/>
        <v>25</v>
      </c>
      <c r="B35" s="831">
        <v>923</v>
      </c>
      <c r="C35" s="21" t="s">
        <v>488</v>
      </c>
      <c r="D35" s="830"/>
      <c r="E35" s="28">
        <v>333.74215999999996</v>
      </c>
      <c r="F35" s="778"/>
      <c r="G35" s="778"/>
      <c r="H35" s="778"/>
      <c r="I35" s="778"/>
      <c r="J35" s="814"/>
      <c r="K35" s="778">
        <f t="shared" si="2"/>
        <v>25</v>
      </c>
    </row>
    <row r="36" spans="1:13" x14ac:dyDescent="0.45">
      <c r="A36" s="778">
        <f t="shared" si="1"/>
        <v>26</v>
      </c>
      <c r="B36" s="831">
        <v>925</v>
      </c>
      <c r="C36" s="832" t="s">
        <v>489</v>
      </c>
      <c r="D36" s="31">
        <v>102.631419228</v>
      </c>
      <c r="F36" s="778"/>
      <c r="G36" s="778"/>
      <c r="H36" s="778"/>
      <c r="I36" s="778"/>
      <c r="J36" s="814"/>
      <c r="K36" s="778">
        <f t="shared" si="2"/>
        <v>26</v>
      </c>
    </row>
    <row r="37" spans="1:13" x14ac:dyDescent="0.45">
      <c r="A37" s="778">
        <f t="shared" si="1"/>
        <v>27</v>
      </c>
      <c r="B37" s="831"/>
      <c r="C37" s="832" t="s">
        <v>467</v>
      </c>
      <c r="D37" s="318">
        <v>0</v>
      </c>
      <c r="E37" s="779">
        <f>SUM(D36:D37)</f>
        <v>102.631419228</v>
      </c>
      <c r="F37" s="778"/>
      <c r="G37" s="778"/>
      <c r="H37" s="778"/>
      <c r="I37" s="778"/>
      <c r="J37" s="814"/>
      <c r="K37" s="778">
        <f t="shared" si="2"/>
        <v>27</v>
      </c>
    </row>
    <row r="38" spans="1:13" x14ac:dyDescent="0.45">
      <c r="A38" s="778">
        <f t="shared" si="1"/>
        <v>28</v>
      </c>
      <c r="B38" s="831">
        <v>926</v>
      </c>
      <c r="C38" s="832" t="s">
        <v>489</v>
      </c>
      <c r="D38" s="833"/>
      <c r="E38" s="28">
        <v>343.98778952699996</v>
      </c>
      <c r="J38" s="814"/>
      <c r="K38" s="778">
        <f t="shared" si="2"/>
        <v>28</v>
      </c>
      <c r="M38" s="807"/>
    </row>
    <row r="39" spans="1:13" x14ac:dyDescent="0.45">
      <c r="A39" s="778">
        <f t="shared" si="1"/>
        <v>29</v>
      </c>
      <c r="B39" s="831">
        <v>927</v>
      </c>
      <c r="C39" s="832" t="s">
        <v>471</v>
      </c>
      <c r="D39" s="833"/>
      <c r="E39" s="28">
        <v>131978.20225999999</v>
      </c>
      <c r="J39" s="814"/>
      <c r="K39" s="778">
        <f t="shared" si="2"/>
        <v>29</v>
      </c>
    </row>
    <row r="40" spans="1:13" x14ac:dyDescent="0.45">
      <c r="A40" s="778">
        <f t="shared" si="1"/>
        <v>30</v>
      </c>
      <c r="B40" s="831">
        <v>928</v>
      </c>
      <c r="C40" s="832" t="s">
        <v>489</v>
      </c>
      <c r="D40" s="28">
        <v>0</v>
      </c>
      <c r="E40" s="28"/>
      <c r="J40" s="814"/>
      <c r="K40" s="778">
        <f t="shared" si="2"/>
        <v>30</v>
      </c>
    </row>
    <row r="41" spans="1:13" x14ac:dyDescent="0.45">
      <c r="A41" s="778">
        <f t="shared" si="1"/>
        <v>31</v>
      </c>
      <c r="B41" s="831"/>
      <c r="C41" s="21" t="s">
        <v>490</v>
      </c>
      <c r="D41" s="28">
        <v>0</v>
      </c>
      <c r="E41" s="28"/>
      <c r="J41" s="814"/>
      <c r="K41" s="778">
        <f t="shared" si="2"/>
        <v>31</v>
      </c>
    </row>
    <row r="42" spans="1:13" x14ac:dyDescent="0.45">
      <c r="A42" s="778">
        <f t="shared" si="1"/>
        <v>32</v>
      </c>
      <c r="B42" s="831"/>
      <c r="C42" s="21" t="s">
        <v>491</v>
      </c>
      <c r="D42" s="28">
        <v>1333.8680300000003</v>
      </c>
      <c r="E42" s="834"/>
      <c r="J42" s="814"/>
      <c r="K42" s="778">
        <f t="shared" si="2"/>
        <v>32</v>
      </c>
    </row>
    <row r="43" spans="1:13" x14ac:dyDescent="0.45">
      <c r="A43" s="778">
        <f t="shared" si="1"/>
        <v>33</v>
      </c>
      <c r="B43" s="831"/>
      <c r="C43" s="21" t="s">
        <v>492</v>
      </c>
      <c r="D43" s="28">
        <v>8601.3346500000007</v>
      </c>
      <c r="E43" s="835"/>
      <c r="J43" s="814"/>
      <c r="K43" s="778">
        <f t="shared" si="2"/>
        <v>33</v>
      </c>
    </row>
    <row r="44" spans="1:13" x14ac:dyDescent="0.45">
      <c r="A44" s="778">
        <f t="shared" si="1"/>
        <v>34</v>
      </c>
      <c r="B44" s="836"/>
      <c r="C44" s="832" t="s">
        <v>493</v>
      </c>
      <c r="D44" s="837">
        <v>140.84690000000001</v>
      </c>
      <c r="E44" s="838">
        <v>10076.049580000001</v>
      </c>
      <c r="F44" s="839"/>
      <c r="G44" s="839"/>
      <c r="H44" s="839"/>
      <c r="I44" s="839"/>
      <c r="J44" s="840"/>
      <c r="K44" s="778">
        <f t="shared" si="2"/>
        <v>34</v>
      </c>
    </row>
    <row r="45" spans="1:13" x14ac:dyDescent="0.45">
      <c r="A45" s="778">
        <f t="shared" si="1"/>
        <v>35</v>
      </c>
      <c r="B45" s="841">
        <v>930.1</v>
      </c>
      <c r="C45" s="21" t="s">
        <v>477</v>
      </c>
      <c r="D45" s="833"/>
      <c r="E45" s="28">
        <v>242.68352000000002</v>
      </c>
      <c r="J45" s="814"/>
      <c r="K45" s="778">
        <f t="shared" si="2"/>
        <v>35</v>
      </c>
    </row>
    <row r="46" spans="1:13" x14ac:dyDescent="0.45">
      <c r="A46" s="778">
        <f t="shared" si="1"/>
        <v>36</v>
      </c>
      <c r="B46" s="841">
        <v>930.2</v>
      </c>
      <c r="C46" s="832" t="s">
        <v>494</v>
      </c>
      <c r="D46" s="842">
        <v>0</v>
      </c>
      <c r="E46" s="842"/>
      <c r="J46" s="814"/>
      <c r="K46" s="778">
        <f t="shared" si="2"/>
        <v>36</v>
      </c>
    </row>
    <row r="47" spans="1:13" x14ac:dyDescent="0.45">
      <c r="A47" s="778">
        <f t="shared" si="1"/>
        <v>37</v>
      </c>
      <c r="B47" s="841"/>
      <c r="C47" s="832" t="s">
        <v>495</v>
      </c>
      <c r="D47" s="843">
        <v>2000.03565</v>
      </c>
      <c r="E47" s="844">
        <v>2000.03565</v>
      </c>
      <c r="F47" s="839"/>
      <c r="G47" s="839"/>
      <c r="H47" s="839"/>
      <c r="I47" s="839"/>
      <c r="J47" s="840"/>
      <c r="K47" s="778">
        <f t="shared" si="2"/>
        <v>37</v>
      </c>
    </row>
    <row r="48" spans="1:13" x14ac:dyDescent="0.45">
      <c r="A48" s="778">
        <f t="shared" si="1"/>
        <v>38</v>
      </c>
      <c r="B48" s="831">
        <v>935</v>
      </c>
      <c r="C48" s="845" t="s">
        <v>496</v>
      </c>
      <c r="D48" s="846"/>
      <c r="E48" s="318">
        <v>65.000791141999997</v>
      </c>
      <c r="J48" s="814"/>
      <c r="K48" s="778">
        <f t="shared" si="2"/>
        <v>38</v>
      </c>
    </row>
    <row r="49" spans="1:11" x14ac:dyDescent="0.45">
      <c r="A49" s="778">
        <f t="shared" si="1"/>
        <v>39</v>
      </c>
      <c r="B49" s="847"/>
      <c r="C49" s="807"/>
      <c r="D49" s="848"/>
      <c r="E49" s="28"/>
      <c r="F49" s="849"/>
      <c r="G49" s="849"/>
      <c r="H49" s="849"/>
      <c r="I49" s="849"/>
      <c r="J49" s="814"/>
      <c r="K49" s="778">
        <f t="shared" si="2"/>
        <v>39</v>
      </c>
    </row>
    <row r="50" spans="1:11" ht="15.75" thickBot="1" x14ac:dyDescent="0.45">
      <c r="A50" s="778">
        <f t="shared" si="1"/>
        <v>40</v>
      </c>
      <c r="B50" s="825"/>
      <c r="C50" s="850" t="s">
        <v>111</v>
      </c>
      <c r="D50" s="851"/>
      <c r="E50" s="22">
        <f>SUM(E34:E48)</f>
        <v>145143.08617989699</v>
      </c>
      <c r="F50" s="373"/>
      <c r="G50" s="373"/>
      <c r="H50" s="373"/>
      <c r="I50" s="373"/>
      <c r="J50" s="814"/>
      <c r="K50" s="778">
        <f t="shared" si="2"/>
        <v>40</v>
      </c>
    </row>
    <row r="51" spans="1:11" ht="15.75" thickTop="1" x14ac:dyDescent="0.45">
      <c r="A51" s="778">
        <f t="shared" si="1"/>
        <v>41</v>
      </c>
      <c r="B51" s="825"/>
      <c r="C51" s="850"/>
      <c r="E51" s="852"/>
      <c r="F51" s="373"/>
      <c r="G51" s="373"/>
      <c r="H51" s="373"/>
      <c r="I51" s="373"/>
      <c r="J51" s="814"/>
      <c r="K51" s="778">
        <f t="shared" si="2"/>
        <v>41</v>
      </c>
    </row>
    <row r="52" spans="1:11" ht="15.75" x14ac:dyDescent="0.5">
      <c r="A52" s="778">
        <f t="shared" si="1"/>
        <v>42</v>
      </c>
      <c r="B52" s="68" t="s">
        <v>15</v>
      </c>
      <c r="C52" s="23" t="s">
        <v>332</v>
      </c>
      <c r="E52" s="852"/>
      <c r="F52" s="373"/>
      <c r="G52" s="373"/>
      <c r="H52" s="373"/>
      <c r="I52" s="373"/>
      <c r="J52" s="814"/>
      <c r="K52" s="778">
        <f t="shared" si="2"/>
        <v>42</v>
      </c>
    </row>
    <row r="53" spans="1:11" ht="17.649999999999999" x14ac:dyDescent="0.45">
      <c r="A53" s="778">
        <f t="shared" si="1"/>
        <v>43</v>
      </c>
      <c r="B53" s="325">
        <v>1</v>
      </c>
      <c r="C53" s="319" t="s">
        <v>745</v>
      </c>
      <c r="E53" s="852"/>
      <c r="F53" s="373"/>
      <c r="G53" s="373"/>
      <c r="H53" s="373"/>
      <c r="I53" s="373"/>
      <c r="J53" s="814"/>
      <c r="K53" s="778">
        <f t="shared" si="2"/>
        <v>43</v>
      </c>
    </row>
    <row r="54" spans="1:11" ht="17.25" x14ac:dyDescent="0.45">
      <c r="A54" s="778">
        <f t="shared" si="1"/>
        <v>44</v>
      </c>
      <c r="B54" s="853">
        <v>2</v>
      </c>
      <c r="C54" s="39" t="s">
        <v>764</v>
      </c>
      <c r="E54" s="852"/>
      <c r="F54" s="373"/>
      <c r="G54" s="373"/>
      <c r="H54" s="373"/>
      <c r="I54" s="373"/>
      <c r="J54" s="814"/>
      <c r="K54" s="778">
        <f t="shared" si="2"/>
        <v>44</v>
      </c>
    </row>
    <row r="55" spans="1:11" ht="17.25" x14ac:dyDescent="0.45">
      <c r="A55" s="778">
        <f t="shared" si="1"/>
        <v>45</v>
      </c>
      <c r="B55" s="853"/>
      <c r="C55" s="39" t="s">
        <v>763</v>
      </c>
      <c r="E55" s="852"/>
      <c r="F55" s="373"/>
      <c r="G55" s="373"/>
      <c r="H55" s="373"/>
      <c r="I55" s="373"/>
      <c r="J55" s="814"/>
      <c r="K55" s="778">
        <f t="shared" si="2"/>
        <v>45</v>
      </c>
    </row>
    <row r="56" spans="1:11" ht="15.75" thickBot="1" x14ac:dyDescent="0.5">
      <c r="A56" s="778">
        <f t="shared" si="1"/>
        <v>46</v>
      </c>
      <c r="B56" s="854"/>
      <c r="C56" s="855"/>
      <c r="D56" s="781"/>
      <c r="E56" s="781"/>
      <c r="F56" s="781"/>
      <c r="G56" s="781"/>
      <c r="H56" s="781"/>
      <c r="I56" s="781"/>
      <c r="J56" s="824"/>
      <c r="K56" s="778">
        <f t="shared" si="2"/>
        <v>46</v>
      </c>
    </row>
    <row r="57" spans="1:11" x14ac:dyDescent="0.45">
      <c r="C57" s="807"/>
    </row>
    <row r="58" spans="1:11" x14ac:dyDescent="0.45">
      <c r="A58" s="780"/>
      <c r="C58" s="807"/>
      <c r="D58" s="856"/>
      <c r="E58" s="856"/>
    </row>
    <row r="59" spans="1:11" ht="17.25" x14ac:dyDescent="0.45">
      <c r="A59" s="857"/>
      <c r="C59" s="807"/>
    </row>
    <row r="60" spans="1:11" ht="17.25" x14ac:dyDescent="0.45">
      <c r="A60" s="857"/>
      <c r="C60" s="807"/>
    </row>
    <row r="61" spans="1:11" ht="17.25" x14ac:dyDescent="0.45">
      <c r="A61" s="857"/>
      <c r="C61" s="807"/>
    </row>
    <row r="62" spans="1:11" ht="17.25" x14ac:dyDescent="0.45">
      <c r="A62" s="857"/>
      <c r="C62" s="807"/>
    </row>
    <row r="63" spans="1:11" ht="17.25" x14ac:dyDescent="0.45">
      <c r="A63" s="857"/>
      <c r="C63" s="807"/>
    </row>
    <row r="64" spans="1:11" ht="17.25" x14ac:dyDescent="0.45">
      <c r="A64" s="857"/>
      <c r="C64" s="807"/>
    </row>
    <row r="65" spans="1:3" x14ac:dyDescent="0.45">
      <c r="A65" s="780"/>
      <c r="C65" s="807"/>
    </row>
    <row r="66" spans="1:3" ht="17.25" x14ac:dyDescent="0.45">
      <c r="A66" s="857"/>
      <c r="C66" s="807"/>
    </row>
    <row r="67" spans="1:3" x14ac:dyDescent="0.45">
      <c r="A67" s="780"/>
      <c r="C67" s="807"/>
    </row>
    <row r="68" spans="1:3" ht="17.25" x14ac:dyDescent="0.45">
      <c r="A68" s="857"/>
      <c r="C68" s="807"/>
    </row>
    <row r="69" spans="1:3" x14ac:dyDescent="0.45">
      <c r="A69" s="780"/>
      <c r="C69" s="807"/>
    </row>
    <row r="70" spans="1:3" ht="17.25" x14ac:dyDescent="0.45">
      <c r="A70" s="857"/>
      <c r="C70" s="807"/>
    </row>
    <row r="71" spans="1:3" ht="17.25" x14ac:dyDescent="0.45">
      <c r="A71" s="857"/>
      <c r="B71" s="807"/>
    </row>
    <row r="72" spans="1:3" ht="17.25" x14ac:dyDescent="0.45">
      <c r="A72" s="857"/>
      <c r="B72" s="807"/>
    </row>
    <row r="73" spans="1:3" x14ac:dyDescent="0.45">
      <c r="B73" s="807"/>
    </row>
    <row r="74" spans="1:3" ht="17.25" x14ac:dyDescent="0.45">
      <c r="A74" s="857"/>
      <c r="B74" s="807"/>
    </row>
    <row r="75" spans="1:3" x14ac:dyDescent="0.45">
      <c r="A75" s="858"/>
      <c r="B75" s="859"/>
    </row>
    <row r="76" spans="1:3" x14ac:dyDescent="0.45">
      <c r="B76" s="807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48" orientation="portrait" r:id="rId1"/>
  <headerFooter scaleWithDoc="0" alignWithMargins="0">
    <oddHeader>&amp;C&amp;"Times New Roman,Bold"REVISED</oddHeader>
    <oddFooter>&amp;CPage 7.2&amp;R&amp;F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J34"/>
  <sheetViews>
    <sheetView zoomScale="80" zoomScaleNormal="80" workbookViewId="0"/>
  </sheetViews>
  <sheetFormatPr defaultColWidth="8.796875" defaultRowHeight="15.4" x14ac:dyDescent="0.45"/>
  <cols>
    <col min="1" max="1" width="5.265625" style="375" bestFit="1" customWidth="1"/>
    <col min="2" max="2" width="68.796875" style="131" customWidth="1"/>
    <col min="3" max="3" width="24" style="132" customWidth="1"/>
    <col min="4" max="4" width="1.59765625" style="131" customWidth="1"/>
    <col min="5" max="5" width="16.796875" style="131" customWidth="1"/>
    <col min="6" max="6" width="1.59765625" style="131" customWidth="1"/>
    <col min="7" max="7" width="16.796875" style="131" customWidth="1"/>
    <col min="8" max="8" width="1.59765625" style="131" customWidth="1"/>
    <col min="9" max="9" width="36.06640625" style="131" customWidth="1"/>
    <col min="10" max="10" width="5.265625" style="131" customWidth="1"/>
    <col min="11" max="16384" width="8.796875" style="131"/>
  </cols>
  <sheetData>
    <row r="1" spans="1:10" x14ac:dyDescent="0.45">
      <c r="H1" s="375"/>
      <c r="I1" s="762"/>
      <c r="J1" s="375"/>
    </row>
    <row r="2" spans="1:10" x14ac:dyDescent="0.45">
      <c r="B2" s="1002" t="s">
        <v>19</v>
      </c>
      <c r="C2" s="1003"/>
      <c r="D2" s="1003"/>
      <c r="E2" s="1003"/>
      <c r="F2" s="1003"/>
      <c r="G2" s="1003"/>
      <c r="H2" s="1003"/>
      <c r="I2" s="1003"/>
      <c r="J2" s="374"/>
    </row>
    <row r="3" spans="1:10" x14ac:dyDescent="0.45">
      <c r="B3" s="1002" t="s">
        <v>497</v>
      </c>
      <c r="C3" s="1003"/>
      <c r="D3" s="1003"/>
      <c r="E3" s="1003"/>
      <c r="F3" s="1003"/>
      <c r="G3" s="1003"/>
      <c r="H3" s="1003"/>
      <c r="I3" s="1003"/>
      <c r="J3" s="374"/>
    </row>
    <row r="4" spans="1:10" x14ac:dyDescent="0.45">
      <c r="B4" s="1002" t="s">
        <v>112</v>
      </c>
      <c r="C4" s="1003"/>
      <c r="D4" s="1003"/>
      <c r="E4" s="1003"/>
      <c r="F4" s="1003"/>
      <c r="G4" s="1003"/>
      <c r="H4" s="1003"/>
      <c r="I4" s="1003"/>
      <c r="J4" s="374"/>
    </row>
    <row r="5" spans="1:10" x14ac:dyDescent="0.45">
      <c r="B5" s="1004" t="s">
        <v>569</v>
      </c>
      <c r="C5" s="1004"/>
      <c r="D5" s="1004"/>
      <c r="E5" s="1004"/>
      <c r="F5" s="1004"/>
      <c r="G5" s="1004"/>
      <c r="H5" s="1004"/>
      <c r="I5" s="1004"/>
      <c r="J5" s="374"/>
    </row>
    <row r="6" spans="1:10" x14ac:dyDescent="0.45">
      <c r="B6" s="1005" t="s">
        <v>1</v>
      </c>
      <c r="C6" s="1005"/>
      <c r="D6" s="1005"/>
      <c r="E6" s="1005"/>
      <c r="F6" s="1005"/>
      <c r="G6" s="1005"/>
      <c r="H6" s="1005"/>
      <c r="I6" s="1005"/>
      <c r="J6" s="133"/>
    </row>
    <row r="7" spans="1:10" x14ac:dyDescent="0.45">
      <c r="B7" s="375"/>
      <c r="D7" s="375"/>
      <c r="E7" s="375"/>
      <c r="F7" s="375"/>
      <c r="G7" s="375"/>
      <c r="H7" s="374"/>
      <c r="I7" s="374"/>
      <c r="J7" s="374"/>
    </row>
    <row r="8" spans="1:10" x14ac:dyDescent="0.45">
      <c r="A8" s="375" t="s">
        <v>2</v>
      </c>
      <c r="B8" s="374"/>
      <c r="C8" s="38" t="s">
        <v>21</v>
      </c>
      <c r="D8" s="375"/>
      <c r="E8" s="375" t="s">
        <v>113</v>
      </c>
      <c r="F8" s="375"/>
      <c r="G8" s="375" t="s">
        <v>114</v>
      </c>
      <c r="H8" s="374"/>
      <c r="I8" s="374"/>
      <c r="J8" s="375" t="s">
        <v>2</v>
      </c>
    </row>
    <row r="9" spans="1:10" x14ac:dyDescent="0.45">
      <c r="A9" s="375" t="s">
        <v>6</v>
      </c>
      <c r="B9" s="374"/>
      <c r="C9" s="295" t="s">
        <v>22</v>
      </c>
      <c r="D9" s="374"/>
      <c r="E9" s="327" t="s">
        <v>115</v>
      </c>
      <c r="F9" s="374"/>
      <c r="G9" s="327" t="s">
        <v>116</v>
      </c>
      <c r="H9" s="374"/>
      <c r="I9" s="328" t="s">
        <v>5</v>
      </c>
      <c r="J9" s="375" t="s">
        <v>6</v>
      </c>
    </row>
    <row r="10" spans="1:10" x14ac:dyDescent="0.45">
      <c r="B10" s="375"/>
      <c r="D10" s="375"/>
      <c r="E10" s="375"/>
      <c r="F10" s="375"/>
      <c r="G10" s="375"/>
      <c r="H10" s="375"/>
      <c r="I10" s="375"/>
      <c r="J10" s="375"/>
    </row>
    <row r="11" spans="1:10" ht="17.25" x14ac:dyDescent="0.45">
      <c r="A11" s="375">
        <v>1</v>
      </c>
      <c r="B11" s="131" t="s">
        <v>117</v>
      </c>
      <c r="C11" s="375" t="s">
        <v>118</v>
      </c>
      <c r="E11" s="329"/>
      <c r="F11" s="134"/>
      <c r="G11" s="291">
        <v>133751.8893076923</v>
      </c>
      <c r="H11" s="134"/>
      <c r="I11" s="63" t="s">
        <v>613</v>
      </c>
      <c r="J11" s="375">
        <f>A11</f>
        <v>1</v>
      </c>
    </row>
    <row r="12" spans="1:10" x14ac:dyDescent="0.45">
      <c r="A12" s="375">
        <f>+A11+1</f>
        <v>2</v>
      </c>
      <c r="C12" s="375"/>
      <c r="E12" s="135"/>
      <c r="F12" s="136"/>
      <c r="G12" s="136"/>
      <c r="H12" s="136"/>
      <c r="I12" s="63"/>
      <c r="J12" s="375">
        <f>+J11+1</f>
        <v>2</v>
      </c>
    </row>
    <row r="13" spans="1:10" x14ac:dyDescent="0.45">
      <c r="A13" s="375">
        <f t="shared" ref="A13:A29" si="0">+A12+1</f>
        <v>3</v>
      </c>
      <c r="B13" s="131" t="s">
        <v>119</v>
      </c>
      <c r="C13" s="375"/>
      <c r="E13" s="137"/>
      <c r="F13" s="138"/>
      <c r="G13" s="330">
        <v>0.39343395105771634</v>
      </c>
      <c r="H13" s="134"/>
      <c r="I13" s="63" t="s">
        <v>614</v>
      </c>
      <c r="J13" s="375">
        <f t="shared" ref="J13:J29" si="1">+J12+1</f>
        <v>3</v>
      </c>
    </row>
    <row r="14" spans="1:10" x14ac:dyDescent="0.45">
      <c r="A14" s="375">
        <f t="shared" si="0"/>
        <v>4</v>
      </c>
      <c r="C14" s="375"/>
      <c r="E14" s="135"/>
      <c r="F14" s="136"/>
      <c r="G14" s="135"/>
      <c r="H14" s="136"/>
      <c r="I14" s="63"/>
      <c r="J14" s="375">
        <f t="shared" si="1"/>
        <v>4</v>
      </c>
    </row>
    <row r="15" spans="1:10" ht="15.75" thickBot="1" x14ac:dyDescent="0.5">
      <c r="A15" s="375">
        <f t="shared" si="0"/>
        <v>5</v>
      </c>
      <c r="B15" s="131" t="s">
        <v>120</v>
      </c>
      <c r="C15" s="375"/>
      <c r="E15" s="331"/>
      <c r="F15" s="136"/>
      <c r="G15" s="332">
        <f>G11*G13</f>
        <v>52622.534271759701</v>
      </c>
      <c r="H15" s="134"/>
      <c r="I15" s="63" t="s">
        <v>615</v>
      </c>
      <c r="J15" s="375">
        <f t="shared" si="1"/>
        <v>5</v>
      </c>
    </row>
    <row r="16" spans="1:10" ht="15.75" thickTop="1" x14ac:dyDescent="0.45">
      <c r="A16" s="375">
        <f t="shared" si="0"/>
        <v>6</v>
      </c>
      <c r="C16" s="375"/>
      <c r="E16" s="333"/>
      <c r="F16" s="375"/>
      <c r="G16" s="375"/>
      <c r="H16" s="375"/>
      <c r="I16" s="63"/>
      <c r="J16" s="375">
        <f t="shared" si="1"/>
        <v>6</v>
      </c>
    </row>
    <row r="17" spans="1:10" ht="17.25" x14ac:dyDescent="0.45">
      <c r="A17" s="375">
        <f t="shared" si="0"/>
        <v>7</v>
      </c>
      <c r="B17" s="131" t="s">
        <v>121</v>
      </c>
      <c r="C17" s="375" t="s">
        <v>122</v>
      </c>
      <c r="D17" s="334"/>
      <c r="E17" s="329"/>
      <c r="F17" s="136"/>
      <c r="G17" s="335">
        <v>50549.307692307695</v>
      </c>
      <c r="H17" s="134"/>
      <c r="I17" s="63" t="s">
        <v>616</v>
      </c>
      <c r="J17" s="375">
        <f t="shared" si="1"/>
        <v>7</v>
      </c>
    </row>
    <row r="18" spans="1:10" x14ac:dyDescent="0.45">
      <c r="A18" s="375">
        <f t="shared" si="0"/>
        <v>8</v>
      </c>
      <c r="C18" s="375"/>
      <c r="E18" s="336"/>
      <c r="F18" s="136"/>
      <c r="G18" s="136"/>
      <c r="H18" s="136"/>
      <c r="I18" s="63"/>
      <c r="J18" s="375">
        <f t="shared" si="1"/>
        <v>8</v>
      </c>
    </row>
    <row r="19" spans="1:10" ht="15.75" thickBot="1" x14ac:dyDescent="0.5">
      <c r="A19" s="375">
        <f t="shared" si="0"/>
        <v>9</v>
      </c>
      <c r="B19" s="131" t="s">
        <v>123</v>
      </c>
      <c r="E19" s="329"/>
      <c r="F19" s="136"/>
      <c r="G19" s="332">
        <f>G13*G17</f>
        <v>19887.813848616828</v>
      </c>
      <c r="H19" s="134"/>
      <c r="I19" s="63" t="s">
        <v>617</v>
      </c>
      <c r="J19" s="375">
        <f t="shared" si="1"/>
        <v>9</v>
      </c>
    </row>
    <row r="20" spans="1:10" ht="15.75" thickTop="1" x14ac:dyDescent="0.45">
      <c r="A20" s="375">
        <f t="shared" si="0"/>
        <v>10</v>
      </c>
      <c r="E20" s="337"/>
      <c r="F20" s="136"/>
      <c r="G20" s="136"/>
      <c r="H20" s="136"/>
      <c r="I20" s="63"/>
      <c r="J20" s="375">
        <f t="shared" si="1"/>
        <v>10</v>
      </c>
    </row>
    <row r="21" spans="1:10" x14ac:dyDescent="0.45">
      <c r="A21" s="375">
        <f t="shared" si="0"/>
        <v>11</v>
      </c>
      <c r="B21" s="139" t="s">
        <v>124</v>
      </c>
      <c r="E21" s="337"/>
      <c r="F21" s="136"/>
      <c r="G21" s="136"/>
      <c r="H21" s="136"/>
      <c r="I21" s="63"/>
      <c r="J21" s="375">
        <f t="shared" si="1"/>
        <v>11</v>
      </c>
    </row>
    <row r="22" spans="1:10" ht="15.75" x14ac:dyDescent="0.5">
      <c r="A22" s="375">
        <f t="shared" si="0"/>
        <v>12</v>
      </c>
      <c r="B22" s="131" t="s">
        <v>125</v>
      </c>
      <c r="E22" s="338">
        <f>'Pg7 Revised Stmt AH'!F28</f>
        <v>38340.01994999998</v>
      </c>
      <c r="F22" s="26" t="s">
        <v>15</v>
      </c>
      <c r="G22" s="292"/>
      <c r="H22" s="136"/>
      <c r="I22" s="63" t="s">
        <v>618</v>
      </c>
      <c r="J22" s="375">
        <f t="shared" si="1"/>
        <v>12</v>
      </c>
    </row>
    <row r="23" spans="1:10" ht="15.75" x14ac:dyDescent="0.5">
      <c r="A23" s="375">
        <f t="shared" si="0"/>
        <v>13</v>
      </c>
      <c r="B23" s="131" t="s">
        <v>126</v>
      </c>
      <c r="E23" s="339">
        <f>'Pg7 Revised Stmt AH'!F49</f>
        <v>36230.967532831579</v>
      </c>
      <c r="F23" s="26" t="s">
        <v>15</v>
      </c>
      <c r="G23" s="340"/>
      <c r="H23" s="136"/>
      <c r="I23" s="63" t="s">
        <v>619</v>
      </c>
      <c r="J23" s="375">
        <f t="shared" si="1"/>
        <v>13</v>
      </c>
    </row>
    <row r="24" spans="1:10" x14ac:dyDescent="0.45">
      <c r="A24" s="375">
        <f t="shared" si="0"/>
        <v>14</v>
      </c>
      <c r="B24" s="131" t="s">
        <v>127</v>
      </c>
      <c r="E24" s="860">
        <f>-'Pg7 Revised Stmt AH'!F34</f>
        <v>0</v>
      </c>
      <c r="F24" s="136"/>
      <c r="G24" s="340"/>
      <c r="H24" s="136"/>
      <c r="I24" s="63" t="s">
        <v>620</v>
      </c>
      <c r="J24" s="375">
        <f t="shared" si="1"/>
        <v>14</v>
      </c>
    </row>
    <row r="25" spans="1:10" ht="15.75" x14ac:dyDescent="0.5">
      <c r="A25" s="375">
        <f t="shared" si="0"/>
        <v>15</v>
      </c>
      <c r="B25" s="131" t="s">
        <v>128</v>
      </c>
      <c r="E25" s="341">
        <f>SUM(E22:E24)</f>
        <v>74570.987482831551</v>
      </c>
      <c r="F25" s="26" t="s">
        <v>15</v>
      </c>
      <c r="G25" s="334"/>
      <c r="H25" s="63"/>
      <c r="I25" s="63" t="s">
        <v>621</v>
      </c>
      <c r="J25" s="375">
        <f t="shared" si="1"/>
        <v>15</v>
      </c>
    </row>
    <row r="26" spans="1:10" x14ac:dyDescent="0.45">
      <c r="A26" s="375">
        <f t="shared" si="0"/>
        <v>16</v>
      </c>
      <c r="F26" s="375"/>
      <c r="H26" s="375"/>
      <c r="I26" s="63"/>
      <c r="J26" s="375">
        <f t="shared" si="1"/>
        <v>16</v>
      </c>
    </row>
    <row r="27" spans="1:10" x14ac:dyDescent="0.45">
      <c r="A27" s="375">
        <f t="shared" si="0"/>
        <v>17</v>
      </c>
      <c r="B27" s="131" t="s">
        <v>129</v>
      </c>
      <c r="E27" s="342">
        <f>1/8</f>
        <v>0.125</v>
      </c>
      <c r="F27" s="375"/>
      <c r="G27" s="343"/>
      <c r="H27" s="375"/>
      <c r="I27" s="63" t="s">
        <v>130</v>
      </c>
      <c r="J27" s="375">
        <f t="shared" si="1"/>
        <v>17</v>
      </c>
    </row>
    <row r="28" spans="1:10" x14ac:dyDescent="0.45">
      <c r="A28" s="375">
        <f t="shared" si="0"/>
        <v>18</v>
      </c>
      <c r="E28" s="135" t="s">
        <v>11</v>
      </c>
      <c r="F28" s="136"/>
      <c r="G28" s="135"/>
      <c r="H28" s="136"/>
      <c r="I28" s="63"/>
      <c r="J28" s="375">
        <f t="shared" si="1"/>
        <v>18</v>
      </c>
    </row>
    <row r="29" spans="1:10" ht="16.149999999999999" thickBot="1" x14ac:dyDescent="0.55000000000000004">
      <c r="A29" s="375">
        <f t="shared" si="0"/>
        <v>19</v>
      </c>
      <c r="B29" s="131" t="s">
        <v>131</v>
      </c>
      <c r="E29" s="344">
        <f>E25*E27</f>
        <v>9321.3734353539439</v>
      </c>
      <c r="F29" s="26" t="s">
        <v>15</v>
      </c>
      <c r="G29" s="331"/>
      <c r="H29" s="136"/>
      <c r="I29" s="375" t="s">
        <v>622</v>
      </c>
      <c r="J29" s="375">
        <f t="shared" si="1"/>
        <v>19</v>
      </c>
    </row>
    <row r="30" spans="1:10" ht="15.75" thickTop="1" x14ac:dyDescent="0.45">
      <c r="B30" s="345"/>
    </row>
    <row r="31" spans="1:10" ht="15.75" x14ac:dyDescent="0.5">
      <c r="A31" s="26" t="s">
        <v>15</v>
      </c>
      <c r="B31" s="23" t="s">
        <v>332</v>
      </c>
      <c r="C31" s="23"/>
    </row>
    <row r="32" spans="1:10" ht="17.25" x14ac:dyDescent="0.45">
      <c r="A32" s="142">
        <v>1</v>
      </c>
      <c r="B32" s="131" t="s">
        <v>132</v>
      </c>
    </row>
    <row r="33" spans="1:2" ht="17.25" x14ac:dyDescent="0.45">
      <c r="A33" s="142"/>
    </row>
    <row r="34" spans="1:2" x14ac:dyDescent="0.45">
      <c r="A34" s="374"/>
      <c r="B34" s="133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Roman,Bold"REVISED</oddHeader>
    <oddFooter>&amp;CPage 8&amp;R&amp;F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59"/>
  <sheetViews>
    <sheetView zoomScale="80" zoomScaleNormal="80" workbookViewId="0"/>
  </sheetViews>
  <sheetFormatPr defaultColWidth="8.796875" defaultRowHeight="15.4" x14ac:dyDescent="0.45"/>
  <cols>
    <col min="1" max="1" width="5.265625" style="38" customWidth="1"/>
    <col min="2" max="2" width="55.33203125" style="39" customWidth="1"/>
    <col min="3" max="5" width="15.59765625" style="39" customWidth="1"/>
    <col min="6" max="6" width="1.59765625" style="39" customWidth="1"/>
    <col min="7" max="7" width="16.796875" style="39" customWidth="1"/>
    <col min="8" max="8" width="1.59765625" style="39" customWidth="1"/>
    <col min="9" max="9" width="38.73046875" style="143" customWidth="1"/>
    <col min="10" max="10" width="5.265625" style="39" customWidth="1"/>
    <col min="11" max="11" width="27" style="39" bestFit="1" customWidth="1"/>
    <col min="12" max="12" width="15" style="39" bestFit="1" customWidth="1"/>
    <col min="13" max="13" width="10.33203125" style="39" bestFit="1" customWidth="1"/>
    <col min="14" max="16384" width="8.796875" style="39"/>
  </cols>
  <sheetData>
    <row r="1" spans="1:10" x14ac:dyDescent="0.45">
      <c r="A1" s="346"/>
      <c r="G1" s="65"/>
      <c r="H1" s="65"/>
      <c r="I1" s="166"/>
      <c r="J1" s="38"/>
    </row>
    <row r="2" spans="1:10" x14ac:dyDescent="0.45">
      <c r="B2" s="996" t="s">
        <v>263</v>
      </c>
      <c r="C2" s="996"/>
      <c r="D2" s="996"/>
      <c r="E2" s="996"/>
      <c r="F2" s="996"/>
      <c r="G2" s="996"/>
      <c r="H2" s="996"/>
      <c r="I2" s="996"/>
      <c r="J2" s="38"/>
    </row>
    <row r="3" spans="1:10" x14ac:dyDescent="0.45">
      <c r="B3" s="996" t="s">
        <v>498</v>
      </c>
      <c r="C3" s="996"/>
      <c r="D3" s="996"/>
      <c r="E3" s="996"/>
      <c r="F3" s="996"/>
      <c r="G3" s="996"/>
      <c r="H3" s="996"/>
      <c r="I3" s="996"/>
      <c r="J3" s="38"/>
    </row>
    <row r="4" spans="1:10" x14ac:dyDescent="0.45">
      <c r="B4" s="996" t="s">
        <v>134</v>
      </c>
      <c r="C4" s="996"/>
      <c r="D4" s="996"/>
      <c r="E4" s="996"/>
      <c r="F4" s="996"/>
      <c r="G4" s="996"/>
      <c r="H4" s="996"/>
      <c r="I4" s="996"/>
      <c r="J4" s="38"/>
    </row>
    <row r="5" spans="1:10" x14ac:dyDescent="0.45">
      <c r="B5" s="997" t="s">
        <v>569</v>
      </c>
      <c r="C5" s="997"/>
      <c r="D5" s="997"/>
      <c r="E5" s="997"/>
      <c r="F5" s="997"/>
      <c r="G5" s="997"/>
      <c r="H5" s="997"/>
      <c r="I5" s="997"/>
      <c r="J5" s="38"/>
    </row>
    <row r="6" spans="1:10" x14ac:dyDescent="0.45">
      <c r="B6" s="998" t="s">
        <v>1</v>
      </c>
      <c r="C6" s="999"/>
      <c r="D6" s="999"/>
      <c r="E6" s="999"/>
      <c r="F6" s="999"/>
      <c r="G6" s="999"/>
      <c r="H6" s="999"/>
      <c r="I6" s="999"/>
      <c r="J6" s="38"/>
    </row>
    <row r="7" spans="1:10" x14ac:dyDescent="0.45">
      <c r="B7" s="38"/>
      <c r="C7" s="38"/>
      <c r="D7" s="38"/>
      <c r="E7" s="38"/>
      <c r="F7" s="38"/>
      <c r="G7" s="38"/>
      <c r="H7" s="38"/>
      <c r="I7" s="50"/>
      <c r="J7" s="38"/>
    </row>
    <row r="8" spans="1:10" x14ac:dyDescent="0.45">
      <c r="A8" s="38" t="s">
        <v>2</v>
      </c>
      <c r="B8" s="372"/>
      <c r="C8" s="372"/>
      <c r="D8" s="372"/>
      <c r="E8" s="38" t="s">
        <v>21</v>
      </c>
      <c r="F8" s="372"/>
      <c r="G8" s="372"/>
      <c r="H8" s="372"/>
      <c r="I8" s="50"/>
      <c r="J8" s="38" t="s">
        <v>2</v>
      </c>
    </row>
    <row r="9" spans="1:10" x14ac:dyDescent="0.45">
      <c r="A9" s="38" t="s">
        <v>6</v>
      </c>
      <c r="B9" s="38"/>
      <c r="C9" s="38"/>
      <c r="D9" s="38"/>
      <c r="E9" s="295" t="s">
        <v>22</v>
      </c>
      <c r="F9" s="38"/>
      <c r="G9" s="296" t="s">
        <v>4</v>
      </c>
      <c r="H9" s="372"/>
      <c r="I9" s="347" t="s">
        <v>5</v>
      </c>
      <c r="J9" s="38" t="s">
        <v>6</v>
      </c>
    </row>
    <row r="10" spans="1:10" x14ac:dyDescent="0.45">
      <c r="B10" s="38"/>
      <c r="C10" s="38"/>
      <c r="D10" s="38"/>
      <c r="E10" s="38"/>
      <c r="F10" s="38"/>
      <c r="G10" s="38"/>
      <c r="H10" s="38"/>
      <c r="I10" s="50"/>
      <c r="J10" s="38"/>
    </row>
    <row r="11" spans="1:10" x14ac:dyDescent="0.45">
      <c r="A11" s="38">
        <v>1</v>
      </c>
      <c r="B11" s="43" t="s">
        <v>135</v>
      </c>
      <c r="I11" s="50"/>
      <c r="J11" s="38">
        <f>A11</f>
        <v>1</v>
      </c>
    </row>
    <row r="12" spans="1:10" x14ac:dyDescent="0.45">
      <c r="A12" s="38">
        <f>A11+1</f>
        <v>2</v>
      </c>
      <c r="B12" s="39" t="s">
        <v>136</v>
      </c>
      <c r="E12" s="38" t="s">
        <v>137</v>
      </c>
      <c r="F12" s="530"/>
      <c r="G12" s="144">
        <v>4776266</v>
      </c>
      <c r="H12" s="372"/>
      <c r="I12" s="861"/>
      <c r="J12" s="38">
        <f>J11+1</f>
        <v>2</v>
      </c>
    </row>
    <row r="13" spans="1:10" x14ac:dyDescent="0.45">
      <c r="A13" s="38">
        <f t="shared" ref="A13:A52" si="0">A12+1</f>
        <v>3</v>
      </c>
      <c r="B13" s="39" t="s">
        <v>138</v>
      </c>
      <c r="E13" s="38" t="s">
        <v>139</v>
      </c>
      <c r="F13" s="530"/>
      <c r="G13" s="145">
        <v>0</v>
      </c>
      <c r="H13" s="372"/>
      <c r="I13" s="861"/>
      <c r="J13" s="38">
        <f t="shared" ref="J13:J52" si="1">J12+1</f>
        <v>3</v>
      </c>
    </row>
    <row r="14" spans="1:10" x14ac:dyDescent="0.45">
      <c r="A14" s="38">
        <f t="shared" si="0"/>
        <v>4</v>
      </c>
      <c r="B14" s="39" t="s">
        <v>140</v>
      </c>
      <c r="E14" s="38" t="s">
        <v>141</v>
      </c>
      <c r="F14" s="530"/>
      <c r="G14" s="145">
        <v>0</v>
      </c>
      <c r="H14" s="372"/>
      <c r="I14" s="861"/>
      <c r="J14" s="38">
        <f t="shared" si="1"/>
        <v>4</v>
      </c>
    </row>
    <row r="15" spans="1:10" x14ac:dyDescent="0.45">
      <c r="A15" s="38">
        <f t="shared" si="0"/>
        <v>5</v>
      </c>
      <c r="B15" s="39" t="s">
        <v>142</v>
      </c>
      <c r="E15" s="38" t="s">
        <v>143</v>
      </c>
      <c r="F15" s="530"/>
      <c r="G15" s="145">
        <v>0</v>
      </c>
      <c r="H15" s="372"/>
      <c r="I15" s="861"/>
      <c r="J15" s="38">
        <f t="shared" si="1"/>
        <v>5</v>
      </c>
    </row>
    <row r="16" spans="1:10" x14ac:dyDescent="0.45">
      <c r="A16" s="38">
        <f t="shared" si="0"/>
        <v>6</v>
      </c>
      <c r="B16" s="39" t="s">
        <v>144</v>
      </c>
      <c r="E16" s="38" t="s">
        <v>145</v>
      </c>
      <c r="F16" s="530"/>
      <c r="G16" s="145">
        <v>-12609.584859999999</v>
      </c>
      <c r="H16" s="372"/>
      <c r="I16" s="861"/>
      <c r="J16" s="38">
        <f t="shared" si="1"/>
        <v>6</v>
      </c>
    </row>
    <row r="17" spans="1:10" x14ac:dyDescent="0.45">
      <c r="A17" s="38">
        <f t="shared" si="0"/>
        <v>7</v>
      </c>
      <c r="B17" s="39" t="s">
        <v>146</v>
      </c>
      <c r="G17" s="146">
        <f>SUM(G12:G16)</f>
        <v>4763656.4151400002</v>
      </c>
      <c r="H17" s="140"/>
      <c r="I17" s="50" t="str">
        <f>"Sum Lines "&amp;A12&amp;" thru "&amp;A16</f>
        <v>Sum Lines 2 thru 6</v>
      </c>
      <c r="J17" s="38">
        <f t="shared" si="1"/>
        <v>7</v>
      </c>
    </row>
    <row r="18" spans="1:10" x14ac:dyDescent="0.45">
      <c r="A18" s="38">
        <f t="shared" si="0"/>
        <v>8</v>
      </c>
      <c r="I18" s="50"/>
      <c r="J18" s="38">
        <f t="shared" si="1"/>
        <v>8</v>
      </c>
    </row>
    <row r="19" spans="1:10" x14ac:dyDescent="0.45">
      <c r="A19" s="38">
        <f t="shared" si="0"/>
        <v>9</v>
      </c>
      <c r="B19" s="43" t="s">
        <v>147</v>
      </c>
      <c r="G19" s="37"/>
      <c r="H19" s="37"/>
      <c r="I19" s="50"/>
      <c r="J19" s="38">
        <f t="shared" si="1"/>
        <v>9</v>
      </c>
    </row>
    <row r="20" spans="1:10" x14ac:dyDescent="0.45">
      <c r="A20" s="38">
        <f t="shared" si="0"/>
        <v>10</v>
      </c>
      <c r="B20" s="39" t="s">
        <v>148</v>
      </c>
      <c r="E20" s="38" t="s">
        <v>149</v>
      </c>
      <c r="F20" s="530"/>
      <c r="G20" s="144">
        <v>200012.28902</v>
      </c>
      <c r="H20" s="372"/>
      <c r="I20" s="147"/>
      <c r="J20" s="38">
        <f t="shared" si="1"/>
        <v>10</v>
      </c>
    </row>
    <row r="21" spans="1:10" x14ac:dyDescent="0.45">
      <c r="A21" s="38">
        <f t="shared" si="0"/>
        <v>11</v>
      </c>
      <c r="B21" s="39" t="s">
        <v>150</v>
      </c>
      <c r="E21" s="38" t="s">
        <v>151</v>
      </c>
      <c r="F21" s="530"/>
      <c r="G21" s="145">
        <v>3450.8071800000002</v>
      </c>
      <c r="H21" s="372"/>
      <c r="I21" s="147"/>
      <c r="J21" s="38">
        <f t="shared" si="1"/>
        <v>11</v>
      </c>
    </row>
    <row r="22" spans="1:10" x14ac:dyDescent="0.45">
      <c r="A22" s="38">
        <f t="shared" si="0"/>
        <v>12</v>
      </c>
      <c r="B22" s="39" t="s">
        <v>152</v>
      </c>
      <c r="E22" s="38" t="s">
        <v>153</v>
      </c>
      <c r="F22" s="530"/>
      <c r="G22" s="145">
        <v>2799.42463</v>
      </c>
      <c r="H22" s="372"/>
      <c r="I22" s="147"/>
      <c r="J22" s="38">
        <f t="shared" si="1"/>
        <v>12</v>
      </c>
    </row>
    <row r="23" spans="1:10" x14ac:dyDescent="0.45">
      <c r="A23" s="38">
        <f t="shared" si="0"/>
        <v>13</v>
      </c>
      <c r="B23" s="39" t="s">
        <v>154</v>
      </c>
      <c r="E23" s="38" t="s">
        <v>155</v>
      </c>
      <c r="F23" s="530"/>
      <c r="G23" s="145">
        <v>0</v>
      </c>
      <c r="H23" s="372"/>
      <c r="I23" s="147"/>
      <c r="J23" s="38">
        <f t="shared" si="1"/>
        <v>13</v>
      </c>
    </row>
    <row r="24" spans="1:10" x14ac:dyDescent="0.45">
      <c r="A24" s="38">
        <f t="shared" si="0"/>
        <v>14</v>
      </c>
      <c r="B24" s="39" t="s">
        <v>156</v>
      </c>
      <c r="E24" s="38" t="s">
        <v>157</v>
      </c>
      <c r="F24" s="530"/>
      <c r="G24" s="145">
        <v>0</v>
      </c>
      <c r="H24" s="372"/>
      <c r="I24" s="147"/>
      <c r="J24" s="38">
        <f t="shared" si="1"/>
        <v>14</v>
      </c>
    </row>
    <row r="25" spans="1:10" x14ac:dyDescent="0.45">
      <c r="A25" s="38">
        <f t="shared" si="0"/>
        <v>15</v>
      </c>
      <c r="B25" s="39" t="s">
        <v>158</v>
      </c>
      <c r="G25" s="148">
        <f>SUM(G20:G24)</f>
        <v>206262.52082999999</v>
      </c>
      <c r="H25" s="149"/>
      <c r="I25" s="50" t="str">
        <f>"Sum Lines "&amp;A20&amp;" thru "&amp;A24</f>
        <v>Sum Lines 10 thru 14</v>
      </c>
      <c r="J25" s="38">
        <f t="shared" si="1"/>
        <v>15</v>
      </c>
    </row>
    <row r="26" spans="1:10" x14ac:dyDescent="0.45">
      <c r="A26" s="38">
        <f t="shared" si="0"/>
        <v>16</v>
      </c>
      <c r="I26" s="50"/>
      <c r="J26" s="38">
        <f t="shared" si="1"/>
        <v>16</v>
      </c>
    </row>
    <row r="27" spans="1:10" ht="15.75" thickBot="1" x14ac:dyDescent="0.5">
      <c r="A27" s="38">
        <f t="shared" si="0"/>
        <v>17</v>
      </c>
      <c r="B27" s="43" t="s">
        <v>159</v>
      </c>
      <c r="G27" s="150">
        <f>G25/G17</f>
        <v>4.329920188501632E-2</v>
      </c>
      <c r="H27" s="151"/>
      <c r="I27" s="50" t="str">
        <f>"Line "&amp;A25&amp;" / Line "&amp;A17</f>
        <v>Line 15 / Line 7</v>
      </c>
      <c r="J27" s="38">
        <f t="shared" si="1"/>
        <v>17</v>
      </c>
    </row>
    <row r="28" spans="1:10" ht="15.75" thickTop="1" x14ac:dyDescent="0.45">
      <c r="A28" s="38">
        <f t="shared" si="0"/>
        <v>18</v>
      </c>
      <c r="I28" s="50"/>
      <c r="J28" s="38">
        <f t="shared" si="1"/>
        <v>18</v>
      </c>
    </row>
    <row r="29" spans="1:10" x14ac:dyDescent="0.45">
      <c r="A29" s="38">
        <f t="shared" si="0"/>
        <v>19</v>
      </c>
      <c r="B29" s="43" t="s">
        <v>160</v>
      </c>
      <c r="I29" s="50"/>
      <c r="J29" s="38">
        <f t="shared" si="1"/>
        <v>19</v>
      </c>
    </row>
    <row r="30" spans="1:10" x14ac:dyDescent="0.45">
      <c r="A30" s="38">
        <f t="shared" si="0"/>
        <v>20</v>
      </c>
      <c r="B30" s="39" t="s">
        <v>161</v>
      </c>
      <c r="E30" s="38" t="s">
        <v>162</v>
      </c>
      <c r="F30" s="530"/>
      <c r="G30" s="144">
        <v>0</v>
      </c>
      <c r="H30" s="372"/>
      <c r="I30" s="147"/>
      <c r="J30" s="38">
        <f t="shared" si="1"/>
        <v>20</v>
      </c>
    </row>
    <row r="31" spans="1:10" x14ac:dyDescent="0.45">
      <c r="A31" s="38">
        <f t="shared" si="0"/>
        <v>21</v>
      </c>
      <c r="B31" s="39" t="s">
        <v>163</v>
      </c>
      <c r="E31" s="38" t="s">
        <v>164</v>
      </c>
      <c r="F31" s="530"/>
      <c r="G31" s="348">
        <v>0</v>
      </c>
      <c r="H31" s="372"/>
      <c r="I31" s="147"/>
      <c r="J31" s="38">
        <f t="shared" si="1"/>
        <v>21</v>
      </c>
    </row>
    <row r="32" spans="1:10" ht="15.75" thickBot="1" x14ac:dyDescent="0.5">
      <c r="A32" s="38">
        <f t="shared" si="0"/>
        <v>22</v>
      </c>
      <c r="B32" s="39" t="s">
        <v>165</v>
      </c>
      <c r="G32" s="150">
        <f>IFERROR((G31/G30),0)</f>
        <v>0</v>
      </c>
      <c r="H32" s="151"/>
      <c r="I32" s="50" t="str">
        <f>"Line "&amp;A31&amp;" / Line "&amp;A30</f>
        <v>Line 21 / Line 20</v>
      </c>
      <c r="J32" s="38">
        <f t="shared" si="1"/>
        <v>22</v>
      </c>
    </row>
    <row r="33" spans="1:12" ht="15.75" thickTop="1" x14ac:dyDescent="0.45">
      <c r="A33" s="38">
        <f t="shared" si="0"/>
        <v>23</v>
      </c>
      <c r="I33" s="50"/>
      <c r="J33" s="38">
        <f t="shared" si="1"/>
        <v>23</v>
      </c>
    </row>
    <row r="34" spans="1:12" x14ac:dyDescent="0.45">
      <c r="A34" s="38">
        <f t="shared" si="0"/>
        <v>24</v>
      </c>
      <c r="B34" s="43" t="s">
        <v>166</v>
      </c>
      <c r="I34" s="50"/>
      <c r="J34" s="38">
        <f t="shared" si="1"/>
        <v>24</v>
      </c>
    </row>
    <row r="35" spans="1:12" x14ac:dyDescent="0.45">
      <c r="A35" s="38">
        <f t="shared" si="0"/>
        <v>25</v>
      </c>
      <c r="B35" s="39" t="s">
        <v>167</v>
      </c>
      <c r="E35" s="38" t="s">
        <v>168</v>
      </c>
      <c r="F35" s="530"/>
      <c r="G35" s="144">
        <v>6011923.3266400006</v>
      </c>
      <c r="H35" s="372"/>
      <c r="I35" s="147"/>
      <c r="J35" s="38">
        <f t="shared" si="1"/>
        <v>25</v>
      </c>
      <c r="K35" s="46"/>
      <c r="L35" s="349"/>
    </row>
    <row r="36" spans="1:12" x14ac:dyDescent="0.45">
      <c r="A36" s="38">
        <f t="shared" si="0"/>
        <v>26</v>
      </c>
      <c r="B36" s="39" t="s">
        <v>169</v>
      </c>
      <c r="E36" s="38" t="s">
        <v>162</v>
      </c>
      <c r="G36" s="152">
        <f>-G30</f>
        <v>0</v>
      </c>
      <c r="H36" s="152"/>
      <c r="I36" s="50" t="str">
        <f>"Negative of Line "&amp;A30&amp;" Above"</f>
        <v>Negative of Line 20 Above</v>
      </c>
      <c r="J36" s="38">
        <f t="shared" si="1"/>
        <v>26</v>
      </c>
    </row>
    <row r="37" spans="1:12" x14ac:dyDescent="0.45">
      <c r="A37" s="38">
        <f t="shared" si="0"/>
        <v>27</v>
      </c>
      <c r="B37" s="39" t="s">
        <v>170</v>
      </c>
      <c r="E37" s="38" t="s">
        <v>171</v>
      </c>
      <c r="G37" s="145">
        <v>0</v>
      </c>
      <c r="H37" s="372"/>
      <c r="I37" s="147"/>
      <c r="J37" s="38">
        <f t="shared" si="1"/>
        <v>27</v>
      </c>
    </row>
    <row r="38" spans="1:12" x14ac:dyDescent="0.45">
      <c r="A38" s="38">
        <f t="shared" si="0"/>
        <v>28</v>
      </c>
      <c r="B38" s="39" t="s">
        <v>172</v>
      </c>
      <c r="E38" s="38" t="s">
        <v>173</v>
      </c>
      <c r="G38" s="145">
        <v>9578.0788499999999</v>
      </c>
      <c r="H38" s="372"/>
      <c r="I38" s="147"/>
      <c r="J38" s="38">
        <f t="shared" si="1"/>
        <v>28</v>
      </c>
    </row>
    <row r="39" spans="1:12" ht="15.75" thickBot="1" x14ac:dyDescent="0.5">
      <c r="A39" s="38">
        <f t="shared" si="0"/>
        <v>29</v>
      </c>
      <c r="B39" s="39" t="s">
        <v>174</v>
      </c>
      <c r="G39" s="153">
        <f>SUM(G35:G38)</f>
        <v>6021501.4054900007</v>
      </c>
      <c r="H39" s="154"/>
      <c r="I39" s="50" t="str">
        <f>"Sum Lines "&amp;A35&amp;" thru "&amp;A38</f>
        <v>Sum Lines 25 thru 28</v>
      </c>
      <c r="J39" s="38">
        <f t="shared" si="1"/>
        <v>29</v>
      </c>
    </row>
    <row r="40" spans="1:12" ht="16.149999999999999" thickTop="1" thickBot="1" x14ac:dyDescent="0.5">
      <c r="A40" s="155">
        <f t="shared" si="0"/>
        <v>30</v>
      </c>
      <c r="B40" s="119"/>
      <c r="C40" s="119"/>
      <c r="D40" s="119"/>
      <c r="E40" s="119"/>
      <c r="F40" s="119"/>
      <c r="G40" s="119"/>
      <c r="H40" s="119"/>
      <c r="I40" s="156"/>
      <c r="J40" s="155">
        <f t="shared" si="1"/>
        <v>30</v>
      </c>
    </row>
    <row r="41" spans="1:12" x14ac:dyDescent="0.45">
      <c r="A41" s="38">
        <f>A40+1</f>
        <v>31</v>
      </c>
      <c r="I41" s="50"/>
      <c r="J41" s="38">
        <f>J40+1</f>
        <v>31</v>
      </c>
    </row>
    <row r="42" spans="1:12" ht="17.649999999999999" thickBot="1" x14ac:dyDescent="0.5">
      <c r="A42" s="38">
        <f>A41+1</f>
        <v>32</v>
      </c>
      <c r="B42" s="43" t="s">
        <v>499</v>
      </c>
      <c r="G42" s="157">
        <v>0.10050000000000001</v>
      </c>
      <c r="H42" s="372"/>
      <c r="I42" s="50" t="s">
        <v>500</v>
      </c>
      <c r="J42" s="38">
        <f>J41+1</f>
        <v>32</v>
      </c>
    </row>
    <row r="43" spans="1:12" ht="15.75" thickTop="1" x14ac:dyDescent="0.45">
      <c r="A43" s="38">
        <f t="shared" si="0"/>
        <v>33</v>
      </c>
      <c r="C43" s="71" t="s">
        <v>10</v>
      </c>
      <c r="D43" s="71" t="s">
        <v>48</v>
      </c>
      <c r="E43" s="71" t="s">
        <v>175</v>
      </c>
      <c r="F43" s="71"/>
      <c r="G43" s="71" t="s">
        <v>176</v>
      </c>
      <c r="H43" s="71"/>
      <c r="I43" s="50"/>
      <c r="J43" s="38">
        <f t="shared" si="1"/>
        <v>33</v>
      </c>
    </row>
    <row r="44" spans="1:12" x14ac:dyDescent="0.45">
      <c r="A44" s="38">
        <f t="shared" si="0"/>
        <v>34</v>
      </c>
      <c r="D44" s="38" t="s">
        <v>177</v>
      </c>
      <c r="E44" s="38" t="s">
        <v>178</v>
      </c>
      <c r="F44" s="38"/>
      <c r="G44" s="38" t="s">
        <v>179</v>
      </c>
      <c r="H44" s="38"/>
      <c r="I44" s="50"/>
      <c r="J44" s="38">
        <f t="shared" si="1"/>
        <v>34</v>
      </c>
    </row>
    <row r="45" spans="1:12" ht="17.25" x14ac:dyDescent="0.45">
      <c r="A45" s="38">
        <f t="shared" si="0"/>
        <v>35</v>
      </c>
      <c r="B45" s="43" t="s">
        <v>180</v>
      </c>
      <c r="C45" s="295" t="s">
        <v>181</v>
      </c>
      <c r="D45" s="295" t="s">
        <v>182</v>
      </c>
      <c r="E45" s="295" t="s">
        <v>183</v>
      </c>
      <c r="F45" s="295"/>
      <c r="G45" s="295" t="s">
        <v>184</v>
      </c>
      <c r="H45" s="38"/>
      <c r="I45" s="50"/>
      <c r="J45" s="38">
        <f t="shared" si="1"/>
        <v>35</v>
      </c>
    </row>
    <row r="46" spans="1:12" x14ac:dyDescent="0.45">
      <c r="A46" s="38">
        <f t="shared" si="0"/>
        <v>36</v>
      </c>
      <c r="I46" s="50"/>
      <c r="J46" s="38">
        <f t="shared" si="1"/>
        <v>36</v>
      </c>
    </row>
    <row r="47" spans="1:12" x14ac:dyDescent="0.45">
      <c r="A47" s="38">
        <f t="shared" si="0"/>
        <v>37</v>
      </c>
      <c r="B47" s="39" t="s">
        <v>185</v>
      </c>
      <c r="C47" s="62">
        <f>G17</f>
        <v>4763656.4151400002</v>
      </c>
      <c r="D47" s="158">
        <f>C47/C$50</f>
        <v>0.4416862965164971</v>
      </c>
      <c r="E47" s="159">
        <f>G27</f>
        <v>4.329920188501632E-2</v>
      </c>
      <c r="G47" s="160">
        <f>D47*E47</f>
        <v>1.9124664122712989E-2</v>
      </c>
      <c r="H47" s="160"/>
      <c r="I47" s="50" t="str">
        <f>"Col. c = Line "&amp;A27&amp;" Above"</f>
        <v>Col. c = Line 17 Above</v>
      </c>
      <c r="J47" s="38">
        <f t="shared" si="1"/>
        <v>37</v>
      </c>
    </row>
    <row r="48" spans="1:12" x14ac:dyDescent="0.45">
      <c r="A48" s="38">
        <f t="shared" si="0"/>
        <v>38</v>
      </c>
      <c r="B48" s="39" t="s">
        <v>186</v>
      </c>
      <c r="C48" s="161">
        <f>G30</f>
        <v>0</v>
      </c>
      <c r="D48" s="158">
        <f>C48/C$50</f>
        <v>0</v>
      </c>
      <c r="E48" s="159">
        <f>G32</f>
        <v>0</v>
      </c>
      <c r="G48" s="160">
        <f>D48*E48</f>
        <v>0</v>
      </c>
      <c r="H48" s="160"/>
      <c r="I48" s="50" t="str">
        <f>"Col. c = Line "&amp;A32&amp;" Above"</f>
        <v>Col. c = Line 22 Above</v>
      </c>
      <c r="J48" s="38">
        <f t="shared" si="1"/>
        <v>38</v>
      </c>
    </row>
    <row r="49" spans="1:10" x14ac:dyDescent="0.45">
      <c r="A49" s="38">
        <f t="shared" si="0"/>
        <v>39</v>
      </c>
      <c r="B49" s="39" t="s">
        <v>187</v>
      </c>
      <c r="C49" s="161">
        <f>G39</f>
        <v>6021501.4054900007</v>
      </c>
      <c r="D49" s="350">
        <f>C49/C$50</f>
        <v>0.55831370348350295</v>
      </c>
      <c r="E49" s="162">
        <f>G42</f>
        <v>0.10050000000000001</v>
      </c>
      <c r="G49" s="351">
        <f>D49*E49</f>
        <v>5.6110527200092047E-2</v>
      </c>
      <c r="H49" s="151"/>
      <c r="I49" s="50" t="str">
        <f>"Col. c = Line "&amp;A42&amp;" Above"</f>
        <v>Col. c = Line 32 Above</v>
      </c>
      <c r="J49" s="38">
        <f t="shared" si="1"/>
        <v>39</v>
      </c>
    </row>
    <row r="50" spans="1:10" ht="15.75" thickBot="1" x14ac:dyDescent="0.5">
      <c r="A50" s="38">
        <f t="shared" si="0"/>
        <v>40</v>
      </c>
      <c r="B50" s="39" t="s">
        <v>188</v>
      </c>
      <c r="C50" s="163">
        <f>SUM(C47:C49)</f>
        <v>10785157.820630001</v>
      </c>
      <c r="D50" s="164">
        <f>SUM(D47:D49)</f>
        <v>1</v>
      </c>
      <c r="G50" s="150">
        <f>SUM(G47:G49)</f>
        <v>7.523519132280504E-2</v>
      </c>
      <c r="H50" s="151"/>
      <c r="I50" s="50" t="str">
        <f>"Sum Lines "&amp;A47&amp;" thru "&amp;A49</f>
        <v>Sum Lines 37 thru 39</v>
      </c>
      <c r="J50" s="38">
        <f t="shared" si="1"/>
        <v>40</v>
      </c>
    </row>
    <row r="51" spans="1:10" ht="15.75" thickTop="1" x14ac:dyDescent="0.45">
      <c r="A51" s="38">
        <f t="shared" si="0"/>
        <v>41</v>
      </c>
      <c r="I51" s="50"/>
      <c r="J51" s="38">
        <f t="shared" si="1"/>
        <v>41</v>
      </c>
    </row>
    <row r="52" spans="1:10" ht="15.75" thickBot="1" x14ac:dyDescent="0.5">
      <c r="A52" s="38">
        <f t="shared" si="0"/>
        <v>42</v>
      </c>
      <c r="B52" s="43" t="s">
        <v>189</v>
      </c>
      <c r="G52" s="150">
        <f>G48+G49</f>
        <v>5.6110527200092047E-2</v>
      </c>
      <c r="H52" s="151"/>
      <c r="I52" s="50" t="str">
        <f>"Line "&amp;A48&amp;" + Line "&amp;A49&amp;"; Col. d"</f>
        <v>Line 38 + Line 39; Col. d</v>
      </c>
      <c r="J52" s="38">
        <f t="shared" si="1"/>
        <v>42</v>
      </c>
    </row>
    <row r="53" spans="1:10" ht="16.149999999999999" thickTop="1" thickBot="1" x14ac:dyDescent="0.5">
      <c r="A53" s="155">
        <f>A52+1</f>
        <v>43</v>
      </c>
      <c r="B53" s="119"/>
      <c r="C53" s="119"/>
      <c r="D53" s="119"/>
      <c r="E53" s="119"/>
      <c r="F53" s="119"/>
      <c r="G53" s="119"/>
      <c r="H53" s="119"/>
      <c r="I53" s="156"/>
      <c r="J53" s="155">
        <f>J52+1</f>
        <v>43</v>
      </c>
    </row>
    <row r="54" spans="1:10" x14ac:dyDescent="0.45">
      <c r="A54" s="38">
        <f>A53+1</f>
        <v>44</v>
      </c>
      <c r="I54" s="50"/>
      <c r="J54" s="38">
        <f>J53+1</f>
        <v>44</v>
      </c>
    </row>
    <row r="55" spans="1:10" ht="17.649999999999999" thickBot="1" x14ac:dyDescent="0.5">
      <c r="A55" s="38">
        <f t="shared" ref="A55:A65" si="2">A54+1</f>
        <v>45</v>
      </c>
      <c r="B55" s="43" t="s">
        <v>501</v>
      </c>
      <c r="G55" s="157">
        <v>0</v>
      </c>
      <c r="H55" s="372"/>
      <c r="I55" s="166"/>
      <c r="J55" s="38">
        <f t="shared" ref="J55:J65" si="3">J54+1</f>
        <v>45</v>
      </c>
    </row>
    <row r="56" spans="1:10" ht="15.75" thickTop="1" x14ac:dyDescent="0.45">
      <c r="A56" s="38">
        <f t="shared" si="2"/>
        <v>46</v>
      </c>
      <c r="C56" s="71" t="s">
        <v>10</v>
      </c>
      <c r="D56" s="71" t="s">
        <v>48</v>
      </c>
      <c r="E56" s="71" t="s">
        <v>175</v>
      </c>
      <c r="F56" s="71"/>
      <c r="G56" s="71" t="s">
        <v>176</v>
      </c>
      <c r="H56" s="71"/>
      <c r="I56" s="50"/>
      <c r="J56" s="38">
        <f t="shared" si="3"/>
        <v>46</v>
      </c>
    </row>
    <row r="57" spans="1:10" x14ac:dyDescent="0.45">
      <c r="A57" s="38">
        <f t="shared" si="2"/>
        <v>47</v>
      </c>
      <c r="D57" s="38" t="s">
        <v>177</v>
      </c>
      <c r="E57" s="38" t="s">
        <v>178</v>
      </c>
      <c r="F57" s="38"/>
      <c r="G57" s="38" t="s">
        <v>179</v>
      </c>
      <c r="H57" s="38"/>
      <c r="I57" s="50"/>
      <c r="J57" s="38">
        <f t="shared" si="3"/>
        <v>47</v>
      </c>
    </row>
    <row r="58" spans="1:10" ht="17.25" x14ac:dyDescent="0.45">
      <c r="A58" s="38">
        <f t="shared" si="2"/>
        <v>48</v>
      </c>
      <c r="B58" s="43" t="s">
        <v>191</v>
      </c>
      <c r="C58" s="295" t="s">
        <v>181</v>
      </c>
      <c r="D58" s="295" t="s">
        <v>182</v>
      </c>
      <c r="E58" s="295" t="s">
        <v>183</v>
      </c>
      <c r="F58" s="295"/>
      <c r="G58" s="295" t="s">
        <v>184</v>
      </c>
      <c r="H58" s="38"/>
      <c r="I58" s="50"/>
      <c r="J58" s="38">
        <f t="shared" si="3"/>
        <v>48</v>
      </c>
    </row>
    <row r="59" spans="1:10" x14ac:dyDescent="0.45">
      <c r="A59" s="38">
        <f t="shared" si="2"/>
        <v>49</v>
      </c>
      <c r="I59" s="50"/>
      <c r="J59" s="38">
        <f t="shared" si="3"/>
        <v>49</v>
      </c>
    </row>
    <row r="60" spans="1:10" x14ac:dyDescent="0.45">
      <c r="A60" s="38">
        <f t="shared" si="2"/>
        <v>50</v>
      </c>
      <c r="B60" s="39" t="s">
        <v>185</v>
      </c>
      <c r="C60" s="62">
        <f>G17</f>
        <v>4763656.4151400002</v>
      </c>
      <c r="D60" s="158">
        <f>C60/C$50</f>
        <v>0.4416862965164971</v>
      </c>
      <c r="E60" s="159">
        <f>G27</f>
        <v>4.329920188501632E-2</v>
      </c>
      <c r="G60" s="160">
        <f>D60*E60</f>
        <v>1.9124664122712989E-2</v>
      </c>
      <c r="H60" s="160"/>
      <c r="I60" s="50" t="str">
        <f>"Col. c = Line "&amp;A27&amp;" Above"</f>
        <v>Col. c = Line 17 Above</v>
      </c>
      <c r="J60" s="38">
        <f t="shared" si="3"/>
        <v>50</v>
      </c>
    </row>
    <row r="61" spans="1:10" x14ac:dyDescent="0.45">
      <c r="A61" s="38">
        <f t="shared" si="2"/>
        <v>51</v>
      </c>
      <c r="B61" s="39" t="s">
        <v>186</v>
      </c>
      <c r="C61" s="161">
        <f>G30</f>
        <v>0</v>
      </c>
      <c r="D61" s="158">
        <f>C61/C$50</f>
        <v>0</v>
      </c>
      <c r="E61" s="159">
        <f>G32</f>
        <v>0</v>
      </c>
      <c r="G61" s="160">
        <f>D61*E61</f>
        <v>0</v>
      </c>
      <c r="H61" s="160"/>
      <c r="I61" s="50" t="str">
        <f>"Col. c = Line "&amp;A32&amp;" Above"</f>
        <v>Col. c = Line 22 Above</v>
      </c>
      <c r="J61" s="38">
        <f t="shared" si="3"/>
        <v>51</v>
      </c>
    </row>
    <row r="62" spans="1:10" x14ac:dyDescent="0.45">
      <c r="A62" s="38">
        <f t="shared" si="2"/>
        <v>52</v>
      </c>
      <c r="B62" s="39" t="s">
        <v>187</v>
      </c>
      <c r="C62" s="161">
        <f>G39</f>
        <v>6021501.4054900007</v>
      </c>
      <c r="D62" s="350">
        <f>C62/C$50</f>
        <v>0.55831370348350295</v>
      </c>
      <c r="E62" s="162">
        <f>G55</f>
        <v>0</v>
      </c>
      <c r="G62" s="351">
        <f>D62*E62</f>
        <v>0</v>
      </c>
      <c r="H62" s="151"/>
      <c r="I62" s="50" t="str">
        <f>"Col. c = Line "&amp;A55&amp;" Above"</f>
        <v>Col. c = Line 45 Above</v>
      </c>
      <c r="J62" s="38">
        <f t="shared" si="3"/>
        <v>52</v>
      </c>
    </row>
    <row r="63" spans="1:10" ht="15.75" thickBot="1" x14ac:dyDescent="0.5">
      <c r="A63" s="38">
        <f t="shared" si="2"/>
        <v>53</v>
      </c>
      <c r="B63" s="39" t="s">
        <v>188</v>
      </c>
      <c r="C63" s="163">
        <f>SUM(C60:C62)</f>
        <v>10785157.820630001</v>
      </c>
      <c r="D63" s="150">
        <f>SUM(D60:D62)</f>
        <v>1</v>
      </c>
      <c r="G63" s="150">
        <f>SUM(G60:G62)</f>
        <v>1.9124664122712989E-2</v>
      </c>
      <c r="H63" s="151"/>
      <c r="I63" s="50" t="str">
        <f>"Sum Lines "&amp;A60&amp;" thru "&amp;A62</f>
        <v>Sum Lines 50 thru 52</v>
      </c>
      <c r="J63" s="38">
        <f t="shared" si="3"/>
        <v>53</v>
      </c>
    </row>
    <row r="64" spans="1:10" ht="15.75" thickTop="1" x14ac:dyDescent="0.45">
      <c r="A64" s="38">
        <f t="shared" si="2"/>
        <v>54</v>
      </c>
      <c r="I64" s="50"/>
      <c r="J64" s="38">
        <f t="shared" si="3"/>
        <v>54</v>
      </c>
    </row>
    <row r="65" spans="1:10" ht="15.75" thickBot="1" x14ac:dyDescent="0.5">
      <c r="A65" s="38">
        <f t="shared" si="2"/>
        <v>55</v>
      </c>
      <c r="B65" s="43" t="s">
        <v>192</v>
      </c>
      <c r="G65" s="150">
        <f>G61+G62</f>
        <v>0</v>
      </c>
      <c r="H65" s="151"/>
      <c r="I65" s="50" t="str">
        <f>"Line "&amp;A61&amp;" + Line "&amp;A62&amp;"; Col. d"</f>
        <v>Line 51 + Line 52; Col. d</v>
      </c>
      <c r="J65" s="38">
        <f t="shared" si="3"/>
        <v>55</v>
      </c>
    </row>
    <row r="66" spans="1:10" ht="15.75" thickTop="1" x14ac:dyDescent="0.45">
      <c r="B66" s="43"/>
      <c r="G66" s="862"/>
      <c r="H66" s="862"/>
      <c r="I66" s="50"/>
      <c r="J66" s="38"/>
    </row>
    <row r="67" spans="1:10" ht="17.25" x14ac:dyDescent="0.45">
      <c r="A67" s="69">
        <v>1</v>
      </c>
      <c r="B67" s="19" t="s">
        <v>190</v>
      </c>
      <c r="G67" s="65"/>
      <c r="H67" s="65"/>
      <c r="J67" s="38" t="s">
        <v>11</v>
      </c>
    </row>
    <row r="68" spans="1:10" ht="17.25" x14ac:dyDescent="0.45">
      <c r="A68" s="69">
        <v>2</v>
      </c>
      <c r="B68" s="19" t="str">
        <f>"The Incentive Return on Common Equity will be tracked and shown separately for each project. As a result, lines "&amp;A55&amp;" through "&amp;A65&amp;" will be repeated for each project."</f>
        <v>The Incentive Return on Common Equity will be tracked and shown separately for each project. As a result, lines 45 through 55 will be repeated for each project.</v>
      </c>
      <c r="G68" s="65"/>
      <c r="H68" s="65"/>
      <c r="J68" s="38"/>
    </row>
    <row r="69" spans="1:10" ht="17.25" x14ac:dyDescent="0.45">
      <c r="A69" s="69">
        <v>3</v>
      </c>
      <c r="B69" s="19" t="s">
        <v>502</v>
      </c>
      <c r="G69" s="65"/>
      <c r="H69" s="65"/>
      <c r="J69" s="38"/>
    </row>
    <row r="70" spans="1:10" ht="17.25" x14ac:dyDescent="0.45">
      <c r="A70" s="69"/>
      <c r="B70" s="19"/>
      <c r="G70" s="65"/>
      <c r="H70" s="65"/>
      <c r="J70" s="38"/>
    </row>
    <row r="71" spans="1:10" ht="17.25" x14ac:dyDescent="0.45">
      <c r="A71" s="69"/>
      <c r="D71" s="38"/>
      <c r="G71" s="65"/>
      <c r="H71" s="65"/>
      <c r="J71" s="38"/>
    </row>
    <row r="72" spans="1:10" x14ac:dyDescent="0.45">
      <c r="B72" s="996" t="s">
        <v>263</v>
      </c>
      <c r="C72" s="996"/>
      <c r="D72" s="996"/>
      <c r="E72" s="996"/>
      <c r="F72" s="996"/>
      <c r="G72" s="996"/>
      <c r="H72" s="996"/>
      <c r="I72" s="996"/>
      <c r="J72" s="38"/>
    </row>
    <row r="73" spans="1:10" x14ac:dyDescent="0.45">
      <c r="B73" s="996" t="s">
        <v>133</v>
      </c>
      <c r="C73" s="996"/>
      <c r="D73" s="996"/>
      <c r="E73" s="996"/>
      <c r="F73" s="996"/>
      <c r="G73" s="996"/>
      <c r="H73" s="996"/>
      <c r="I73" s="996"/>
      <c r="J73" s="38"/>
    </row>
    <row r="74" spans="1:10" x14ac:dyDescent="0.45">
      <c r="B74" s="996" t="s">
        <v>134</v>
      </c>
      <c r="C74" s="996"/>
      <c r="D74" s="996"/>
      <c r="E74" s="996"/>
      <c r="F74" s="996"/>
      <c r="G74" s="996"/>
      <c r="H74" s="996"/>
      <c r="I74" s="996"/>
      <c r="J74" s="38"/>
    </row>
    <row r="75" spans="1:10" x14ac:dyDescent="0.45">
      <c r="B75" s="997" t="str">
        <f>B5</f>
        <v>Base Period &amp; True-Up Period 12 - Months Ending December 31, 2018</v>
      </c>
      <c r="C75" s="997"/>
      <c r="D75" s="997"/>
      <c r="E75" s="997"/>
      <c r="F75" s="997"/>
      <c r="G75" s="997"/>
      <c r="H75" s="997"/>
      <c r="I75" s="997"/>
      <c r="J75" s="38"/>
    </row>
    <row r="76" spans="1:10" x14ac:dyDescent="0.45">
      <c r="B76" s="998" t="s">
        <v>1</v>
      </c>
      <c r="C76" s="999"/>
      <c r="D76" s="999"/>
      <c r="E76" s="999"/>
      <c r="F76" s="999"/>
      <c r="G76" s="999"/>
      <c r="H76" s="999"/>
      <c r="I76" s="999"/>
      <c r="J76" s="38"/>
    </row>
    <row r="77" spans="1:10" x14ac:dyDescent="0.45">
      <c r="B77" s="38"/>
      <c r="C77" s="38"/>
      <c r="D77" s="38"/>
      <c r="E77" s="38"/>
      <c r="F77" s="38"/>
      <c r="G77" s="38"/>
      <c r="H77" s="38"/>
      <c r="I77" s="50"/>
      <c r="J77" s="38"/>
    </row>
    <row r="78" spans="1:10" x14ac:dyDescent="0.45">
      <c r="A78" s="38" t="s">
        <v>2</v>
      </c>
      <c r="B78" s="372"/>
      <c r="C78" s="372"/>
      <c r="D78" s="372"/>
      <c r="E78" s="372"/>
      <c r="F78" s="372"/>
      <c r="G78" s="372"/>
      <c r="H78" s="372"/>
      <c r="I78" s="50"/>
      <c r="J78" s="38" t="s">
        <v>2</v>
      </c>
    </row>
    <row r="79" spans="1:10" x14ac:dyDescent="0.45">
      <c r="A79" s="38" t="s">
        <v>6</v>
      </c>
      <c r="B79" s="38"/>
      <c r="C79" s="38"/>
      <c r="D79" s="38"/>
      <c r="E79" s="38"/>
      <c r="F79" s="38"/>
      <c r="G79" s="295" t="s">
        <v>4</v>
      </c>
      <c r="H79" s="372"/>
      <c r="I79" s="347" t="s">
        <v>5</v>
      </c>
      <c r="J79" s="38" t="s">
        <v>6</v>
      </c>
    </row>
    <row r="80" spans="1:10" x14ac:dyDescent="0.45">
      <c r="G80" s="38"/>
      <c r="H80" s="38"/>
      <c r="I80" s="50"/>
      <c r="J80" s="38"/>
    </row>
    <row r="81" spans="1:13" ht="17.649999999999999" x14ac:dyDescent="0.45">
      <c r="A81" s="38">
        <v>1</v>
      </c>
      <c r="B81" s="43" t="s">
        <v>264</v>
      </c>
      <c r="E81" s="372"/>
      <c r="F81" s="372"/>
      <c r="G81" s="167"/>
      <c r="H81" s="167"/>
      <c r="I81" s="50"/>
      <c r="J81" s="38">
        <v>1</v>
      </c>
    </row>
    <row r="82" spans="1:13" x14ac:dyDescent="0.45">
      <c r="A82" s="38">
        <f>A81+1</f>
        <v>2</v>
      </c>
      <c r="B82" s="168"/>
      <c r="E82" s="372"/>
      <c r="F82" s="372"/>
      <c r="G82" s="167"/>
      <c r="H82" s="167"/>
      <c r="I82" s="50"/>
      <c r="J82" s="38">
        <f>J81+1</f>
        <v>2</v>
      </c>
    </row>
    <row r="83" spans="1:13" x14ac:dyDescent="0.45">
      <c r="A83" s="38">
        <f>A82+1</f>
        <v>3</v>
      </c>
      <c r="B83" s="43" t="s">
        <v>265</v>
      </c>
      <c r="E83" s="372"/>
      <c r="F83" s="372"/>
      <c r="G83" s="167"/>
      <c r="H83" s="167"/>
      <c r="I83" s="50"/>
      <c r="J83" s="38">
        <f>J82+1</f>
        <v>3</v>
      </c>
    </row>
    <row r="84" spans="1:13" x14ac:dyDescent="0.45">
      <c r="A84" s="38">
        <f>A83+1</f>
        <v>4</v>
      </c>
      <c r="B84" s="372"/>
      <c r="C84" s="372"/>
      <c r="D84" s="372"/>
      <c r="E84" s="372"/>
      <c r="F84" s="372"/>
      <c r="G84" s="167"/>
      <c r="H84" s="167"/>
      <c r="I84" s="50"/>
      <c r="J84" s="38">
        <f>J83+1</f>
        <v>4</v>
      </c>
    </row>
    <row r="85" spans="1:13" x14ac:dyDescent="0.45">
      <c r="A85" s="38">
        <f t="shared" ref="A85:A111" si="4">A84+1</f>
        <v>5</v>
      </c>
      <c r="B85" s="45" t="s">
        <v>193</v>
      </c>
      <c r="C85" s="372"/>
      <c r="D85" s="372"/>
      <c r="E85" s="372"/>
      <c r="F85" s="372"/>
      <c r="G85" s="167"/>
      <c r="H85" s="167"/>
      <c r="I85" s="169"/>
      <c r="J85" s="38">
        <f t="shared" ref="J85:J111" si="5">J84+1</f>
        <v>5</v>
      </c>
    </row>
    <row r="86" spans="1:13" x14ac:dyDescent="0.45">
      <c r="A86" s="38">
        <f t="shared" si="4"/>
        <v>6</v>
      </c>
      <c r="B86" s="39" t="s">
        <v>194</v>
      </c>
      <c r="D86" s="372"/>
      <c r="E86" s="372"/>
      <c r="F86" s="372"/>
      <c r="G86" s="170">
        <f>G52</f>
        <v>5.6110527200092047E-2</v>
      </c>
      <c r="H86" s="372"/>
      <c r="I86" s="50" t="str">
        <f>"AV1; Line "&amp;A52</f>
        <v>AV1; Line 42</v>
      </c>
      <c r="J86" s="38">
        <f t="shared" si="5"/>
        <v>6</v>
      </c>
      <c r="L86" s="38"/>
    </row>
    <row r="87" spans="1:13" x14ac:dyDescent="0.45">
      <c r="A87" s="38">
        <f t="shared" si="4"/>
        <v>7</v>
      </c>
      <c r="B87" s="39" t="s">
        <v>195</v>
      </c>
      <c r="D87" s="372"/>
      <c r="E87" s="372"/>
      <c r="F87" s="372"/>
      <c r="G87" s="171">
        <v>3056.4627012818864</v>
      </c>
      <c r="H87" s="372"/>
      <c r="I87" s="50" t="s">
        <v>625</v>
      </c>
      <c r="J87" s="38">
        <f t="shared" si="5"/>
        <v>7</v>
      </c>
      <c r="L87" s="38"/>
    </row>
    <row r="88" spans="1:13" ht="17.25" x14ac:dyDescent="0.45">
      <c r="A88" s="38">
        <f t="shared" si="4"/>
        <v>8</v>
      </c>
      <c r="B88" s="39" t="s">
        <v>266</v>
      </c>
      <c r="D88" s="372"/>
      <c r="E88" s="372"/>
      <c r="F88" s="372"/>
      <c r="G88" s="172">
        <v>6529.0768399999997</v>
      </c>
      <c r="H88" s="372"/>
      <c r="I88" s="166" t="s">
        <v>624</v>
      </c>
      <c r="J88" s="38">
        <f t="shared" si="5"/>
        <v>8</v>
      </c>
      <c r="L88" s="372"/>
    </row>
    <row r="89" spans="1:13" ht="15.75" x14ac:dyDescent="0.5">
      <c r="A89" s="38">
        <f t="shared" si="4"/>
        <v>9</v>
      </c>
      <c r="B89" s="39" t="s">
        <v>196</v>
      </c>
      <c r="D89" s="372"/>
      <c r="E89" s="173"/>
      <c r="F89" s="372"/>
      <c r="G89" s="174">
        <f>'Pg10 Revised AV-4'!C36</f>
        <v>3994505.5122782188</v>
      </c>
      <c r="H89" s="26" t="s">
        <v>15</v>
      </c>
      <c r="I89" s="166" t="s">
        <v>623</v>
      </c>
      <c r="J89" s="38">
        <f t="shared" si="5"/>
        <v>9</v>
      </c>
    </row>
    <row r="90" spans="1:13" x14ac:dyDescent="0.45">
      <c r="A90" s="38">
        <f t="shared" si="4"/>
        <v>10</v>
      </c>
      <c r="B90" s="39" t="s">
        <v>197</v>
      </c>
      <c r="D90" s="175"/>
      <c r="E90" s="372"/>
      <c r="F90" s="372"/>
      <c r="G90" s="352">
        <v>0.21</v>
      </c>
      <c r="H90" s="372"/>
      <c r="I90" s="50" t="s">
        <v>198</v>
      </c>
      <c r="J90" s="38">
        <f t="shared" si="5"/>
        <v>10</v>
      </c>
      <c r="M90" s="176"/>
    </row>
    <row r="91" spans="1:13" x14ac:dyDescent="0.45">
      <c r="A91" s="38">
        <f t="shared" si="4"/>
        <v>11</v>
      </c>
      <c r="G91" s="38"/>
      <c r="H91" s="38"/>
      <c r="J91" s="38">
        <f t="shared" si="5"/>
        <v>11</v>
      </c>
    </row>
    <row r="92" spans="1:13" x14ac:dyDescent="0.45">
      <c r="A92" s="38">
        <f t="shared" si="4"/>
        <v>12</v>
      </c>
      <c r="B92" s="39" t="s">
        <v>199</v>
      </c>
      <c r="D92" s="372"/>
      <c r="E92" s="372"/>
      <c r="F92" s="372"/>
      <c r="G92" s="177">
        <f>(((G86)+(G88/G89))*G90-(G87/G89))/(1-G90)</f>
        <v>1.4381382296230918E-2</v>
      </c>
      <c r="H92" s="177"/>
      <c r="I92" s="50" t="s">
        <v>200</v>
      </c>
      <c r="J92" s="38">
        <f t="shared" si="5"/>
        <v>12</v>
      </c>
      <c r="M92" s="178"/>
    </row>
    <row r="93" spans="1:13" x14ac:dyDescent="0.45">
      <c r="A93" s="38">
        <f t="shared" si="4"/>
        <v>13</v>
      </c>
      <c r="B93" s="179" t="s">
        <v>201</v>
      </c>
      <c r="G93" s="38"/>
      <c r="H93" s="38"/>
      <c r="J93" s="38">
        <f t="shared" si="5"/>
        <v>13</v>
      </c>
    </row>
    <row r="94" spans="1:13" x14ac:dyDescent="0.45">
      <c r="A94" s="38">
        <f t="shared" si="4"/>
        <v>14</v>
      </c>
      <c r="G94" s="38"/>
      <c r="H94" s="38"/>
      <c r="J94" s="38">
        <f t="shared" si="5"/>
        <v>14</v>
      </c>
    </row>
    <row r="95" spans="1:13" x14ac:dyDescent="0.45">
      <c r="A95" s="38">
        <f t="shared" si="4"/>
        <v>15</v>
      </c>
      <c r="B95" s="43" t="s">
        <v>202</v>
      </c>
      <c r="C95" s="372"/>
      <c r="D95" s="372"/>
      <c r="E95" s="372"/>
      <c r="F95" s="372"/>
      <c r="G95" s="180"/>
      <c r="H95" s="180"/>
      <c r="I95" s="181"/>
      <c r="J95" s="38">
        <f t="shared" si="5"/>
        <v>15</v>
      </c>
      <c r="L95" s="182"/>
    </row>
    <row r="96" spans="1:13" x14ac:dyDescent="0.45">
      <c r="A96" s="38">
        <f t="shared" si="4"/>
        <v>16</v>
      </c>
      <c r="B96" s="55"/>
      <c r="C96" s="372"/>
      <c r="D96" s="372"/>
      <c r="E96" s="372"/>
      <c r="F96" s="372"/>
      <c r="G96" s="180"/>
      <c r="H96" s="180"/>
      <c r="I96" s="183"/>
      <c r="J96" s="38">
        <f t="shared" si="5"/>
        <v>16</v>
      </c>
      <c r="L96" s="372"/>
    </row>
    <row r="97" spans="1:13" x14ac:dyDescent="0.45">
      <c r="A97" s="38">
        <f t="shared" si="4"/>
        <v>17</v>
      </c>
      <c r="B97" s="45" t="s">
        <v>193</v>
      </c>
      <c r="C97" s="372"/>
      <c r="D97" s="372"/>
      <c r="E97" s="372"/>
      <c r="F97" s="372"/>
      <c r="G97" s="180"/>
      <c r="H97" s="180"/>
      <c r="I97" s="183"/>
      <c r="J97" s="38">
        <f t="shared" si="5"/>
        <v>17</v>
      </c>
      <c r="L97" s="372"/>
    </row>
    <row r="98" spans="1:13" x14ac:dyDescent="0.45">
      <c r="A98" s="38">
        <f t="shared" si="4"/>
        <v>18</v>
      </c>
      <c r="B98" s="39" t="s">
        <v>194</v>
      </c>
      <c r="D98" s="372"/>
      <c r="E98" s="372"/>
      <c r="F98" s="372"/>
      <c r="G98" s="158">
        <f>G86</f>
        <v>5.6110527200092047E-2</v>
      </c>
      <c r="H98" s="158"/>
      <c r="I98" s="50" t="str">
        <f>"Line "&amp;A86&amp;" Above"</f>
        <v>Line 6 Above</v>
      </c>
      <c r="J98" s="38">
        <f t="shared" si="5"/>
        <v>18</v>
      </c>
      <c r="L98" s="38"/>
    </row>
    <row r="99" spans="1:13" x14ac:dyDescent="0.45">
      <c r="A99" s="38">
        <f t="shared" si="4"/>
        <v>19</v>
      </c>
      <c r="B99" s="39" t="s">
        <v>203</v>
      </c>
      <c r="D99" s="372"/>
      <c r="E99" s="372"/>
      <c r="F99" s="372"/>
      <c r="G99" s="184">
        <f>G88</f>
        <v>6529.0768399999997</v>
      </c>
      <c r="H99" s="184"/>
      <c r="I99" s="50" t="str">
        <f>"Line "&amp;A88&amp;" Above"</f>
        <v>Line 8 Above</v>
      </c>
      <c r="J99" s="38">
        <f t="shared" si="5"/>
        <v>19</v>
      </c>
      <c r="L99" s="38"/>
    </row>
    <row r="100" spans="1:13" ht="15.75" x14ac:dyDescent="0.5">
      <c r="A100" s="38">
        <f t="shared" si="4"/>
        <v>20</v>
      </c>
      <c r="B100" s="39" t="s">
        <v>204</v>
      </c>
      <c r="D100" s="372"/>
      <c r="E100" s="372"/>
      <c r="F100" s="372"/>
      <c r="G100" s="185">
        <f>G89</f>
        <v>3994505.5122782188</v>
      </c>
      <c r="H100" s="26" t="s">
        <v>15</v>
      </c>
      <c r="I100" s="50" t="str">
        <f>"Line "&amp;A89&amp;" Above"</f>
        <v>Line 9 Above</v>
      </c>
      <c r="J100" s="38">
        <f t="shared" si="5"/>
        <v>20</v>
      </c>
      <c r="L100" s="38"/>
    </row>
    <row r="101" spans="1:13" x14ac:dyDescent="0.45">
      <c r="A101" s="38">
        <f t="shared" si="4"/>
        <v>21</v>
      </c>
      <c r="B101" s="39" t="s">
        <v>205</v>
      </c>
      <c r="D101" s="372"/>
      <c r="E101" s="372"/>
      <c r="F101" s="372"/>
      <c r="G101" s="186">
        <f>G92</f>
        <v>1.4381382296230918E-2</v>
      </c>
      <c r="H101" s="186"/>
      <c r="I101" s="50" t="str">
        <f>"Line "&amp;A92&amp;" Above"</f>
        <v>Line 12 Above</v>
      </c>
      <c r="J101" s="38">
        <f t="shared" si="5"/>
        <v>21</v>
      </c>
    </row>
    <row r="102" spans="1:13" x14ac:dyDescent="0.45">
      <c r="A102" s="38">
        <f t="shared" si="4"/>
        <v>22</v>
      </c>
      <c r="B102" s="39" t="s">
        <v>206</v>
      </c>
      <c r="D102" s="372"/>
      <c r="E102" s="372"/>
      <c r="F102" s="372"/>
      <c r="G102" s="863" t="s">
        <v>503</v>
      </c>
      <c r="H102" s="372"/>
      <c r="I102" s="50" t="s">
        <v>207</v>
      </c>
      <c r="J102" s="38">
        <f t="shared" si="5"/>
        <v>22</v>
      </c>
    </row>
    <row r="103" spans="1:13" x14ac:dyDescent="0.45">
      <c r="A103" s="38">
        <f t="shared" si="4"/>
        <v>23</v>
      </c>
      <c r="B103" s="373"/>
      <c r="D103" s="372"/>
      <c r="E103" s="372"/>
      <c r="F103" s="372"/>
      <c r="G103" s="187"/>
      <c r="H103" s="187"/>
      <c r="I103" s="183"/>
      <c r="J103" s="38">
        <f t="shared" si="5"/>
        <v>23</v>
      </c>
    </row>
    <row r="104" spans="1:13" x14ac:dyDescent="0.45">
      <c r="A104" s="38">
        <f t="shared" si="4"/>
        <v>24</v>
      </c>
      <c r="B104" s="39" t="s">
        <v>208</v>
      </c>
      <c r="C104" s="38"/>
      <c r="D104" s="38"/>
      <c r="E104" s="372"/>
      <c r="F104" s="372"/>
      <c r="G104" s="353">
        <f>((G98)+(G99/G100)+G92)*G102/(1-G102)</f>
        <v>6.9942692779150122E-3</v>
      </c>
      <c r="H104" s="188"/>
      <c r="I104" s="50" t="s">
        <v>209</v>
      </c>
      <c r="J104" s="38">
        <f t="shared" si="5"/>
        <v>24</v>
      </c>
    </row>
    <row r="105" spans="1:13" x14ac:dyDescent="0.45">
      <c r="A105" s="38">
        <f t="shared" si="4"/>
        <v>25</v>
      </c>
      <c r="B105" s="179" t="s">
        <v>210</v>
      </c>
      <c r="G105" s="38"/>
      <c r="H105" s="38"/>
      <c r="I105" s="50"/>
      <c r="J105" s="38">
        <f t="shared" si="5"/>
        <v>25</v>
      </c>
      <c r="L105" s="38"/>
    </row>
    <row r="106" spans="1:13" x14ac:dyDescent="0.45">
      <c r="A106" s="38">
        <f t="shared" si="4"/>
        <v>26</v>
      </c>
      <c r="G106" s="38"/>
      <c r="H106" s="38"/>
      <c r="I106" s="50"/>
      <c r="J106" s="38">
        <f t="shared" si="5"/>
        <v>26</v>
      </c>
      <c r="L106" s="38"/>
    </row>
    <row r="107" spans="1:13" x14ac:dyDescent="0.45">
      <c r="A107" s="38">
        <f t="shared" si="4"/>
        <v>27</v>
      </c>
      <c r="B107" s="43" t="s">
        <v>211</v>
      </c>
      <c r="G107" s="177">
        <f>G104+G92</f>
        <v>2.1375651574145931E-2</v>
      </c>
      <c r="H107" s="177"/>
      <c r="I107" s="50" t="str">
        <f>"Line "&amp;A92&amp;" + Line "&amp;A104</f>
        <v>Line 12 + Line 24</v>
      </c>
      <c r="J107" s="38">
        <f t="shared" si="5"/>
        <v>27</v>
      </c>
      <c r="L107" s="38"/>
    </row>
    <row r="108" spans="1:13" x14ac:dyDescent="0.45">
      <c r="A108" s="38">
        <f t="shared" si="4"/>
        <v>28</v>
      </c>
      <c r="G108" s="38"/>
      <c r="H108" s="38"/>
      <c r="I108" s="50"/>
      <c r="J108" s="38">
        <f t="shared" si="5"/>
        <v>28</v>
      </c>
      <c r="L108" s="38"/>
    </row>
    <row r="109" spans="1:13" x14ac:dyDescent="0.45">
      <c r="A109" s="38">
        <f t="shared" si="4"/>
        <v>29</v>
      </c>
      <c r="B109" s="43" t="s">
        <v>212</v>
      </c>
      <c r="G109" s="354">
        <f>G50</f>
        <v>7.523519132280504E-2</v>
      </c>
      <c r="H109" s="372"/>
      <c r="I109" s="50" t="str">
        <f>"AV1; Line "&amp;A50</f>
        <v>AV1; Line 40</v>
      </c>
      <c r="J109" s="38">
        <f t="shared" si="5"/>
        <v>29</v>
      </c>
      <c r="L109" s="38"/>
    </row>
    <row r="110" spans="1:13" x14ac:dyDescent="0.45">
      <c r="A110" s="38">
        <f t="shared" si="4"/>
        <v>30</v>
      </c>
      <c r="G110" s="158"/>
      <c r="H110" s="158"/>
      <c r="I110" s="50"/>
      <c r="J110" s="38">
        <f t="shared" si="5"/>
        <v>30</v>
      </c>
      <c r="L110" s="38"/>
    </row>
    <row r="111" spans="1:13" ht="18" thickBot="1" x14ac:dyDescent="0.5">
      <c r="A111" s="38">
        <f t="shared" si="4"/>
        <v>31</v>
      </c>
      <c r="B111" s="43" t="s">
        <v>267</v>
      </c>
      <c r="G111" s="189">
        <f>G107+G109</f>
        <v>9.6610842896950974E-2</v>
      </c>
      <c r="H111" s="188"/>
      <c r="I111" s="50" t="str">
        <f>"Line "&amp;A107&amp;" + Line "&amp;A109</f>
        <v>Line 27 + Line 29</v>
      </c>
      <c r="J111" s="38">
        <f t="shared" si="5"/>
        <v>31</v>
      </c>
      <c r="L111" s="190"/>
      <c r="M111" s="178"/>
    </row>
    <row r="112" spans="1:13" ht="15.75" thickTop="1" x14ac:dyDescent="0.45">
      <c r="B112" s="43"/>
      <c r="G112" s="192"/>
      <c r="H112" s="192"/>
      <c r="I112" s="50"/>
      <c r="J112" s="38"/>
      <c r="L112" s="190"/>
      <c r="M112" s="178"/>
    </row>
    <row r="113" spans="1:13" ht="15.75" x14ac:dyDescent="0.5">
      <c r="A113" s="26" t="s">
        <v>15</v>
      </c>
      <c r="B113" s="23" t="s">
        <v>332</v>
      </c>
      <c r="G113" s="192"/>
      <c r="H113" s="192"/>
      <c r="I113" s="50"/>
      <c r="J113" s="38"/>
      <c r="L113" s="190"/>
      <c r="M113" s="178"/>
    </row>
    <row r="114" spans="1:13" ht="17.649999999999999" x14ac:dyDescent="0.45">
      <c r="A114" s="355">
        <v>1</v>
      </c>
      <c r="B114" s="19" t="s">
        <v>273</v>
      </c>
      <c r="G114" s="192"/>
      <c r="H114" s="192"/>
      <c r="I114" s="50"/>
      <c r="J114" s="38"/>
      <c r="L114" s="190"/>
      <c r="M114" s="178"/>
    </row>
    <row r="115" spans="1:13" ht="17.649999999999999" x14ac:dyDescent="0.45">
      <c r="A115" s="355"/>
      <c r="B115" s="19"/>
      <c r="G115" s="192"/>
      <c r="H115" s="192"/>
      <c r="I115" s="50"/>
      <c r="J115" s="38"/>
      <c r="L115" s="190"/>
      <c r="M115" s="178"/>
    </row>
    <row r="116" spans="1:13" x14ac:dyDescent="0.45">
      <c r="A116" s="193"/>
      <c r="B116" s="373"/>
      <c r="C116" s="40"/>
      <c r="D116" s="40"/>
      <c r="E116" s="40"/>
      <c r="F116" s="40"/>
      <c r="G116" s="194"/>
      <c r="H116" s="194"/>
      <c r="I116" s="356"/>
      <c r="J116" s="38"/>
    </row>
    <row r="117" spans="1:13" x14ac:dyDescent="0.45">
      <c r="B117" s="996" t="s">
        <v>19</v>
      </c>
      <c r="C117" s="996"/>
      <c r="D117" s="996"/>
      <c r="E117" s="996"/>
      <c r="F117" s="996"/>
      <c r="G117" s="996"/>
      <c r="H117" s="996"/>
      <c r="I117" s="996"/>
      <c r="J117" s="38"/>
    </row>
    <row r="118" spans="1:13" x14ac:dyDescent="0.45">
      <c r="B118" s="996" t="s">
        <v>133</v>
      </c>
      <c r="C118" s="996"/>
      <c r="D118" s="996"/>
      <c r="E118" s="996"/>
      <c r="F118" s="996"/>
      <c r="G118" s="996"/>
      <c r="H118" s="996"/>
      <c r="I118" s="996"/>
      <c r="J118" s="38"/>
    </row>
    <row r="119" spans="1:13" x14ac:dyDescent="0.45">
      <c r="B119" s="996" t="s">
        <v>134</v>
      </c>
      <c r="C119" s="996"/>
      <c r="D119" s="996"/>
      <c r="E119" s="996"/>
      <c r="F119" s="996"/>
      <c r="G119" s="996"/>
      <c r="H119" s="996"/>
      <c r="I119" s="996"/>
      <c r="J119" s="38"/>
    </row>
    <row r="120" spans="1:13" x14ac:dyDescent="0.45">
      <c r="B120" s="997" t="str">
        <f>B5</f>
        <v>Base Period &amp; True-Up Period 12 - Months Ending December 31, 2018</v>
      </c>
      <c r="C120" s="997"/>
      <c r="D120" s="997"/>
      <c r="E120" s="997"/>
      <c r="F120" s="997"/>
      <c r="G120" s="997"/>
      <c r="H120" s="997"/>
      <c r="I120" s="997"/>
      <c r="J120" s="38"/>
    </row>
    <row r="121" spans="1:13" x14ac:dyDescent="0.45">
      <c r="B121" s="998" t="s">
        <v>1</v>
      </c>
      <c r="C121" s="999"/>
      <c r="D121" s="999"/>
      <c r="E121" s="999"/>
      <c r="F121" s="999"/>
      <c r="G121" s="999"/>
      <c r="H121" s="999"/>
      <c r="I121" s="999"/>
      <c r="J121" s="38"/>
    </row>
    <row r="122" spans="1:13" x14ac:dyDescent="0.45">
      <c r="B122" s="38"/>
      <c r="C122" s="38"/>
      <c r="D122" s="38"/>
      <c r="E122" s="38"/>
      <c r="F122" s="38"/>
      <c r="G122" s="372"/>
      <c r="H122" s="372"/>
      <c r="I122" s="50"/>
      <c r="J122" s="38"/>
    </row>
    <row r="123" spans="1:13" x14ac:dyDescent="0.45">
      <c r="A123" s="38" t="s">
        <v>2</v>
      </c>
      <c r="B123" s="372"/>
      <c r="C123" s="372"/>
      <c r="D123" s="372"/>
      <c r="E123" s="372"/>
      <c r="F123" s="372"/>
      <c r="G123" s="372"/>
      <c r="H123" s="372"/>
      <c r="I123" s="50"/>
      <c r="J123" s="38" t="s">
        <v>2</v>
      </c>
    </row>
    <row r="124" spans="1:13" x14ac:dyDescent="0.45">
      <c r="A124" s="38" t="s">
        <v>6</v>
      </c>
      <c r="B124" s="38"/>
      <c r="C124" s="38"/>
      <c r="D124" s="38"/>
      <c r="E124" s="38"/>
      <c r="F124" s="38"/>
      <c r="G124" s="295" t="s">
        <v>4</v>
      </c>
      <c r="H124" s="372"/>
      <c r="I124" s="347" t="s">
        <v>5</v>
      </c>
      <c r="J124" s="38" t="s">
        <v>6</v>
      </c>
    </row>
    <row r="125" spans="1:13" x14ac:dyDescent="0.45">
      <c r="G125" s="38"/>
      <c r="H125" s="38"/>
      <c r="I125" s="50"/>
      <c r="J125" s="38"/>
    </row>
    <row r="126" spans="1:13" ht="17.649999999999999" x14ac:dyDescent="0.45">
      <c r="A126" s="38">
        <v>1</v>
      </c>
      <c r="B126" s="43" t="s">
        <v>504</v>
      </c>
      <c r="E126" s="372"/>
      <c r="F126" s="372"/>
      <c r="G126" s="167"/>
      <c r="H126" s="167"/>
      <c r="I126" s="50"/>
      <c r="J126" s="38">
        <v>1</v>
      </c>
    </row>
    <row r="127" spans="1:13" x14ac:dyDescent="0.45">
      <c r="A127" s="38">
        <f>A126+1</f>
        <v>2</v>
      </c>
      <c r="B127" s="168"/>
      <c r="E127" s="372"/>
      <c r="F127" s="372"/>
      <c r="G127" s="167"/>
      <c r="H127" s="167"/>
      <c r="I127" s="50"/>
      <c r="J127" s="38">
        <f>J126+1</f>
        <v>2</v>
      </c>
    </row>
    <row r="128" spans="1:13" x14ac:dyDescent="0.45">
      <c r="A128" s="38">
        <f>A127+1</f>
        <v>3</v>
      </c>
      <c r="B128" s="43" t="s">
        <v>265</v>
      </c>
      <c r="E128" s="372"/>
      <c r="F128" s="372"/>
      <c r="G128" s="167"/>
      <c r="H128" s="167"/>
      <c r="I128" s="50"/>
      <c r="J128" s="38">
        <f>J127+1</f>
        <v>3</v>
      </c>
    </row>
    <row r="129" spans="1:10" x14ac:dyDescent="0.45">
      <c r="A129" s="38">
        <f>A128+1</f>
        <v>4</v>
      </c>
      <c r="B129" s="372"/>
      <c r="C129" s="372"/>
      <c r="D129" s="372"/>
      <c r="E129" s="372"/>
      <c r="F129" s="372"/>
      <c r="G129" s="167"/>
      <c r="H129" s="167"/>
      <c r="I129" s="50"/>
      <c r="J129" s="38">
        <f>J128+1</f>
        <v>4</v>
      </c>
    </row>
    <row r="130" spans="1:10" x14ac:dyDescent="0.45">
      <c r="A130" s="38">
        <f t="shared" ref="A130:A156" si="6">A129+1</f>
        <v>5</v>
      </c>
      <c r="B130" s="45" t="s">
        <v>193</v>
      </c>
      <c r="C130" s="372"/>
      <c r="D130" s="372"/>
      <c r="E130" s="372"/>
      <c r="F130" s="372"/>
      <c r="G130" s="167"/>
      <c r="H130" s="167"/>
      <c r="I130" s="169"/>
      <c r="J130" s="38">
        <f t="shared" ref="J130:J156" si="7">J129+1</f>
        <v>5</v>
      </c>
    </row>
    <row r="131" spans="1:10" x14ac:dyDescent="0.45">
      <c r="A131" s="38">
        <f t="shared" si="6"/>
        <v>6</v>
      </c>
      <c r="B131" s="39" t="str">
        <f>B86</f>
        <v xml:space="preserve">     A = Sum of Preferred Stock and Return on Equity Component</v>
      </c>
      <c r="D131" s="372"/>
      <c r="E131" s="372"/>
      <c r="F131" s="372"/>
      <c r="G131" s="170">
        <f>G65</f>
        <v>0</v>
      </c>
      <c r="H131" s="372"/>
      <c r="I131" s="50" t="str">
        <f>"AV1; Line "&amp;A65</f>
        <v>AV1; Line 55</v>
      </c>
      <c r="J131" s="38">
        <f t="shared" si="7"/>
        <v>6</v>
      </c>
    </row>
    <row r="132" spans="1:10" x14ac:dyDescent="0.45">
      <c r="A132" s="38">
        <f t="shared" si="6"/>
        <v>7</v>
      </c>
      <c r="B132" s="39" t="str">
        <f>B87</f>
        <v xml:space="preserve">     B = Transmission Total Federal Tax Adjustments</v>
      </c>
      <c r="D132" s="372"/>
      <c r="E132" s="372"/>
      <c r="F132" s="372"/>
      <c r="G132" s="191">
        <v>0</v>
      </c>
      <c r="H132" s="372"/>
      <c r="I132" s="50" t="s">
        <v>505</v>
      </c>
      <c r="J132" s="38">
        <f t="shared" si="7"/>
        <v>7</v>
      </c>
    </row>
    <row r="133" spans="1:10" ht="17.25" x14ac:dyDescent="0.45">
      <c r="A133" s="38">
        <f t="shared" si="6"/>
        <v>8</v>
      </c>
      <c r="B133" s="39" t="s">
        <v>266</v>
      </c>
      <c r="D133" s="372"/>
      <c r="E133" s="372"/>
      <c r="F133" s="372"/>
      <c r="G133" s="172">
        <v>0</v>
      </c>
      <c r="H133" s="372"/>
      <c r="I133" s="166"/>
      <c r="J133" s="38">
        <f t="shared" si="7"/>
        <v>8</v>
      </c>
    </row>
    <row r="134" spans="1:10" x14ac:dyDescent="0.45">
      <c r="A134" s="38">
        <f t="shared" si="6"/>
        <v>9</v>
      </c>
      <c r="B134" s="39" t="s">
        <v>213</v>
      </c>
      <c r="D134" s="372"/>
      <c r="E134" s="372"/>
      <c r="F134" s="372"/>
      <c r="G134" s="171">
        <v>0</v>
      </c>
      <c r="H134" s="372"/>
      <c r="I134" s="50" t="str">
        <f>"AV-4; Page 1; Line "&amp;A46</f>
        <v>AV-4; Page 1; Line 36</v>
      </c>
      <c r="J134" s="38">
        <f t="shared" si="7"/>
        <v>9</v>
      </c>
    </row>
    <row r="135" spans="1:10" x14ac:dyDescent="0.45">
      <c r="A135" s="38">
        <f t="shared" si="6"/>
        <v>10</v>
      </c>
      <c r="B135" s="39" t="str">
        <f>B90</f>
        <v xml:space="preserve">     FT = Federal Income Tax Rate for Rate Effective Period</v>
      </c>
      <c r="D135" s="372"/>
      <c r="E135" s="372"/>
      <c r="F135" s="372"/>
      <c r="G135" s="357">
        <f>G90</f>
        <v>0.21</v>
      </c>
      <c r="H135" s="372"/>
      <c r="I135" s="50" t="str">
        <f>"AV2; Line "&amp;A90</f>
        <v>AV2; Line 10</v>
      </c>
      <c r="J135" s="38">
        <f t="shared" si="7"/>
        <v>10</v>
      </c>
    </row>
    <row r="136" spans="1:10" x14ac:dyDescent="0.45">
      <c r="A136" s="38">
        <f t="shared" si="6"/>
        <v>11</v>
      </c>
      <c r="G136" s="38"/>
      <c r="H136" s="38"/>
      <c r="J136" s="38">
        <f t="shared" si="7"/>
        <v>11</v>
      </c>
    </row>
    <row r="137" spans="1:10" x14ac:dyDescent="0.45">
      <c r="A137" s="38">
        <f t="shared" si="6"/>
        <v>12</v>
      </c>
      <c r="B137" s="39" t="s">
        <v>214</v>
      </c>
      <c r="D137" s="372"/>
      <c r="E137" s="372"/>
      <c r="F137" s="372"/>
      <c r="G137" s="177">
        <f>IFERROR((((G131)+(G133/G134))*G135-(G132/G134))/(1-G135),0)</f>
        <v>0</v>
      </c>
      <c r="H137" s="177"/>
      <c r="I137" s="50" t="s">
        <v>215</v>
      </c>
      <c r="J137" s="38">
        <f t="shared" si="7"/>
        <v>12</v>
      </c>
    </row>
    <row r="138" spans="1:10" x14ac:dyDescent="0.45">
      <c r="A138" s="38">
        <f t="shared" si="6"/>
        <v>13</v>
      </c>
      <c r="B138" s="179" t="s">
        <v>201</v>
      </c>
      <c r="D138" s="179"/>
      <c r="G138" s="165"/>
      <c r="H138" s="165"/>
      <c r="J138" s="38">
        <f t="shared" si="7"/>
        <v>13</v>
      </c>
    </row>
    <row r="139" spans="1:10" x14ac:dyDescent="0.45">
      <c r="A139" s="38">
        <f t="shared" si="6"/>
        <v>14</v>
      </c>
      <c r="G139" s="38"/>
      <c r="H139" s="38"/>
      <c r="J139" s="38">
        <f t="shared" si="7"/>
        <v>14</v>
      </c>
    </row>
    <row r="140" spans="1:10" x14ac:dyDescent="0.45">
      <c r="A140" s="38">
        <f t="shared" si="6"/>
        <v>15</v>
      </c>
      <c r="B140" s="43" t="s">
        <v>202</v>
      </c>
      <c r="C140" s="372"/>
      <c r="D140" s="372"/>
      <c r="E140" s="372"/>
      <c r="F140" s="372"/>
      <c r="G140" s="180"/>
      <c r="H140" s="180"/>
      <c r="I140" s="181"/>
      <c r="J140" s="38">
        <f t="shared" si="7"/>
        <v>15</v>
      </c>
    </row>
    <row r="141" spans="1:10" x14ac:dyDescent="0.45">
      <c r="A141" s="38">
        <f t="shared" si="6"/>
        <v>16</v>
      </c>
      <c r="B141" s="55"/>
      <c r="C141" s="372"/>
      <c r="D141" s="372"/>
      <c r="E141" s="372"/>
      <c r="F141" s="372"/>
      <c r="G141" s="180"/>
      <c r="H141" s="180"/>
      <c r="I141" s="169"/>
      <c r="J141" s="38">
        <f t="shared" si="7"/>
        <v>16</v>
      </c>
    </row>
    <row r="142" spans="1:10" x14ac:dyDescent="0.45">
      <c r="A142" s="38">
        <f t="shared" si="6"/>
        <v>17</v>
      </c>
      <c r="B142" s="45" t="s">
        <v>193</v>
      </c>
      <c r="C142" s="372"/>
      <c r="D142" s="372"/>
      <c r="E142" s="372"/>
      <c r="F142" s="372"/>
      <c r="G142" s="180"/>
      <c r="H142" s="180"/>
      <c r="I142" s="169"/>
      <c r="J142" s="38">
        <f t="shared" si="7"/>
        <v>17</v>
      </c>
    </row>
    <row r="143" spans="1:10" x14ac:dyDescent="0.45">
      <c r="A143" s="38">
        <f t="shared" si="6"/>
        <v>18</v>
      </c>
      <c r="B143" s="39" t="str">
        <f>B98</f>
        <v xml:space="preserve">     A = Sum of Preferred Stock and Return on Equity Component</v>
      </c>
      <c r="D143" s="372"/>
      <c r="E143" s="372"/>
      <c r="F143" s="372"/>
      <c r="G143" s="158">
        <f>G131</f>
        <v>0</v>
      </c>
      <c r="H143" s="158"/>
      <c r="I143" s="50" t="str">
        <f>"Line "&amp;A131&amp;" Above"</f>
        <v>Line 6 Above</v>
      </c>
      <c r="J143" s="38">
        <f t="shared" si="7"/>
        <v>18</v>
      </c>
    </row>
    <row r="144" spans="1:10" x14ac:dyDescent="0.45">
      <c r="A144" s="38">
        <f t="shared" si="6"/>
        <v>19</v>
      </c>
      <c r="B144" s="39" t="str">
        <f>B99</f>
        <v xml:space="preserve">     B = Equity AFUDC Component of Transmission Depreciation Expense</v>
      </c>
      <c r="D144" s="372"/>
      <c r="E144" s="372"/>
      <c r="F144" s="372"/>
      <c r="G144" s="184">
        <f>G133</f>
        <v>0</v>
      </c>
      <c r="H144" s="184"/>
      <c r="I144" s="50" t="str">
        <f>"Line "&amp;A133&amp;" Above"</f>
        <v>Line 8 Above</v>
      </c>
      <c r="J144" s="38">
        <f t="shared" si="7"/>
        <v>19</v>
      </c>
    </row>
    <row r="145" spans="1:10" x14ac:dyDescent="0.45">
      <c r="A145" s="38">
        <f t="shared" si="6"/>
        <v>20</v>
      </c>
      <c r="B145" s="39" t="s">
        <v>216</v>
      </c>
      <c r="D145" s="372"/>
      <c r="E145" s="372"/>
      <c r="F145" s="372"/>
      <c r="G145" s="184">
        <f>G134</f>
        <v>0</v>
      </c>
      <c r="H145" s="184"/>
      <c r="I145" s="50" t="str">
        <f>"Line "&amp;A134&amp;" Above"</f>
        <v>Line 9 Above</v>
      </c>
      <c r="J145" s="38">
        <f t="shared" si="7"/>
        <v>20</v>
      </c>
    </row>
    <row r="146" spans="1:10" x14ac:dyDescent="0.45">
      <c r="A146" s="38">
        <f t="shared" si="6"/>
        <v>21</v>
      </c>
      <c r="B146" s="39" t="str">
        <f>B101</f>
        <v xml:space="preserve">     FT = Federal Income Tax Expense</v>
      </c>
      <c r="D146" s="372"/>
      <c r="E146" s="372"/>
      <c r="F146" s="372"/>
      <c r="G146" s="186">
        <f>G137</f>
        <v>0</v>
      </c>
      <c r="H146" s="186"/>
      <c r="I146" s="50" t="str">
        <f>"Line "&amp;A137&amp;" Above"</f>
        <v>Line 12 Above</v>
      </c>
      <c r="J146" s="38">
        <f t="shared" si="7"/>
        <v>21</v>
      </c>
    </row>
    <row r="147" spans="1:10" x14ac:dyDescent="0.45">
      <c r="A147" s="38">
        <f t="shared" si="6"/>
        <v>22</v>
      </c>
      <c r="B147" s="39" t="str">
        <f>B102</f>
        <v xml:space="preserve">     ST = State Income Tax Rate for Rate Effective Period</v>
      </c>
      <c r="D147" s="372"/>
      <c r="E147" s="372"/>
      <c r="F147" s="372"/>
      <c r="G147" s="358" t="str">
        <f>G102</f>
        <v>8.84%</v>
      </c>
      <c r="H147" s="372"/>
      <c r="I147" s="50" t="str">
        <f>"AV2; Line "&amp;A102</f>
        <v>AV2; Line 22</v>
      </c>
      <c r="J147" s="38">
        <f t="shared" si="7"/>
        <v>22</v>
      </c>
    </row>
    <row r="148" spans="1:10" x14ac:dyDescent="0.45">
      <c r="A148" s="38">
        <f t="shared" si="6"/>
        <v>23</v>
      </c>
      <c r="B148" s="373"/>
      <c r="D148" s="372"/>
      <c r="E148" s="372"/>
      <c r="F148" s="372"/>
      <c r="G148" s="187"/>
      <c r="H148" s="187"/>
      <c r="I148" s="183"/>
      <c r="J148" s="38">
        <f t="shared" si="7"/>
        <v>23</v>
      </c>
    </row>
    <row r="149" spans="1:10" x14ac:dyDescent="0.45">
      <c r="A149" s="38">
        <f t="shared" si="6"/>
        <v>24</v>
      </c>
      <c r="B149" s="39" t="s">
        <v>208</v>
      </c>
      <c r="C149" s="38"/>
      <c r="D149" s="38"/>
      <c r="E149" s="372"/>
      <c r="F149" s="372"/>
      <c r="G149" s="353">
        <f>IFERROR(((G143)+(G144/G145)+G137)*G147/(1-G147),0)</f>
        <v>0</v>
      </c>
      <c r="H149" s="188"/>
      <c r="I149" s="50" t="s">
        <v>209</v>
      </c>
      <c r="J149" s="38">
        <f t="shared" si="7"/>
        <v>24</v>
      </c>
    </row>
    <row r="150" spans="1:10" x14ac:dyDescent="0.45">
      <c r="A150" s="38">
        <f t="shared" si="6"/>
        <v>25</v>
      </c>
      <c r="B150" s="179" t="s">
        <v>210</v>
      </c>
      <c r="D150" s="179"/>
      <c r="G150" s="38"/>
      <c r="H150" s="38"/>
      <c r="I150" s="50"/>
      <c r="J150" s="38">
        <f t="shared" si="7"/>
        <v>25</v>
      </c>
    </row>
    <row r="151" spans="1:10" x14ac:dyDescent="0.45">
      <c r="A151" s="38">
        <f t="shared" si="6"/>
        <v>26</v>
      </c>
      <c r="G151" s="38"/>
      <c r="H151" s="38"/>
      <c r="I151" s="50"/>
      <c r="J151" s="38">
        <f t="shared" si="7"/>
        <v>26</v>
      </c>
    </row>
    <row r="152" spans="1:10" x14ac:dyDescent="0.45">
      <c r="A152" s="38">
        <f t="shared" si="6"/>
        <v>27</v>
      </c>
      <c r="B152" s="43" t="s">
        <v>211</v>
      </c>
      <c r="G152" s="177">
        <f>G149+G137</f>
        <v>0</v>
      </c>
      <c r="H152" s="177"/>
      <c r="I152" s="50" t="str">
        <f>"Line "&amp;A137&amp;" + Line "&amp;A149</f>
        <v>Line 12 + Line 24</v>
      </c>
      <c r="J152" s="38">
        <f t="shared" si="7"/>
        <v>27</v>
      </c>
    </row>
    <row r="153" spans="1:10" x14ac:dyDescent="0.45">
      <c r="A153" s="38">
        <f t="shared" si="6"/>
        <v>28</v>
      </c>
      <c r="G153" s="38"/>
      <c r="H153" s="38"/>
      <c r="I153" s="50"/>
      <c r="J153" s="38">
        <f t="shared" si="7"/>
        <v>28</v>
      </c>
    </row>
    <row r="154" spans="1:10" x14ac:dyDescent="0.45">
      <c r="A154" s="38">
        <f t="shared" si="6"/>
        <v>29</v>
      </c>
      <c r="B154" s="43" t="s">
        <v>217</v>
      </c>
      <c r="G154" s="359">
        <f>G63</f>
        <v>1.9124664122712989E-2</v>
      </c>
      <c r="H154" s="372"/>
      <c r="I154" s="50" t="str">
        <f>"AV1; Line "&amp;A63</f>
        <v>AV1; Line 53</v>
      </c>
      <c r="J154" s="38">
        <f t="shared" si="7"/>
        <v>29</v>
      </c>
    </row>
    <row r="155" spans="1:10" x14ac:dyDescent="0.45">
      <c r="A155" s="38">
        <f t="shared" si="6"/>
        <v>30</v>
      </c>
      <c r="G155" s="38"/>
      <c r="H155" s="38"/>
      <c r="I155" s="50"/>
      <c r="J155" s="38">
        <f t="shared" si="7"/>
        <v>30</v>
      </c>
    </row>
    <row r="156" spans="1:10" ht="18" thickBot="1" x14ac:dyDescent="0.5">
      <c r="A156" s="38">
        <f t="shared" si="6"/>
        <v>31</v>
      </c>
      <c r="B156" s="43" t="s">
        <v>268</v>
      </c>
      <c r="G156" s="195">
        <f>G152+G154</f>
        <v>1.9124664122712989E-2</v>
      </c>
      <c r="H156" s="864"/>
      <c r="I156" s="50" t="str">
        <f>"Line "&amp;A152&amp;" + Line "&amp;A154</f>
        <v>Line 27 + Line 29</v>
      </c>
      <c r="J156" s="38">
        <f t="shared" si="7"/>
        <v>31</v>
      </c>
    </row>
    <row r="157" spans="1:10" ht="15.75" thickTop="1" x14ac:dyDescent="0.45"/>
    <row r="158" spans="1:10" ht="17.25" x14ac:dyDescent="0.45">
      <c r="A158" s="69">
        <v>1</v>
      </c>
      <c r="B158" s="19" t="str">
        <f>"The Incentive Cost of Capital Rate Calculation will be tracked and shown separately for each project. As a result, lines "&amp;A126&amp;" through "&amp;A156&amp;" will be repeated for each project."</f>
        <v>The Incentive Cost of Capital Rate Calculation will be tracked and shown separately for each project. As a result, lines 1 through 31 will be repeated for each project.</v>
      </c>
    </row>
    <row r="159" spans="1:10" ht="17.25" x14ac:dyDescent="0.45">
      <c r="A159" s="69"/>
      <c r="B159" s="19"/>
    </row>
  </sheetData>
  <mergeCells count="15">
    <mergeCell ref="B76:I76"/>
    <mergeCell ref="B120:I120"/>
    <mergeCell ref="B121:I121"/>
    <mergeCell ref="B74:I74"/>
    <mergeCell ref="B119:I119"/>
    <mergeCell ref="B117:I117"/>
    <mergeCell ref="B118:I118"/>
    <mergeCell ref="B72:I72"/>
    <mergeCell ref="B73:I73"/>
    <mergeCell ref="B75:I75"/>
    <mergeCell ref="B2:I2"/>
    <mergeCell ref="B3:I3"/>
    <mergeCell ref="B4:I4"/>
    <mergeCell ref="B5:I5"/>
    <mergeCell ref="B6:I6"/>
  </mergeCells>
  <printOptions horizontalCentered="1"/>
  <pageMargins left="0" right="0" top="0.5" bottom="0.5" header="0.35" footer="0.25"/>
  <pageSetup scale="52" orientation="portrait" r:id="rId1"/>
  <headerFooter scaleWithDoc="0" alignWithMargins="0">
    <oddHeader>&amp;C&amp;"Times New Roman,Bold"REVISED</oddHeader>
    <oddFooter>&amp;CPage 9.&amp;P&amp;R&amp;F</oddFooter>
  </headerFooter>
  <rowBreaks count="2" manualBreakCount="2">
    <brk id="70" max="16383" man="1"/>
    <brk id="115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92"/>
  <sheetViews>
    <sheetView zoomScale="80" zoomScaleNormal="80" workbookViewId="0"/>
  </sheetViews>
  <sheetFormatPr defaultColWidth="8.73046875" defaultRowHeight="15.4" x14ac:dyDescent="0.45"/>
  <cols>
    <col min="1" max="1" width="5.06640625" style="494" customWidth="1"/>
    <col min="2" max="2" width="83" style="444" customWidth="1"/>
    <col min="3" max="3" width="16.796875" style="444" customWidth="1"/>
    <col min="4" max="4" width="1.59765625" style="444" customWidth="1"/>
    <col min="5" max="5" width="38.73046875" style="444" customWidth="1"/>
    <col min="6" max="6" width="5.06640625" style="494" customWidth="1"/>
    <col min="7" max="16384" width="8.73046875" style="444"/>
  </cols>
  <sheetData>
    <row r="1" spans="1:6" x14ac:dyDescent="0.45">
      <c r="A1" s="375"/>
      <c r="B1" s="445"/>
      <c r="C1" s="443"/>
      <c r="D1" s="443"/>
      <c r="E1" s="363"/>
      <c r="F1" s="375"/>
    </row>
    <row r="2" spans="1:6" x14ac:dyDescent="0.45">
      <c r="A2" s="375"/>
      <c r="B2" s="980" t="s">
        <v>19</v>
      </c>
      <c r="C2" s="1009"/>
      <c r="D2" s="1009"/>
      <c r="E2" s="1009"/>
      <c r="F2" s="375"/>
    </row>
    <row r="3" spans="1:6" x14ac:dyDescent="0.45">
      <c r="A3" s="375" t="s">
        <v>11</v>
      </c>
      <c r="B3" s="980" t="s">
        <v>285</v>
      </c>
      <c r="C3" s="1009"/>
      <c r="D3" s="1009"/>
      <c r="E3" s="1009"/>
      <c r="F3" s="375" t="s">
        <v>11</v>
      </c>
    </row>
    <row r="4" spans="1:6" x14ac:dyDescent="0.45">
      <c r="A4" s="375"/>
      <c r="B4" s="1006" t="s">
        <v>569</v>
      </c>
      <c r="C4" s="1007"/>
      <c r="D4" s="1007"/>
      <c r="E4" s="1007"/>
      <c r="F4" s="375"/>
    </row>
    <row r="5" spans="1:6" x14ac:dyDescent="0.45">
      <c r="A5" s="375"/>
      <c r="B5" s="1008" t="s">
        <v>1</v>
      </c>
      <c r="C5" s="1009"/>
      <c r="D5" s="1009"/>
      <c r="E5" s="1009"/>
      <c r="F5" s="375"/>
    </row>
    <row r="6" spans="1:6" x14ac:dyDescent="0.45">
      <c r="A6" s="375"/>
      <c r="B6" s="446"/>
      <c r="C6" s="445"/>
      <c r="D6" s="445"/>
      <c r="E6" s="445"/>
      <c r="F6" s="375"/>
    </row>
    <row r="7" spans="1:6" x14ac:dyDescent="0.45">
      <c r="A7" s="375" t="s">
        <v>2</v>
      </c>
      <c r="B7" s="445"/>
      <c r="C7" s="447"/>
      <c r="D7" s="447"/>
      <c r="E7" s="370"/>
      <c r="F7" s="375" t="s">
        <v>2</v>
      </c>
    </row>
    <row r="8" spans="1:6" x14ac:dyDescent="0.45">
      <c r="A8" s="375" t="s">
        <v>6</v>
      </c>
      <c r="B8" s="445" t="s">
        <v>11</v>
      </c>
      <c r="C8" s="448" t="s">
        <v>4</v>
      </c>
      <c r="D8" s="447"/>
      <c r="E8" s="449" t="s">
        <v>5</v>
      </c>
      <c r="F8" s="375" t="s">
        <v>6</v>
      </c>
    </row>
    <row r="9" spans="1:6" x14ac:dyDescent="0.45">
      <c r="A9" s="375"/>
      <c r="B9" s="299" t="s">
        <v>286</v>
      </c>
      <c r="C9" s="450"/>
      <c r="D9" s="447"/>
      <c r="E9" s="370"/>
      <c r="F9" s="375"/>
    </row>
    <row r="10" spans="1:6" x14ac:dyDescent="0.45">
      <c r="A10" s="375"/>
      <c r="B10" s="451"/>
      <c r="C10" s="450"/>
      <c r="D10" s="450"/>
      <c r="E10" s="370"/>
      <c r="F10" s="375"/>
    </row>
    <row r="11" spans="1:6" x14ac:dyDescent="0.45">
      <c r="A11" s="375">
        <v>1</v>
      </c>
      <c r="B11" s="299" t="s">
        <v>287</v>
      </c>
      <c r="C11" s="450"/>
      <c r="D11" s="450"/>
      <c r="E11" s="370"/>
      <c r="F11" s="375">
        <f>A11</f>
        <v>1</v>
      </c>
    </row>
    <row r="12" spans="1:6" x14ac:dyDescent="0.45">
      <c r="A12" s="375">
        <f>A11+1</f>
        <v>2</v>
      </c>
      <c r="B12" s="222" t="s">
        <v>288</v>
      </c>
      <c r="C12" s="452">
        <f>C79</f>
        <v>4625047.1446765382</v>
      </c>
      <c r="D12" s="453"/>
      <c r="E12" s="242" t="s">
        <v>642</v>
      </c>
      <c r="F12" s="375">
        <f>F11+1</f>
        <v>2</v>
      </c>
    </row>
    <row r="13" spans="1:6" x14ac:dyDescent="0.45">
      <c r="A13" s="375">
        <f t="shared" ref="A13:A48" si="0">A12+1</f>
        <v>3</v>
      </c>
      <c r="B13" s="222" t="s">
        <v>17</v>
      </c>
      <c r="C13" s="454">
        <f>C80</f>
        <v>6027.1109871155841</v>
      </c>
      <c r="D13" s="455"/>
      <c r="E13" s="242" t="s">
        <v>643</v>
      </c>
      <c r="F13" s="375">
        <f t="shared" ref="F13:F48" si="1">F12+1</f>
        <v>3</v>
      </c>
    </row>
    <row r="14" spans="1:6" x14ac:dyDescent="0.45">
      <c r="A14" s="375">
        <f t="shared" si="0"/>
        <v>4</v>
      </c>
      <c r="B14" s="222" t="s">
        <v>18</v>
      </c>
      <c r="C14" s="454">
        <f>C81</f>
        <v>25719.62485827101</v>
      </c>
      <c r="D14" s="455"/>
      <c r="E14" s="242" t="s">
        <v>644</v>
      </c>
      <c r="F14" s="375">
        <f t="shared" si="1"/>
        <v>4</v>
      </c>
    </row>
    <row r="15" spans="1:6" x14ac:dyDescent="0.45">
      <c r="A15" s="375">
        <f t="shared" si="0"/>
        <v>5</v>
      </c>
      <c r="B15" s="222" t="s">
        <v>289</v>
      </c>
      <c r="C15" s="456">
        <f>C82</f>
        <v>49235.566913177296</v>
      </c>
      <c r="D15" s="455"/>
      <c r="E15" s="242" t="s">
        <v>645</v>
      </c>
      <c r="F15" s="375">
        <f t="shared" si="1"/>
        <v>5</v>
      </c>
    </row>
    <row r="16" spans="1:6" x14ac:dyDescent="0.45">
      <c r="A16" s="375">
        <f t="shared" si="0"/>
        <v>6</v>
      </c>
      <c r="B16" s="222" t="s">
        <v>290</v>
      </c>
      <c r="C16" s="457">
        <f>SUM(C12:C15)</f>
        <v>4706029.4474351024</v>
      </c>
      <c r="D16" s="458"/>
      <c r="E16" s="242" t="s">
        <v>628</v>
      </c>
      <c r="F16" s="375">
        <f t="shared" si="1"/>
        <v>6</v>
      </c>
    </row>
    <row r="17" spans="1:6" x14ac:dyDescent="0.45">
      <c r="A17" s="375">
        <f t="shared" si="0"/>
        <v>7</v>
      </c>
      <c r="B17" s="298"/>
      <c r="C17" s="459"/>
      <c r="D17" s="460"/>
      <c r="E17" s="370"/>
      <c r="F17" s="375">
        <f t="shared" si="1"/>
        <v>7</v>
      </c>
    </row>
    <row r="18" spans="1:6" x14ac:dyDescent="0.45">
      <c r="A18" s="375">
        <f t="shared" si="0"/>
        <v>8</v>
      </c>
      <c r="B18" s="299" t="s">
        <v>291</v>
      </c>
      <c r="C18" s="459"/>
      <c r="D18" s="460"/>
      <c r="E18" s="370"/>
      <c r="F18" s="375">
        <f t="shared" si="1"/>
        <v>8</v>
      </c>
    </row>
    <row r="19" spans="1:6" x14ac:dyDescent="0.45">
      <c r="A19" s="375">
        <f t="shared" si="0"/>
        <v>9</v>
      </c>
      <c r="B19" s="222" t="s">
        <v>292</v>
      </c>
      <c r="C19" s="461">
        <v>950.34505384615397</v>
      </c>
      <c r="D19" s="447"/>
      <c r="E19" s="242" t="s">
        <v>646</v>
      </c>
      <c r="F19" s="375">
        <f t="shared" si="1"/>
        <v>9</v>
      </c>
    </row>
    <row r="20" spans="1:6" x14ac:dyDescent="0.45">
      <c r="A20" s="375">
        <f t="shared" si="0"/>
        <v>10</v>
      </c>
      <c r="B20" s="222" t="s">
        <v>293</v>
      </c>
      <c r="C20" s="865">
        <v>0</v>
      </c>
      <c r="D20" s="447"/>
      <c r="E20" s="242" t="s">
        <v>16</v>
      </c>
      <c r="F20" s="375">
        <f t="shared" si="1"/>
        <v>10</v>
      </c>
    </row>
    <row r="21" spans="1:6" x14ac:dyDescent="0.45">
      <c r="A21" s="375">
        <f t="shared" si="0"/>
        <v>11</v>
      </c>
      <c r="B21" s="222" t="s">
        <v>294</v>
      </c>
      <c r="C21" s="462">
        <f>C19+C20</f>
        <v>950.34505384615397</v>
      </c>
      <c r="D21" s="463"/>
      <c r="E21" s="242" t="s">
        <v>647</v>
      </c>
      <c r="F21" s="375">
        <f t="shared" si="1"/>
        <v>11</v>
      </c>
    </row>
    <row r="22" spans="1:6" x14ac:dyDescent="0.45">
      <c r="A22" s="375">
        <f t="shared" si="0"/>
        <v>12</v>
      </c>
      <c r="B22" s="222"/>
      <c r="C22" s="464"/>
      <c r="D22" s="443"/>
      <c r="E22" s="370"/>
      <c r="F22" s="375">
        <f t="shared" si="1"/>
        <v>12</v>
      </c>
    </row>
    <row r="23" spans="1:6" x14ac:dyDescent="0.45">
      <c r="A23" s="375">
        <f t="shared" si="0"/>
        <v>13</v>
      </c>
      <c r="B23" s="299" t="s">
        <v>295</v>
      </c>
      <c r="C23" s="459"/>
      <c r="D23" s="460"/>
      <c r="E23" s="370"/>
      <c r="F23" s="375">
        <f t="shared" si="1"/>
        <v>13</v>
      </c>
    </row>
    <row r="24" spans="1:6" x14ac:dyDescent="0.45">
      <c r="A24" s="375">
        <f t="shared" si="0"/>
        <v>14</v>
      </c>
      <c r="B24" s="298" t="s">
        <v>296</v>
      </c>
      <c r="C24" s="465">
        <v>-794306.00176645978</v>
      </c>
      <c r="D24" s="447"/>
      <c r="E24" s="242" t="s">
        <v>648</v>
      </c>
      <c r="F24" s="375">
        <f t="shared" si="1"/>
        <v>14</v>
      </c>
    </row>
    <row r="25" spans="1:6" x14ac:dyDescent="0.45">
      <c r="A25" s="375">
        <f t="shared" si="0"/>
        <v>15</v>
      </c>
      <c r="B25" s="298" t="s">
        <v>297</v>
      </c>
      <c r="C25" s="466">
        <v>0</v>
      </c>
      <c r="D25" s="447"/>
      <c r="E25" s="242" t="s">
        <v>649</v>
      </c>
      <c r="F25" s="375">
        <f t="shared" si="1"/>
        <v>15</v>
      </c>
    </row>
    <row r="26" spans="1:6" x14ac:dyDescent="0.45">
      <c r="A26" s="375">
        <f t="shared" si="0"/>
        <v>16</v>
      </c>
      <c r="B26" s="222" t="s">
        <v>298</v>
      </c>
      <c r="C26" s="457">
        <f>SUM(C24:C25)</f>
        <v>-794306.00176645978</v>
      </c>
      <c r="D26" s="458"/>
      <c r="E26" s="242" t="s">
        <v>650</v>
      </c>
      <c r="F26" s="375">
        <f t="shared" si="1"/>
        <v>16</v>
      </c>
    </row>
    <row r="27" spans="1:6" x14ac:dyDescent="0.45">
      <c r="A27" s="375">
        <f t="shared" si="0"/>
        <v>17</v>
      </c>
      <c r="B27" s="445"/>
      <c r="C27" s="467"/>
      <c r="D27" s="468"/>
      <c r="E27" s="370"/>
      <c r="F27" s="375">
        <f t="shared" si="1"/>
        <v>17</v>
      </c>
    </row>
    <row r="28" spans="1:6" x14ac:dyDescent="0.45">
      <c r="A28" s="375">
        <f t="shared" si="0"/>
        <v>18</v>
      </c>
      <c r="B28" s="299" t="s">
        <v>299</v>
      </c>
      <c r="C28" s="467"/>
      <c r="D28" s="468"/>
      <c r="E28" s="370"/>
      <c r="F28" s="375">
        <f t="shared" si="1"/>
        <v>18</v>
      </c>
    </row>
    <row r="29" spans="1:6" x14ac:dyDescent="0.45">
      <c r="A29" s="375">
        <f t="shared" si="0"/>
        <v>19</v>
      </c>
      <c r="B29" s="222" t="s">
        <v>300</v>
      </c>
      <c r="C29" s="452">
        <f>'Pg8 Revised Stmt AL'!G15</f>
        <v>52622.534271759701</v>
      </c>
      <c r="D29" s="447"/>
      <c r="E29" s="242" t="s">
        <v>651</v>
      </c>
      <c r="F29" s="375">
        <f t="shared" si="1"/>
        <v>19</v>
      </c>
    </row>
    <row r="30" spans="1:6" x14ac:dyDescent="0.45">
      <c r="A30" s="375">
        <f t="shared" si="0"/>
        <v>20</v>
      </c>
      <c r="B30" s="222" t="s">
        <v>301</v>
      </c>
      <c r="C30" s="454">
        <f>'Pg8 Revised Stmt AL'!G19</f>
        <v>19887.813848616828</v>
      </c>
      <c r="D30" s="447"/>
      <c r="E30" s="242" t="s">
        <v>652</v>
      </c>
      <c r="F30" s="375">
        <f t="shared" si="1"/>
        <v>20</v>
      </c>
    </row>
    <row r="31" spans="1:6" ht="15.75" x14ac:dyDescent="0.5">
      <c r="A31" s="375">
        <f t="shared" si="0"/>
        <v>21</v>
      </c>
      <c r="B31" s="222" t="s">
        <v>302</v>
      </c>
      <c r="C31" s="469">
        <f>'Pg8 Revised Stmt AL'!E29</f>
        <v>9321.3734353539439</v>
      </c>
      <c r="D31" s="26" t="s">
        <v>15</v>
      </c>
      <c r="E31" s="242" t="s">
        <v>653</v>
      </c>
      <c r="F31" s="375">
        <f t="shared" si="1"/>
        <v>21</v>
      </c>
    </row>
    <row r="32" spans="1:6" ht="15.75" x14ac:dyDescent="0.5">
      <c r="A32" s="375">
        <f t="shared" si="0"/>
        <v>22</v>
      </c>
      <c r="B32" s="222" t="s">
        <v>303</v>
      </c>
      <c r="C32" s="470">
        <f>SUM(C29:C31)</f>
        <v>81831.721555730473</v>
      </c>
      <c r="D32" s="26" t="s">
        <v>15</v>
      </c>
      <c r="E32" s="242" t="s">
        <v>654</v>
      </c>
      <c r="F32" s="375">
        <f t="shared" si="1"/>
        <v>22</v>
      </c>
    </row>
    <row r="33" spans="1:6" x14ac:dyDescent="0.45">
      <c r="A33" s="375">
        <f t="shared" si="0"/>
        <v>23</v>
      </c>
      <c r="B33" s="224"/>
      <c r="C33" s="471"/>
      <c r="D33" s="472"/>
      <c r="E33" s="370"/>
      <c r="F33" s="375">
        <f t="shared" si="1"/>
        <v>23</v>
      </c>
    </row>
    <row r="34" spans="1:6" x14ac:dyDescent="0.45">
      <c r="A34" s="375">
        <f t="shared" si="0"/>
        <v>24</v>
      </c>
      <c r="B34" s="222" t="s">
        <v>304</v>
      </c>
      <c r="C34" s="866">
        <v>0</v>
      </c>
      <c r="D34" s="447"/>
      <c r="E34" s="242" t="s">
        <v>16</v>
      </c>
      <c r="F34" s="375">
        <f t="shared" si="1"/>
        <v>24</v>
      </c>
    </row>
    <row r="35" spans="1:6" x14ac:dyDescent="0.45">
      <c r="A35" s="375">
        <f t="shared" si="0"/>
        <v>25</v>
      </c>
      <c r="B35" s="222"/>
      <c r="C35" s="471"/>
      <c r="D35" s="472"/>
      <c r="E35" s="370"/>
      <c r="F35" s="375">
        <f t="shared" si="1"/>
        <v>25</v>
      </c>
    </row>
    <row r="36" spans="1:6" ht="16.149999999999999" thickBot="1" x14ac:dyDescent="0.55000000000000004">
      <c r="A36" s="375">
        <f t="shared" si="0"/>
        <v>26</v>
      </c>
      <c r="B36" s="222" t="s">
        <v>305</v>
      </c>
      <c r="C36" s="473">
        <f>C16+C21+C26+C32+C34</f>
        <v>3994505.5122782188</v>
      </c>
      <c r="D36" s="26" t="s">
        <v>15</v>
      </c>
      <c r="E36" s="242" t="s">
        <v>655</v>
      </c>
      <c r="F36" s="375">
        <f t="shared" si="1"/>
        <v>26</v>
      </c>
    </row>
    <row r="37" spans="1:6" ht="15.75" thickTop="1" x14ac:dyDescent="0.45">
      <c r="A37" s="375">
        <f t="shared" si="0"/>
        <v>27</v>
      </c>
      <c r="B37" s="224"/>
      <c r="C37" s="474"/>
      <c r="D37" s="458"/>
      <c r="E37" s="370"/>
      <c r="F37" s="375">
        <f t="shared" si="1"/>
        <v>27</v>
      </c>
    </row>
    <row r="38" spans="1:6" ht="17.649999999999999" x14ac:dyDescent="0.45">
      <c r="A38" s="375">
        <f t="shared" si="0"/>
        <v>28</v>
      </c>
      <c r="B38" s="299" t="s">
        <v>506</v>
      </c>
      <c r="C38" s="474"/>
      <c r="D38" s="458"/>
      <c r="E38" s="370"/>
      <c r="F38" s="375">
        <f t="shared" si="1"/>
        <v>28</v>
      </c>
    </row>
    <row r="39" spans="1:6" x14ac:dyDescent="0.45">
      <c r="A39" s="375">
        <f t="shared" si="0"/>
        <v>29</v>
      </c>
      <c r="B39" s="222" t="s">
        <v>306</v>
      </c>
      <c r="C39" s="465">
        <f>C88</f>
        <v>0</v>
      </c>
      <c r="D39" s="476"/>
      <c r="E39" s="242" t="s">
        <v>656</v>
      </c>
      <c r="F39" s="375">
        <f t="shared" si="1"/>
        <v>29</v>
      </c>
    </row>
    <row r="40" spans="1:6" x14ac:dyDescent="0.45">
      <c r="A40" s="375">
        <f t="shared" si="0"/>
        <v>30</v>
      </c>
      <c r="B40" s="222" t="s">
        <v>307</v>
      </c>
      <c r="C40" s="867">
        <v>0</v>
      </c>
      <c r="D40" s="447"/>
      <c r="E40" s="242" t="s">
        <v>657</v>
      </c>
      <c r="F40" s="375">
        <f t="shared" si="1"/>
        <v>30</v>
      </c>
    </row>
    <row r="41" spans="1:6" x14ac:dyDescent="0.45">
      <c r="A41" s="375">
        <f t="shared" si="0"/>
        <v>31</v>
      </c>
      <c r="B41" s="298" t="s">
        <v>308</v>
      </c>
      <c r="C41" s="470">
        <f>C39+C40</f>
        <v>0</v>
      </c>
      <c r="D41" s="458"/>
      <c r="E41" s="242" t="s">
        <v>658</v>
      </c>
      <c r="F41" s="375">
        <f t="shared" si="1"/>
        <v>31</v>
      </c>
    </row>
    <row r="42" spans="1:6" x14ac:dyDescent="0.45">
      <c r="A42" s="375">
        <f t="shared" si="0"/>
        <v>32</v>
      </c>
      <c r="B42" s="224"/>
      <c r="C42" s="474"/>
      <c r="D42" s="458"/>
      <c r="E42" s="370"/>
      <c r="F42" s="375">
        <f t="shared" si="1"/>
        <v>32</v>
      </c>
    </row>
    <row r="43" spans="1:6" ht="17.649999999999999" x14ac:dyDescent="0.45">
      <c r="A43" s="375">
        <f t="shared" si="0"/>
        <v>33</v>
      </c>
      <c r="B43" s="299" t="s">
        <v>507</v>
      </c>
      <c r="C43" s="474"/>
      <c r="D43" s="458"/>
      <c r="E43" s="370"/>
      <c r="F43" s="375">
        <f t="shared" si="1"/>
        <v>33</v>
      </c>
    </row>
    <row r="44" spans="1:6" x14ac:dyDescent="0.45">
      <c r="A44" s="375">
        <f t="shared" si="0"/>
        <v>34</v>
      </c>
      <c r="B44" s="222" t="s">
        <v>309</v>
      </c>
      <c r="C44" s="475">
        <v>0</v>
      </c>
      <c r="D44" s="447"/>
      <c r="E44" s="242" t="s">
        <v>16</v>
      </c>
      <c r="F44" s="375">
        <f t="shared" si="1"/>
        <v>34</v>
      </c>
    </row>
    <row r="45" spans="1:6" x14ac:dyDescent="0.45">
      <c r="A45" s="375">
        <f t="shared" si="0"/>
        <v>35</v>
      </c>
      <c r="B45" s="298" t="s">
        <v>310</v>
      </c>
      <c r="C45" s="483">
        <v>0</v>
      </c>
      <c r="D45" s="447"/>
      <c r="E45" s="242" t="s">
        <v>659</v>
      </c>
      <c r="F45" s="375">
        <f t="shared" si="1"/>
        <v>35</v>
      </c>
    </row>
    <row r="46" spans="1:6" x14ac:dyDescent="0.45">
      <c r="A46" s="375">
        <f t="shared" si="0"/>
        <v>36</v>
      </c>
      <c r="B46" s="298" t="s">
        <v>311</v>
      </c>
      <c r="C46" s="470">
        <f>C44+C45</f>
        <v>0</v>
      </c>
      <c r="D46" s="458"/>
      <c r="E46" s="242" t="s">
        <v>660</v>
      </c>
      <c r="F46" s="375">
        <f t="shared" si="1"/>
        <v>36</v>
      </c>
    </row>
    <row r="47" spans="1:6" x14ac:dyDescent="0.45">
      <c r="A47" s="375">
        <f t="shared" si="0"/>
        <v>37</v>
      </c>
      <c r="B47" s="224"/>
      <c r="C47" s="474"/>
      <c r="D47" s="458"/>
      <c r="E47" s="370"/>
      <c r="F47" s="375">
        <f t="shared" si="1"/>
        <v>37</v>
      </c>
    </row>
    <row r="48" spans="1:6" ht="18" thickBot="1" x14ac:dyDescent="0.5">
      <c r="A48" s="375">
        <f t="shared" si="0"/>
        <v>38</v>
      </c>
      <c r="B48" s="299" t="s">
        <v>508</v>
      </c>
      <c r="C48" s="477">
        <v>0</v>
      </c>
      <c r="D48" s="447"/>
      <c r="E48" s="242" t="s">
        <v>16</v>
      </c>
      <c r="F48" s="375">
        <f t="shared" si="1"/>
        <v>38</v>
      </c>
    </row>
    <row r="49" spans="1:6" ht="15.75" thickTop="1" x14ac:dyDescent="0.45">
      <c r="A49" s="375"/>
      <c r="B49" s="224"/>
      <c r="C49" s="458"/>
      <c r="D49" s="458"/>
      <c r="E49" s="370"/>
      <c r="F49" s="375"/>
    </row>
    <row r="50" spans="1:6" ht="15.75" x14ac:dyDescent="0.5">
      <c r="A50" s="26" t="s">
        <v>15</v>
      </c>
      <c r="B50" s="23" t="s">
        <v>332</v>
      </c>
      <c r="C50" s="458"/>
      <c r="D50" s="458"/>
      <c r="E50" s="370"/>
      <c r="F50" s="375"/>
    </row>
    <row r="51" spans="1:6" ht="17.25" x14ac:dyDescent="0.45">
      <c r="A51" s="868">
        <v>1</v>
      </c>
      <c r="B51" s="345" t="s">
        <v>509</v>
      </c>
      <c r="C51" s="458"/>
      <c r="D51" s="458"/>
      <c r="E51" s="370"/>
      <c r="F51" s="375"/>
    </row>
    <row r="52" spans="1:6" ht="17.25" x14ac:dyDescent="0.45">
      <c r="A52" s="868"/>
      <c r="B52" s="298" t="s">
        <v>510</v>
      </c>
      <c r="C52" s="458"/>
      <c r="D52" s="458"/>
      <c r="E52" s="370"/>
      <c r="F52" s="375"/>
    </row>
    <row r="53" spans="1:6" x14ac:dyDescent="0.45">
      <c r="A53" s="375"/>
      <c r="B53" s="224"/>
      <c r="C53" s="458"/>
      <c r="D53" s="458"/>
      <c r="E53" s="370"/>
      <c r="F53" s="375"/>
    </row>
    <row r="54" spans="1:6" x14ac:dyDescent="0.45">
      <c r="A54" s="375"/>
      <c r="B54" s="445"/>
      <c r="C54" s="458"/>
      <c r="D54" s="458"/>
      <c r="E54" s="370"/>
      <c r="F54" s="375"/>
    </row>
    <row r="55" spans="1:6" x14ac:dyDescent="0.45">
      <c r="A55" s="375"/>
      <c r="B55" s="980" t="s">
        <v>0</v>
      </c>
      <c r="C55" s="1009"/>
      <c r="D55" s="1009"/>
      <c r="E55" s="1009"/>
      <c r="F55" s="375"/>
    </row>
    <row r="56" spans="1:6" x14ac:dyDescent="0.45">
      <c r="A56" s="375"/>
      <c r="B56" s="980" t="s">
        <v>285</v>
      </c>
      <c r="C56" s="1009"/>
      <c r="D56" s="1009"/>
      <c r="E56" s="1009"/>
      <c r="F56" s="375"/>
    </row>
    <row r="57" spans="1:6" x14ac:dyDescent="0.45">
      <c r="A57" s="375"/>
      <c r="B57" s="1006" t="str">
        <f>B4</f>
        <v>Base Period &amp; True-Up Period 12 - Months Ending December 31, 2018</v>
      </c>
      <c r="C57" s="1007"/>
      <c r="D57" s="1007"/>
      <c r="E57" s="1007"/>
      <c r="F57" s="375"/>
    </row>
    <row r="58" spans="1:6" x14ac:dyDescent="0.45">
      <c r="A58" s="375"/>
      <c r="B58" s="1008" t="s">
        <v>1</v>
      </c>
      <c r="C58" s="1009"/>
      <c r="D58" s="1009"/>
      <c r="E58" s="1009"/>
      <c r="F58" s="375"/>
    </row>
    <row r="59" spans="1:6" x14ac:dyDescent="0.45">
      <c r="A59" s="375"/>
      <c r="B59" s="446"/>
      <c r="C59" s="445"/>
      <c r="D59" s="445"/>
      <c r="E59" s="445"/>
      <c r="F59" s="375"/>
    </row>
    <row r="60" spans="1:6" x14ac:dyDescent="0.45">
      <c r="A60" s="375" t="s">
        <v>2</v>
      </c>
      <c r="B60" s="445"/>
      <c r="C60" s="447"/>
      <c r="D60" s="447"/>
      <c r="E60" s="370"/>
      <c r="F60" s="375" t="s">
        <v>2</v>
      </c>
    </row>
    <row r="61" spans="1:6" x14ac:dyDescent="0.45">
      <c r="A61" s="375" t="s">
        <v>6</v>
      </c>
      <c r="B61" s="445" t="s">
        <v>11</v>
      </c>
      <c r="C61" s="448" t="s">
        <v>4</v>
      </c>
      <c r="D61" s="448"/>
      <c r="E61" s="449" t="s">
        <v>5</v>
      </c>
      <c r="F61" s="375" t="s">
        <v>6</v>
      </c>
    </row>
    <row r="62" spans="1:6" x14ac:dyDescent="0.45">
      <c r="A62" s="375"/>
      <c r="B62" s="299" t="s">
        <v>312</v>
      </c>
      <c r="C62" s="447"/>
      <c r="D62" s="447"/>
      <c r="E62" s="370"/>
      <c r="F62" s="375"/>
    </row>
    <row r="63" spans="1:6" x14ac:dyDescent="0.45">
      <c r="A63" s="375"/>
      <c r="B63" s="299"/>
      <c r="C63" s="447"/>
      <c r="D63" s="447"/>
      <c r="E63" s="370"/>
      <c r="F63" s="375"/>
    </row>
    <row r="64" spans="1:6" x14ac:dyDescent="0.45">
      <c r="A64" s="375">
        <v>1</v>
      </c>
      <c r="B64" s="299" t="s">
        <v>313</v>
      </c>
      <c r="C64" s="447"/>
      <c r="D64" s="447"/>
      <c r="E64" s="370"/>
      <c r="F64" s="375">
        <f>A64</f>
        <v>1</v>
      </c>
    </row>
    <row r="65" spans="1:8" x14ac:dyDescent="0.45">
      <c r="A65" s="375">
        <f>A64+1</f>
        <v>2</v>
      </c>
      <c r="B65" s="222" t="s">
        <v>288</v>
      </c>
      <c r="C65" s="478">
        <v>5763584.0500423079</v>
      </c>
      <c r="D65" s="447"/>
      <c r="E65" s="242" t="s">
        <v>626</v>
      </c>
      <c r="F65" s="375">
        <f>F64+1</f>
        <v>2</v>
      </c>
      <c r="G65" s="479"/>
      <c r="H65" s="480"/>
    </row>
    <row r="66" spans="1:8" x14ac:dyDescent="0.45">
      <c r="A66" s="375">
        <f t="shared" ref="A66:A88" si="2">A65+1</f>
        <v>3</v>
      </c>
      <c r="B66" s="222" t="s">
        <v>314</v>
      </c>
      <c r="C66" s="481">
        <v>18365.951823456027</v>
      </c>
      <c r="D66" s="447"/>
      <c r="E66" s="242" t="s">
        <v>627</v>
      </c>
      <c r="F66" s="375">
        <f t="shared" ref="F66:F88" si="3">F65+1</f>
        <v>3</v>
      </c>
      <c r="G66" s="479"/>
      <c r="H66" s="480"/>
    </row>
    <row r="67" spans="1:8" x14ac:dyDescent="0.45">
      <c r="A67" s="375">
        <f t="shared" si="2"/>
        <v>4</v>
      </c>
      <c r="B67" s="222" t="s">
        <v>18</v>
      </c>
      <c r="C67" s="481">
        <v>42086.849326844938</v>
      </c>
      <c r="D67" s="447"/>
      <c r="E67" s="242" t="s">
        <v>602</v>
      </c>
      <c r="F67" s="375">
        <f t="shared" si="3"/>
        <v>4</v>
      </c>
      <c r="G67" s="479"/>
      <c r="H67" s="482"/>
    </row>
    <row r="68" spans="1:8" x14ac:dyDescent="0.45">
      <c r="A68" s="375">
        <f t="shared" si="2"/>
        <v>5</v>
      </c>
      <c r="B68" s="222" t="s">
        <v>289</v>
      </c>
      <c r="C68" s="483">
        <v>94777.206841888925</v>
      </c>
      <c r="D68" s="447"/>
      <c r="E68" s="242" t="s">
        <v>603</v>
      </c>
      <c r="F68" s="375">
        <f t="shared" si="3"/>
        <v>5</v>
      </c>
      <c r="G68" s="480"/>
      <c r="H68" s="480"/>
    </row>
    <row r="69" spans="1:8" x14ac:dyDescent="0.45">
      <c r="A69" s="375">
        <f t="shared" si="2"/>
        <v>6</v>
      </c>
      <c r="B69" s="222" t="s">
        <v>315</v>
      </c>
      <c r="C69" s="457">
        <f>SUM(C65:C68)</f>
        <v>5918814.0580344982</v>
      </c>
      <c r="D69" s="458"/>
      <c r="E69" s="242" t="s">
        <v>628</v>
      </c>
      <c r="F69" s="375">
        <f t="shared" si="3"/>
        <v>6</v>
      </c>
      <c r="G69" s="479"/>
      <c r="H69" s="480"/>
    </row>
    <row r="70" spans="1:8" x14ac:dyDescent="0.45">
      <c r="A70" s="375">
        <f t="shared" si="2"/>
        <v>7</v>
      </c>
      <c r="B70" s="298"/>
      <c r="C70" s="484"/>
      <c r="D70" s="447"/>
      <c r="E70" s="370"/>
      <c r="F70" s="375">
        <f t="shared" si="3"/>
        <v>7</v>
      </c>
      <c r="G70" s="480"/>
      <c r="H70" s="480"/>
    </row>
    <row r="71" spans="1:8" x14ac:dyDescent="0.45">
      <c r="A71" s="375">
        <f t="shared" si="2"/>
        <v>8</v>
      </c>
      <c r="B71" s="297" t="s">
        <v>316</v>
      </c>
      <c r="C71" s="484"/>
      <c r="D71" s="447"/>
      <c r="E71" s="370"/>
      <c r="F71" s="375">
        <f t="shared" si="3"/>
        <v>8</v>
      </c>
      <c r="G71" s="480"/>
      <c r="H71" s="480"/>
    </row>
    <row r="72" spans="1:8" x14ac:dyDescent="0.45">
      <c r="A72" s="375">
        <f t="shared" si="2"/>
        <v>9</v>
      </c>
      <c r="B72" s="298" t="s">
        <v>317</v>
      </c>
      <c r="C72" s="478">
        <v>1138536.9053657693</v>
      </c>
      <c r="D72" s="447"/>
      <c r="E72" s="242" t="s">
        <v>629</v>
      </c>
      <c r="F72" s="375">
        <f t="shared" si="3"/>
        <v>9</v>
      </c>
      <c r="G72" s="480"/>
      <c r="H72" s="480"/>
    </row>
    <row r="73" spans="1:8" x14ac:dyDescent="0.45">
      <c r="A73" s="375">
        <f t="shared" si="2"/>
        <v>10</v>
      </c>
      <c r="B73" s="298" t="s">
        <v>318</v>
      </c>
      <c r="C73" s="481">
        <v>12338.840836340443</v>
      </c>
      <c r="D73" s="447"/>
      <c r="E73" s="242" t="s">
        <v>630</v>
      </c>
      <c r="F73" s="375">
        <f t="shared" si="3"/>
        <v>10</v>
      </c>
      <c r="G73" s="480"/>
      <c r="H73" s="480"/>
    </row>
    <row r="74" spans="1:8" x14ac:dyDescent="0.45">
      <c r="A74" s="375">
        <f t="shared" si="2"/>
        <v>11</v>
      </c>
      <c r="B74" s="298" t="s">
        <v>319</v>
      </c>
      <c r="C74" s="481">
        <v>16367.224468573926</v>
      </c>
      <c r="D74" s="447"/>
      <c r="E74" s="242" t="s">
        <v>631</v>
      </c>
      <c r="F74" s="375">
        <f t="shared" si="3"/>
        <v>11</v>
      </c>
      <c r="G74" s="480"/>
      <c r="H74" s="480"/>
    </row>
    <row r="75" spans="1:8" x14ac:dyDescent="0.45">
      <c r="A75" s="375">
        <f t="shared" si="2"/>
        <v>12</v>
      </c>
      <c r="B75" s="298" t="s">
        <v>320</v>
      </c>
      <c r="C75" s="483">
        <v>45541.639928711629</v>
      </c>
      <c r="D75" s="447"/>
      <c r="E75" s="242" t="s">
        <v>632</v>
      </c>
      <c r="F75" s="375">
        <f t="shared" si="3"/>
        <v>12</v>
      </c>
      <c r="G75" s="480"/>
      <c r="H75" s="480"/>
    </row>
    <row r="76" spans="1:8" x14ac:dyDescent="0.45">
      <c r="A76" s="375">
        <f t="shared" si="2"/>
        <v>13</v>
      </c>
      <c r="B76" s="485" t="s">
        <v>321</v>
      </c>
      <c r="C76" s="457">
        <f>SUM(C72:C75)</f>
        <v>1212784.6105993951</v>
      </c>
      <c r="D76" s="458"/>
      <c r="E76" s="242" t="s">
        <v>633</v>
      </c>
      <c r="F76" s="375">
        <f t="shared" si="3"/>
        <v>13</v>
      </c>
      <c r="G76" s="480"/>
      <c r="H76" s="480"/>
    </row>
    <row r="77" spans="1:8" x14ac:dyDescent="0.45">
      <c r="A77" s="375">
        <f t="shared" si="2"/>
        <v>14</v>
      </c>
      <c r="B77" s="485"/>
      <c r="C77" s="467"/>
      <c r="D77" s="468"/>
      <c r="E77" s="370"/>
      <c r="F77" s="375">
        <f t="shared" si="3"/>
        <v>14</v>
      </c>
      <c r="G77" s="480"/>
      <c r="H77" s="480"/>
    </row>
    <row r="78" spans="1:8" x14ac:dyDescent="0.45">
      <c r="A78" s="375">
        <f t="shared" si="2"/>
        <v>15</v>
      </c>
      <c r="B78" s="299" t="s">
        <v>287</v>
      </c>
      <c r="C78" s="467"/>
      <c r="D78" s="468"/>
      <c r="E78" s="370"/>
      <c r="F78" s="375">
        <f t="shared" si="3"/>
        <v>15</v>
      </c>
      <c r="G78" s="480"/>
      <c r="H78" s="480"/>
    </row>
    <row r="79" spans="1:8" x14ac:dyDescent="0.45">
      <c r="A79" s="375">
        <f t="shared" si="2"/>
        <v>16</v>
      </c>
      <c r="B79" s="222" t="s">
        <v>288</v>
      </c>
      <c r="C79" s="486">
        <f>C65-C72</f>
        <v>4625047.1446765382</v>
      </c>
      <c r="D79" s="487"/>
      <c r="E79" s="242" t="s">
        <v>634</v>
      </c>
      <c r="F79" s="375">
        <f t="shared" si="3"/>
        <v>16</v>
      </c>
      <c r="G79" s="480"/>
      <c r="H79" s="480"/>
    </row>
    <row r="80" spans="1:8" x14ac:dyDescent="0.45">
      <c r="A80" s="375">
        <f t="shared" si="2"/>
        <v>17</v>
      </c>
      <c r="B80" s="222" t="s">
        <v>17</v>
      </c>
      <c r="C80" s="488">
        <f>C66-C73</f>
        <v>6027.1109871155841</v>
      </c>
      <c r="D80" s="489"/>
      <c r="E80" s="242" t="s">
        <v>635</v>
      </c>
      <c r="F80" s="375">
        <f t="shared" si="3"/>
        <v>17</v>
      </c>
      <c r="G80" s="480"/>
      <c r="H80" s="480"/>
    </row>
    <row r="81" spans="1:6" x14ac:dyDescent="0.45">
      <c r="A81" s="375">
        <f t="shared" si="2"/>
        <v>18</v>
      </c>
      <c r="B81" s="222" t="s">
        <v>18</v>
      </c>
      <c r="C81" s="488">
        <f>C67-C74</f>
        <v>25719.62485827101</v>
      </c>
      <c r="D81" s="489"/>
      <c r="E81" s="242" t="s">
        <v>636</v>
      </c>
      <c r="F81" s="375">
        <f t="shared" si="3"/>
        <v>18</v>
      </c>
    </row>
    <row r="82" spans="1:6" x14ac:dyDescent="0.45">
      <c r="A82" s="375">
        <f t="shared" si="2"/>
        <v>19</v>
      </c>
      <c r="B82" s="222" t="s">
        <v>289</v>
      </c>
      <c r="C82" s="490">
        <f>C68-C75</f>
        <v>49235.566913177296</v>
      </c>
      <c r="D82" s="491"/>
      <c r="E82" s="242" t="s">
        <v>637</v>
      </c>
      <c r="F82" s="375">
        <f t="shared" si="3"/>
        <v>19</v>
      </c>
    </row>
    <row r="83" spans="1:6" ht="15.75" thickBot="1" x14ac:dyDescent="0.5">
      <c r="A83" s="375">
        <f t="shared" si="2"/>
        <v>20</v>
      </c>
      <c r="B83" s="298" t="s">
        <v>290</v>
      </c>
      <c r="C83" s="492">
        <f>SUM(C79:C82)</f>
        <v>4706029.4474351024</v>
      </c>
      <c r="D83" s="458"/>
      <c r="E83" s="242" t="s">
        <v>638</v>
      </c>
      <c r="F83" s="375">
        <f t="shared" si="3"/>
        <v>20</v>
      </c>
    </row>
    <row r="84" spans="1:6" ht="15.75" thickTop="1" x14ac:dyDescent="0.45">
      <c r="A84" s="375">
        <f t="shared" si="2"/>
        <v>21</v>
      </c>
      <c r="B84" s="298"/>
      <c r="C84" s="474"/>
      <c r="D84" s="458"/>
      <c r="E84" s="370"/>
      <c r="F84" s="375">
        <f t="shared" si="3"/>
        <v>21</v>
      </c>
    </row>
    <row r="85" spans="1:6" ht="17.649999999999999" x14ac:dyDescent="0.45">
      <c r="A85" s="375">
        <f t="shared" si="2"/>
        <v>22</v>
      </c>
      <c r="B85" s="299" t="s">
        <v>511</v>
      </c>
      <c r="C85" s="474"/>
      <c r="D85" s="458"/>
      <c r="E85" s="370"/>
      <c r="F85" s="375">
        <f t="shared" si="3"/>
        <v>22</v>
      </c>
    </row>
    <row r="86" spans="1:6" x14ac:dyDescent="0.45">
      <c r="A86" s="375">
        <f t="shared" si="2"/>
        <v>23</v>
      </c>
      <c r="B86" s="222" t="s">
        <v>322</v>
      </c>
      <c r="C86" s="465">
        <v>0</v>
      </c>
      <c r="D86" s="447"/>
      <c r="E86" s="242" t="s">
        <v>639</v>
      </c>
      <c r="F86" s="375">
        <f t="shared" si="3"/>
        <v>23</v>
      </c>
    </row>
    <row r="87" spans="1:6" x14ac:dyDescent="0.45">
      <c r="A87" s="375">
        <f t="shared" si="2"/>
        <v>24</v>
      </c>
      <c r="B87" s="298" t="s">
        <v>323</v>
      </c>
      <c r="C87" s="483">
        <v>0</v>
      </c>
      <c r="D87" s="447"/>
      <c r="E87" s="242" t="s">
        <v>640</v>
      </c>
      <c r="F87" s="375">
        <f t="shared" si="3"/>
        <v>24</v>
      </c>
    </row>
    <row r="88" spans="1:6" ht="15.75" thickBot="1" x14ac:dyDescent="0.5">
      <c r="A88" s="375">
        <f t="shared" si="2"/>
        <v>25</v>
      </c>
      <c r="B88" s="222" t="s">
        <v>324</v>
      </c>
      <c r="C88" s="493">
        <f>C86-C87</f>
        <v>0</v>
      </c>
      <c r="D88" s="458"/>
      <c r="E88" s="242" t="s">
        <v>641</v>
      </c>
      <c r="F88" s="375">
        <f t="shared" si="3"/>
        <v>25</v>
      </c>
    </row>
    <row r="89" spans="1:6" ht="15.75" thickTop="1" x14ac:dyDescent="0.45">
      <c r="A89" s="375"/>
      <c r="B89" s="224"/>
      <c r="C89" s="458"/>
      <c r="D89" s="458"/>
      <c r="E89" s="370"/>
      <c r="F89" s="375"/>
    </row>
    <row r="90" spans="1:6" ht="17.25" x14ac:dyDescent="0.45">
      <c r="A90" s="326">
        <v>1</v>
      </c>
      <c r="B90" s="345" t="s">
        <v>509</v>
      </c>
      <c r="C90" s="458"/>
      <c r="D90" s="458"/>
      <c r="E90" s="370"/>
      <c r="F90" s="375"/>
    </row>
    <row r="91" spans="1:6" x14ac:dyDescent="0.45">
      <c r="A91" s="869"/>
      <c r="B91" s="298" t="s">
        <v>510</v>
      </c>
      <c r="C91" s="458"/>
      <c r="D91" s="458"/>
      <c r="E91" s="370"/>
      <c r="F91" s="375"/>
    </row>
    <row r="92" spans="1:6" x14ac:dyDescent="0.45">
      <c r="A92" s="375"/>
      <c r="B92" s="445"/>
      <c r="C92" s="458"/>
      <c r="D92" s="458"/>
      <c r="E92" s="370"/>
      <c r="F92" s="375"/>
    </row>
  </sheetData>
  <mergeCells count="8">
    <mergeCell ref="B57:E57"/>
    <mergeCell ref="B58:E58"/>
    <mergeCell ref="B55:E55"/>
    <mergeCell ref="B56:E5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Roman,Bold"REVISED</oddHeader>
    <oddFooter>&amp;CPage 10.&amp;P&amp;R&amp;F</oddFooter>
  </headerFooter>
  <rowBreaks count="1" manualBreakCount="1">
    <brk id="5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37D71-5EDE-4BA2-94B0-359C083D9EFF}">
  <sheetPr>
    <pageSetUpPr fitToPage="1"/>
  </sheetPr>
  <dimension ref="A2:L72"/>
  <sheetViews>
    <sheetView zoomScale="80" zoomScaleNormal="80" workbookViewId="0"/>
  </sheetViews>
  <sheetFormatPr defaultColWidth="9.06640625" defaultRowHeight="15.4" x14ac:dyDescent="0.45"/>
  <cols>
    <col min="1" max="1" width="5.06640625" style="494" customWidth="1"/>
    <col min="2" max="2" width="12.59765625" style="530" customWidth="1"/>
    <col min="3" max="3" width="20" style="530" customWidth="1"/>
    <col min="4" max="4" width="23.265625" style="530" bestFit="1" customWidth="1"/>
    <col min="5" max="8" width="21.59765625" style="530" customWidth="1"/>
    <col min="9" max="9" width="5.06640625" style="494" customWidth="1"/>
    <col min="10" max="10" width="13.59765625" style="530" customWidth="1"/>
    <col min="11" max="11" width="12.59765625" style="530" customWidth="1"/>
    <col min="12" max="16384" width="9.06640625" style="530"/>
  </cols>
  <sheetData>
    <row r="2" spans="1:9" x14ac:dyDescent="0.45">
      <c r="B2" s="1010" t="s">
        <v>19</v>
      </c>
      <c r="C2" s="1010"/>
      <c r="D2" s="1010"/>
      <c r="E2" s="1010"/>
      <c r="F2" s="1010"/>
      <c r="G2" s="1010"/>
      <c r="H2" s="1010"/>
    </row>
    <row r="3" spans="1:9" x14ac:dyDescent="0.45">
      <c r="B3" s="1010" t="s">
        <v>513</v>
      </c>
      <c r="C3" s="1010"/>
      <c r="D3" s="1010"/>
      <c r="E3" s="1010"/>
      <c r="F3" s="1010"/>
      <c r="G3" s="1010"/>
      <c r="H3" s="1010"/>
      <c r="I3" s="923"/>
    </row>
    <row r="4" spans="1:9" x14ac:dyDescent="0.45">
      <c r="B4" s="1011" t="s">
        <v>523</v>
      </c>
      <c r="C4" s="1011"/>
      <c r="D4" s="1011"/>
      <c r="E4" s="1011"/>
      <c r="F4" s="1011"/>
      <c r="G4" s="1011"/>
      <c r="H4" s="1011"/>
      <c r="I4" s="923"/>
    </row>
    <row r="5" spans="1:9" x14ac:dyDescent="0.45">
      <c r="B5" s="1011" t="s">
        <v>561</v>
      </c>
      <c r="C5" s="1011"/>
      <c r="D5" s="1011"/>
      <c r="E5" s="1011"/>
      <c r="F5" s="1011"/>
      <c r="G5" s="1011"/>
      <c r="H5" s="1011"/>
      <c r="I5" s="923"/>
    </row>
    <row r="6" spans="1:9" x14ac:dyDescent="0.45">
      <c r="B6" s="1012" t="s">
        <v>1</v>
      </c>
      <c r="C6" s="1012"/>
      <c r="D6" s="1012"/>
      <c r="E6" s="1012"/>
      <c r="F6" s="1012"/>
      <c r="G6" s="1012"/>
      <c r="H6" s="1012"/>
      <c r="I6" s="923"/>
    </row>
    <row r="7" spans="1:9" x14ac:dyDescent="0.45">
      <c r="A7" s="923"/>
      <c r="B7" s="923"/>
      <c r="C7" s="923"/>
      <c r="D7" s="923"/>
      <c r="E7" s="923"/>
      <c r="F7" s="923"/>
      <c r="G7" s="923"/>
      <c r="H7" s="923"/>
      <c r="I7" s="923"/>
    </row>
    <row r="8" spans="1:9" x14ac:dyDescent="0.45">
      <c r="A8" s="38" t="s">
        <v>2</v>
      </c>
      <c r="B8" s="55"/>
      <c r="I8" s="38" t="s">
        <v>2</v>
      </c>
    </row>
    <row r="9" spans="1:9" x14ac:dyDescent="0.45">
      <c r="A9" s="924" t="s">
        <v>6</v>
      </c>
      <c r="B9" s="55"/>
      <c r="I9" s="924" t="s">
        <v>6</v>
      </c>
    </row>
    <row r="10" spans="1:9" x14ac:dyDescent="0.45">
      <c r="A10" s="38">
        <v>1</v>
      </c>
      <c r="C10" s="925" t="s">
        <v>525</v>
      </c>
      <c r="D10" s="925" t="s">
        <v>526</v>
      </c>
      <c r="E10" s="925" t="s">
        <v>527</v>
      </c>
      <c r="F10" s="925" t="s">
        <v>528</v>
      </c>
      <c r="G10" s="925" t="s">
        <v>529</v>
      </c>
      <c r="H10" s="925" t="s">
        <v>530</v>
      </c>
      <c r="I10" s="38">
        <v>1</v>
      </c>
    </row>
    <row r="11" spans="1:9" x14ac:dyDescent="0.45">
      <c r="A11" s="38">
        <f t="shared" ref="A11:A66" si="0">A10+1</f>
        <v>2</v>
      </c>
      <c r="B11" s="926" t="s">
        <v>531</v>
      </c>
      <c r="C11" s="38"/>
      <c r="D11" s="71" t="s">
        <v>532</v>
      </c>
      <c r="E11" s="38"/>
      <c r="F11" s="38" t="s">
        <v>419</v>
      </c>
      <c r="G11" s="38" t="s">
        <v>533</v>
      </c>
      <c r="H11" s="71" t="s">
        <v>534</v>
      </c>
      <c r="I11" s="38">
        <f t="shared" ref="I11:I66" si="1">I10+1</f>
        <v>2</v>
      </c>
    </row>
    <row r="12" spans="1:9" x14ac:dyDescent="0.45">
      <c r="A12" s="38">
        <f t="shared" si="0"/>
        <v>3</v>
      </c>
      <c r="B12" s="926"/>
      <c r="C12" s="38"/>
      <c r="D12" s="71"/>
      <c r="E12" s="38"/>
      <c r="F12" s="38"/>
      <c r="G12" s="38"/>
      <c r="H12" s="71"/>
      <c r="I12" s="38">
        <f t="shared" si="1"/>
        <v>3</v>
      </c>
    </row>
    <row r="13" spans="1:9" x14ac:dyDescent="0.45">
      <c r="A13" s="38">
        <f t="shared" si="0"/>
        <v>4</v>
      </c>
      <c r="C13" s="925"/>
      <c r="F13" s="921" t="s">
        <v>535</v>
      </c>
      <c r="H13" s="921" t="s">
        <v>535</v>
      </c>
      <c r="I13" s="38">
        <f t="shared" si="1"/>
        <v>4</v>
      </c>
    </row>
    <row r="14" spans="1:9" x14ac:dyDescent="0.45">
      <c r="A14" s="38">
        <f t="shared" si="0"/>
        <v>5</v>
      </c>
      <c r="C14" s="925"/>
      <c r="D14" s="921" t="s">
        <v>536</v>
      </c>
      <c r="E14" s="921"/>
      <c r="F14" s="921" t="s">
        <v>537</v>
      </c>
      <c r="H14" s="921" t="s">
        <v>537</v>
      </c>
      <c r="I14" s="38">
        <f t="shared" si="1"/>
        <v>5</v>
      </c>
    </row>
    <row r="15" spans="1:9" x14ac:dyDescent="0.45">
      <c r="A15" s="38">
        <f t="shared" si="0"/>
        <v>6</v>
      </c>
      <c r="C15" s="921"/>
      <c r="D15" s="921" t="s">
        <v>537</v>
      </c>
      <c r="E15" s="921" t="s">
        <v>536</v>
      </c>
      <c r="F15" s="921" t="s">
        <v>538</v>
      </c>
      <c r="H15" s="921" t="s">
        <v>538</v>
      </c>
      <c r="I15" s="38">
        <f t="shared" si="1"/>
        <v>6</v>
      </c>
    </row>
    <row r="16" spans="1:9" x14ac:dyDescent="0.45">
      <c r="A16" s="38">
        <f t="shared" si="0"/>
        <v>7</v>
      </c>
      <c r="C16" s="921"/>
      <c r="D16" s="921" t="s">
        <v>538</v>
      </c>
      <c r="E16" s="921" t="s">
        <v>225</v>
      </c>
      <c r="F16" s="921" t="s">
        <v>539</v>
      </c>
      <c r="G16" s="921"/>
      <c r="H16" s="921" t="s">
        <v>539</v>
      </c>
      <c r="I16" s="38">
        <f t="shared" si="1"/>
        <v>7</v>
      </c>
    </row>
    <row r="17" spans="1:12" ht="17.25" x14ac:dyDescent="0.45">
      <c r="A17" s="38">
        <f t="shared" si="0"/>
        <v>8</v>
      </c>
      <c r="B17" s="927" t="s">
        <v>540</v>
      </c>
      <c r="C17" s="927" t="s">
        <v>541</v>
      </c>
      <c r="D17" s="928" t="s">
        <v>539</v>
      </c>
      <c r="E17" s="928" t="s">
        <v>542</v>
      </c>
      <c r="F17" s="928" t="s">
        <v>543</v>
      </c>
      <c r="G17" s="929" t="s">
        <v>225</v>
      </c>
      <c r="H17" s="928" t="s">
        <v>544</v>
      </c>
      <c r="I17" s="38">
        <f t="shared" si="1"/>
        <v>8</v>
      </c>
    </row>
    <row r="18" spans="1:12" x14ac:dyDescent="0.45">
      <c r="A18" s="38">
        <f t="shared" si="0"/>
        <v>9</v>
      </c>
      <c r="B18" s="141" t="s">
        <v>545</v>
      </c>
      <c r="C18" s="930">
        <v>2018</v>
      </c>
      <c r="D18" s="931">
        <f>'Pg2 Appendix X C8 Comparison'!G27/12</f>
        <v>-1.167496887132464</v>
      </c>
      <c r="E18" s="932">
        <v>3.5999999999999999E-3</v>
      </c>
      <c r="F18" s="933">
        <f>D18</f>
        <v>-1.167496887132464</v>
      </c>
      <c r="G18" s="975">
        <f>(D18/2)*E18</f>
        <v>-2.1014943968384351E-3</v>
      </c>
      <c r="H18" s="934">
        <f t="shared" ref="H18:H65" si="2">F18+G18</f>
        <v>-1.1695983815293025</v>
      </c>
      <c r="I18" s="38">
        <f t="shared" si="1"/>
        <v>9</v>
      </c>
      <c r="J18" s="935"/>
    </row>
    <row r="19" spans="1:12" x14ac:dyDescent="0.45">
      <c r="A19" s="38">
        <f t="shared" si="0"/>
        <v>10</v>
      </c>
      <c r="B19" s="141" t="s">
        <v>546</v>
      </c>
      <c r="C19" s="930">
        <f>C18</f>
        <v>2018</v>
      </c>
      <c r="D19" s="936">
        <f>D18</f>
        <v>-1.167496887132464</v>
      </c>
      <c r="E19" s="932">
        <v>3.3E-3</v>
      </c>
      <c r="F19" s="937">
        <f>H18+D19</f>
        <v>-2.3370952686617663</v>
      </c>
      <c r="G19" s="971">
        <f t="shared" ref="G19:G65" si="3">(H18+F19)/2*E19</f>
        <v>-5.7860445228152639E-3</v>
      </c>
      <c r="H19" s="938">
        <f t="shared" si="2"/>
        <v>-2.3428813131845816</v>
      </c>
      <c r="I19" s="38">
        <f t="shared" si="1"/>
        <v>10</v>
      </c>
      <c r="J19" s="939"/>
    </row>
    <row r="20" spans="1:12" x14ac:dyDescent="0.45">
      <c r="A20" s="38">
        <f t="shared" si="0"/>
        <v>11</v>
      </c>
      <c r="B20" s="141" t="s">
        <v>547</v>
      </c>
      <c r="C20" s="930">
        <f>C18</f>
        <v>2018</v>
      </c>
      <c r="D20" s="936">
        <f>D19</f>
        <v>-1.167496887132464</v>
      </c>
      <c r="E20" s="932">
        <v>3.5999999999999999E-3</v>
      </c>
      <c r="F20" s="937">
        <f>H19+D20</f>
        <v>-3.5103782003170458</v>
      </c>
      <c r="G20" s="971">
        <f>(H19+F20)/2*E20</f>
        <v>-1.053586712430293E-2</v>
      </c>
      <c r="H20" s="938">
        <f t="shared" si="2"/>
        <v>-3.5209140674413488</v>
      </c>
      <c r="I20" s="38">
        <f t="shared" si="1"/>
        <v>11</v>
      </c>
      <c r="J20" s="939"/>
    </row>
    <row r="21" spans="1:12" x14ac:dyDescent="0.45">
      <c r="A21" s="38">
        <f t="shared" si="0"/>
        <v>12</v>
      </c>
      <c r="B21" s="141" t="s">
        <v>548</v>
      </c>
      <c r="C21" s="930">
        <f>C18</f>
        <v>2018</v>
      </c>
      <c r="D21" s="936">
        <f t="shared" ref="D21:D29" si="4">D20</f>
        <v>-1.167496887132464</v>
      </c>
      <c r="E21" s="932">
        <v>3.7000000000000002E-3</v>
      </c>
      <c r="F21" s="937">
        <f>H20+D21</f>
        <v>-4.6884109545738131</v>
      </c>
      <c r="G21" s="971">
        <f>(H20+F21)/2*E21</f>
        <v>-1.5187251290728048E-2</v>
      </c>
      <c r="H21" s="938">
        <f t="shared" si="2"/>
        <v>-4.7035982058645409</v>
      </c>
      <c r="I21" s="38">
        <f t="shared" si="1"/>
        <v>12</v>
      </c>
      <c r="J21" s="939"/>
      <c r="L21" s="940"/>
    </row>
    <row r="22" spans="1:12" x14ac:dyDescent="0.45">
      <c r="A22" s="38">
        <f t="shared" si="0"/>
        <v>13</v>
      </c>
      <c r="B22" s="141" t="s">
        <v>549</v>
      </c>
      <c r="C22" s="930">
        <f>C18</f>
        <v>2018</v>
      </c>
      <c r="D22" s="936">
        <f t="shared" si="4"/>
        <v>-1.167496887132464</v>
      </c>
      <c r="E22" s="932">
        <v>3.8E-3</v>
      </c>
      <c r="F22" s="937">
        <f t="shared" ref="F22:F65" si="5">H21+D22</f>
        <v>-5.8710950929970052</v>
      </c>
      <c r="G22" s="971">
        <f t="shared" si="3"/>
        <v>-2.0091917267836937E-2</v>
      </c>
      <c r="H22" s="938">
        <f t="shared" si="2"/>
        <v>-5.8911870102648418</v>
      </c>
      <c r="I22" s="38">
        <f t="shared" si="1"/>
        <v>13</v>
      </c>
      <c r="J22" s="939"/>
    </row>
    <row r="23" spans="1:12" x14ac:dyDescent="0.45">
      <c r="A23" s="38">
        <f t="shared" si="0"/>
        <v>14</v>
      </c>
      <c r="B23" s="141" t="s">
        <v>550</v>
      </c>
      <c r="C23" s="930">
        <f>C18</f>
        <v>2018</v>
      </c>
      <c r="D23" s="936">
        <f t="shared" si="4"/>
        <v>-1.167496887132464</v>
      </c>
      <c r="E23" s="932">
        <v>3.7000000000000002E-3</v>
      </c>
      <c r="F23" s="937">
        <f t="shared" si="5"/>
        <v>-7.0586838973973061</v>
      </c>
      <c r="G23" s="971">
        <f>(H22+F23)/2*E23</f>
        <v>-2.3957261179174977E-2</v>
      </c>
      <c r="H23" s="938">
        <f t="shared" si="2"/>
        <v>-7.0826411585764815</v>
      </c>
      <c r="I23" s="38">
        <f t="shared" si="1"/>
        <v>14</v>
      </c>
      <c r="J23" s="939"/>
    </row>
    <row r="24" spans="1:12" x14ac:dyDescent="0.45">
      <c r="A24" s="38">
        <f t="shared" si="0"/>
        <v>15</v>
      </c>
      <c r="B24" s="141" t="s">
        <v>551</v>
      </c>
      <c r="C24" s="930">
        <f>C18</f>
        <v>2018</v>
      </c>
      <c r="D24" s="936">
        <f t="shared" si="4"/>
        <v>-1.167496887132464</v>
      </c>
      <c r="E24" s="932">
        <v>4.0000000000000001E-3</v>
      </c>
      <c r="F24" s="937">
        <f t="shared" si="5"/>
        <v>-8.2501380457089457</v>
      </c>
      <c r="G24" s="971">
        <f t="shared" si="3"/>
        <v>-3.0665558408570853E-2</v>
      </c>
      <c r="H24" s="938">
        <f t="shared" si="2"/>
        <v>-8.2808036041175157</v>
      </c>
      <c r="I24" s="38">
        <f t="shared" si="1"/>
        <v>15</v>
      </c>
      <c r="J24" s="939"/>
    </row>
    <row r="25" spans="1:12" x14ac:dyDescent="0.45">
      <c r="A25" s="38">
        <f t="shared" si="0"/>
        <v>16</v>
      </c>
      <c r="B25" s="141" t="s">
        <v>552</v>
      </c>
      <c r="C25" s="930">
        <f>C18</f>
        <v>2018</v>
      </c>
      <c r="D25" s="936">
        <f t="shared" si="4"/>
        <v>-1.167496887132464</v>
      </c>
      <c r="E25" s="932">
        <v>4.0000000000000001E-3</v>
      </c>
      <c r="F25" s="937">
        <f t="shared" si="5"/>
        <v>-9.4483004912499791</v>
      </c>
      <c r="G25" s="971">
        <f t="shared" si="3"/>
        <v>-3.5458208190734995E-2</v>
      </c>
      <c r="H25" s="938">
        <f t="shared" si="2"/>
        <v>-9.4837586994407133</v>
      </c>
      <c r="I25" s="38">
        <f t="shared" si="1"/>
        <v>16</v>
      </c>
      <c r="J25" s="939"/>
    </row>
    <row r="26" spans="1:12" x14ac:dyDescent="0.45">
      <c r="A26" s="38">
        <f t="shared" si="0"/>
        <v>17</v>
      </c>
      <c r="B26" s="141" t="s">
        <v>553</v>
      </c>
      <c r="C26" s="930">
        <f>C18</f>
        <v>2018</v>
      </c>
      <c r="D26" s="936">
        <f t="shared" si="4"/>
        <v>-1.167496887132464</v>
      </c>
      <c r="E26" s="932">
        <v>3.8999999999999998E-3</v>
      </c>
      <c r="F26" s="937">
        <f t="shared" si="5"/>
        <v>-10.651255586573177</v>
      </c>
      <c r="G26" s="971">
        <f t="shared" si="3"/>
        <v>-3.926327785772709E-2</v>
      </c>
      <c r="H26" s="938">
        <f t="shared" si="2"/>
        <v>-10.690518864430903</v>
      </c>
      <c r="I26" s="38">
        <f t="shared" si="1"/>
        <v>17</v>
      </c>
      <c r="J26" s="939"/>
    </row>
    <row r="27" spans="1:12" x14ac:dyDescent="0.45">
      <c r="A27" s="38">
        <f t="shared" si="0"/>
        <v>18</v>
      </c>
      <c r="B27" s="141" t="s">
        <v>554</v>
      </c>
      <c r="C27" s="930">
        <f>C18</f>
        <v>2018</v>
      </c>
      <c r="D27" s="936">
        <f t="shared" si="4"/>
        <v>-1.167496887132464</v>
      </c>
      <c r="E27" s="932">
        <v>4.1999999999999997E-3</v>
      </c>
      <c r="F27" s="937">
        <f t="shared" si="5"/>
        <v>-11.858015751563366</v>
      </c>
      <c r="G27" s="971">
        <f t="shared" si="3"/>
        <v>-4.7351922693587963E-2</v>
      </c>
      <c r="H27" s="938">
        <f t="shared" si="2"/>
        <v>-11.905367674256954</v>
      </c>
      <c r="I27" s="38">
        <f t="shared" si="1"/>
        <v>18</v>
      </c>
      <c r="J27" s="939"/>
    </row>
    <row r="28" spans="1:12" x14ac:dyDescent="0.45">
      <c r="A28" s="38">
        <f t="shared" si="0"/>
        <v>19</v>
      </c>
      <c r="B28" s="141" t="s">
        <v>555</v>
      </c>
      <c r="C28" s="930">
        <f>C18</f>
        <v>2018</v>
      </c>
      <c r="D28" s="936">
        <f t="shared" si="4"/>
        <v>-1.167496887132464</v>
      </c>
      <c r="E28" s="932">
        <v>4.1000000000000003E-3</v>
      </c>
      <c r="F28" s="937">
        <f t="shared" si="5"/>
        <v>-13.072864561389418</v>
      </c>
      <c r="G28" s="972">
        <f t="shared" si="3"/>
        <v>-5.1205376083075071E-2</v>
      </c>
      <c r="H28" s="941">
        <f t="shared" si="2"/>
        <v>-13.124069937472493</v>
      </c>
      <c r="I28" s="38">
        <f t="shared" si="1"/>
        <v>19</v>
      </c>
      <c r="J28" s="939"/>
    </row>
    <row r="29" spans="1:12" x14ac:dyDescent="0.45">
      <c r="A29" s="38">
        <f t="shared" si="0"/>
        <v>20</v>
      </c>
      <c r="B29" s="942" t="s">
        <v>556</v>
      </c>
      <c r="C29" s="943">
        <f>C18</f>
        <v>2018</v>
      </c>
      <c r="D29" s="944">
        <f t="shared" si="4"/>
        <v>-1.167496887132464</v>
      </c>
      <c r="E29" s="945">
        <v>4.1999999999999997E-3</v>
      </c>
      <c r="F29" s="946">
        <f t="shared" si="5"/>
        <v>-14.291566824604956</v>
      </c>
      <c r="G29" s="973">
        <f t="shared" si="3"/>
        <v>-5.7572837200362638E-2</v>
      </c>
      <c r="H29" s="947">
        <f t="shared" si="2"/>
        <v>-14.349139661805319</v>
      </c>
      <c r="I29" s="38">
        <f t="shared" si="1"/>
        <v>20</v>
      </c>
      <c r="J29" s="939"/>
    </row>
    <row r="30" spans="1:12" x14ac:dyDescent="0.45">
      <c r="A30" s="38">
        <f t="shared" si="0"/>
        <v>21</v>
      </c>
      <c r="B30" s="141" t="s">
        <v>545</v>
      </c>
      <c r="C30" s="930">
        <f>C29+1</f>
        <v>2019</v>
      </c>
      <c r="D30" s="948"/>
      <c r="E30" s="932">
        <v>4.4000000000000003E-3</v>
      </c>
      <c r="F30" s="949">
        <f t="shared" si="5"/>
        <v>-14.349139661805319</v>
      </c>
      <c r="G30" s="974">
        <f t="shared" si="3"/>
        <v>-6.3136214511943414E-2</v>
      </c>
      <c r="H30" s="223">
        <f t="shared" si="2"/>
        <v>-14.412275876317263</v>
      </c>
      <c r="I30" s="38">
        <f t="shared" si="1"/>
        <v>21</v>
      </c>
      <c r="J30" s="939"/>
    </row>
    <row r="31" spans="1:12" x14ac:dyDescent="0.45">
      <c r="A31" s="38">
        <f t="shared" si="0"/>
        <v>22</v>
      </c>
      <c r="B31" s="141" t="s">
        <v>546</v>
      </c>
      <c r="C31" s="930">
        <f>C30</f>
        <v>2019</v>
      </c>
      <c r="D31" s="948"/>
      <c r="E31" s="932">
        <v>4.0000000000000001E-3</v>
      </c>
      <c r="F31" s="949">
        <f t="shared" si="5"/>
        <v>-14.412275876317263</v>
      </c>
      <c r="G31" s="974">
        <f t="shared" si="3"/>
        <v>-5.7649103505269056E-2</v>
      </c>
      <c r="H31" s="223">
        <f t="shared" si="2"/>
        <v>-14.469924979822533</v>
      </c>
      <c r="I31" s="38">
        <f t="shared" si="1"/>
        <v>22</v>
      </c>
      <c r="J31" s="939"/>
    </row>
    <row r="32" spans="1:12" x14ac:dyDescent="0.45">
      <c r="A32" s="38">
        <f t="shared" si="0"/>
        <v>23</v>
      </c>
      <c r="B32" s="141" t="s">
        <v>547</v>
      </c>
      <c r="C32" s="930">
        <f t="shared" ref="C32:C40" si="6">C31</f>
        <v>2019</v>
      </c>
      <c r="D32" s="948"/>
      <c r="E32" s="932">
        <v>4.4000000000000003E-3</v>
      </c>
      <c r="F32" s="949">
        <f t="shared" si="5"/>
        <v>-14.469924979822533</v>
      </c>
      <c r="G32" s="974">
        <f t="shared" si="3"/>
        <v>-6.3667669911219152E-2</v>
      </c>
      <c r="H32" s="223">
        <f t="shared" si="2"/>
        <v>-14.533592649733752</v>
      </c>
      <c r="I32" s="38">
        <f t="shared" si="1"/>
        <v>23</v>
      </c>
      <c r="J32" s="939"/>
    </row>
    <row r="33" spans="1:10" x14ac:dyDescent="0.45">
      <c r="A33" s="38">
        <f t="shared" si="0"/>
        <v>24</v>
      </c>
      <c r="B33" s="141" t="s">
        <v>548</v>
      </c>
      <c r="C33" s="930">
        <f t="shared" si="6"/>
        <v>2019</v>
      </c>
      <c r="D33" s="948"/>
      <c r="E33" s="932">
        <v>4.4999999999999997E-3</v>
      </c>
      <c r="F33" s="949">
        <f t="shared" si="5"/>
        <v>-14.533592649733752</v>
      </c>
      <c r="G33" s="974">
        <f t="shared" si="3"/>
        <v>-6.5401166923801879E-2</v>
      </c>
      <c r="H33" s="223">
        <f t="shared" si="2"/>
        <v>-14.598993816657554</v>
      </c>
      <c r="I33" s="38">
        <f t="shared" si="1"/>
        <v>24</v>
      </c>
      <c r="J33" s="939"/>
    </row>
    <row r="34" spans="1:10" x14ac:dyDescent="0.45">
      <c r="A34" s="38">
        <f t="shared" si="0"/>
        <v>25</v>
      </c>
      <c r="B34" s="141" t="s">
        <v>549</v>
      </c>
      <c r="C34" s="930">
        <f t="shared" si="6"/>
        <v>2019</v>
      </c>
      <c r="D34" s="948"/>
      <c r="E34" s="932">
        <v>4.5999999999999999E-3</v>
      </c>
      <c r="F34" s="949">
        <f t="shared" si="5"/>
        <v>-14.598993816657554</v>
      </c>
      <c r="G34" s="974">
        <f t="shared" si="3"/>
        <v>-6.7155371556624752E-2</v>
      </c>
      <c r="H34" s="223">
        <f t="shared" si="2"/>
        <v>-14.666149188214179</v>
      </c>
      <c r="I34" s="38">
        <f t="shared" si="1"/>
        <v>25</v>
      </c>
      <c r="J34" s="939"/>
    </row>
    <row r="35" spans="1:10" x14ac:dyDescent="0.45">
      <c r="A35" s="38">
        <f t="shared" si="0"/>
        <v>26</v>
      </c>
      <c r="B35" s="141" t="s">
        <v>550</v>
      </c>
      <c r="C35" s="930">
        <f t="shared" si="6"/>
        <v>2019</v>
      </c>
      <c r="D35" s="948"/>
      <c r="E35" s="932">
        <v>4.4999999999999997E-3</v>
      </c>
      <c r="F35" s="949">
        <f t="shared" si="5"/>
        <v>-14.666149188214179</v>
      </c>
      <c r="G35" s="974">
        <f t="shared" si="3"/>
        <v>-6.5997671346963799E-2</v>
      </c>
      <c r="H35" s="223">
        <f t="shared" si="2"/>
        <v>-14.732146859561142</v>
      </c>
      <c r="I35" s="38">
        <f t="shared" si="1"/>
        <v>26</v>
      </c>
      <c r="J35" s="939"/>
    </row>
    <row r="36" spans="1:10" x14ac:dyDescent="0.45">
      <c r="A36" s="38">
        <f t="shared" si="0"/>
        <v>27</v>
      </c>
      <c r="B36" s="141" t="s">
        <v>551</v>
      </c>
      <c r="C36" s="930">
        <f t="shared" si="6"/>
        <v>2019</v>
      </c>
      <c r="D36" s="948"/>
      <c r="E36" s="932">
        <v>4.7000000000000002E-3</v>
      </c>
      <c r="F36" s="949">
        <f t="shared" si="5"/>
        <v>-14.732146859561142</v>
      </c>
      <c r="G36" s="974">
        <f t="shared" si="3"/>
        <v>-6.9241090239937367E-2</v>
      </c>
      <c r="H36" s="223">
        <f t="shared" si="2"/>
        <v>-14.801387949801081</v>
      </c>
      <c r="I36" s="38">
        <f t="shared" si="1"/>
        <v>27</v>
      </c>
      <c r="J36" s="939"/>
    </row>
    <row r="37" spans="1:10" x14ac:dyDescent="0.45">
      <c r="A37" s="38">
        <f t="shared" si="0"/>
        <v>28</v>
      </c>
      <c r="B37" s="141" t="s">
        <v>552</v>
      </c>
      <c r="C37" s="930">
        <f t="shared" si="6"/>
        <v>2019</v>
      </c>
      <c r="D37" s="948"/>
      <c r="E37" s="932">
        <v>4.7000000000000002E-3</v>
      </c>
      <c r="F37" s="949">
        <f t="shared" si="5"/>
        <v>-14.801387949801081</v>
      </c>
      <c r="G37" s="974">
        <f t="shared" si="3"/>
        <v>-6.9566523364065075E-2</v>
      </c>
      <c r="H37" s="223">
        <f t="shared" si="2"/>
        <v>-14.870954473165146</v>
      </c>
      <c r="I37" s="38">
        <f t="shared" si="1"/>
        <v>28</v>
      </c>
      <c r="J37" s="939"/>
    </row>
    <row r="38" spans="1:10" x14ac:dyDescent="0.45">
      <c r="A38" s="38">
        <f t="shared" si="0"/>
        <v>29</v>
      </c>
      <c r="B38" s="141" t="s">
        <v>553</v>
      </c>
      <c r="C38" s="930">
        <f t="shared" si="6"/>
        <v>2019</v>
      </c>
      <c r="D38" s="948"/>
      <c r="E38" s="932">
        <v>4.4999999999999997E-3</v>
      </c>
      <c r="F38" s="949">
        <f t="shared" si="5"/>
        <v>-14.870954473165146</v>
      </c>
      <c r="G38" s="974">
        <f t="shared" si="3"/>
        <v>-6.6919295129243148E-2</v>
      </c>
      <c r="H38" s="223">
        <f t="shared" si="2"/>
        <v>-14.937873768294388</v>
      </c>
      <c r="I38" s="38">
        <f t="shared" si="1"/>
        <v>29</v>
      </c>
      <c r="J38" s="939"/>
    </row>
    <row r="39" spans="1:10" x14ac:dyDescent="0.45">
      <c r="A39" s="38">
        <f t="shared" si="0"/>
        <v>30</v>
      </c>
      <c r="B39" s="141" t="s">
        <v>554</v>
      </c>
      <c r="C39" s="930">
        <f t="shared" si="6"/>
        <v>2019</v>
      </c>
      <c r="D39" s="948"/>
      <c r="E39" s="932">
        <v>4.5999999999999999E-3</v>
      </c>
      <c r="F39" s="949">
        <f t="shared" si="5"/>
        <v>-14.937873768294388</v>
      </c>
      <c r="G39" s="974">
        <f t="shared" si="3"/>
        <v>-6.8714219334154183E-2</v>
      </c>
      <c r="H39" s="223">
        <f t="shared" si="2"/>
        <v>-15.006587987628542</v>
      </c>
      <c r="I39" s="38">
        <f t="shared" si="1"/>
        <v>30</v>
      </c>
      <c r="J39" s="939"/>
    </row>
    <row r="40" spans="1:10" x14ac:dyDescent="0.45">
      <c r="A40" s="38">
        <f t="shared" si="0"/>
        <v>31</v>
      </c>
      <c r="B40" s="141" t="s">
        <v>555</v>
      </c>
      <c r="C40" s="930">
        <f t="shared" si="6"/>
        <v>2019</v>
      </c>
      <c r="D40" s="948"/>
      <c r="E40" s="932">
        <v>4.4999999999999997E-3</v>
      </c>
      <c r="F40" s="949">
        <f t="shared" si="5"/>
        <v>-15.006587987628542</v>
      </c>
      <c r="G40" s="974">
        <f t="shared" si="3"/>
        <v>-6.7529645944328434E-2</v>
      </c>
      <c r="H40" s="223">
        <f t="shared" si="2"/>
        <v>-15.07411763357287</v>
      </c>
      <c r="I40" s="38">
        <f t="shared" si="1"/>
        <v>31</v>
      </c>
      <c r="J40" s="939"/>
    </row>
    <row r="41" spans="1:10" x14ac:dyDescent="0.45">
      <c r="A41" s="38">
        <f t="shared" si="0"/>
        <v>32</v>
      </c>
      <c r="B41" s="942" t="s">
        <v>556</v>
      </c>
      <c r="C41" s="943">
        <f>C40</f>
        <v>2019</v>
      </c>
      <c r="D41" s="950"/>
      <c r="E41" s="945">
        <v>4.5999999999999999E-3</v>
      </c>
      <c r="F41" s="946">
        <f t="shared" si="5"/>
        <v>-15.07411763357287</v>
      </c>
      <c r="G41" s="973">
        <f t="shared" si="3"/>
        <v>-6.9340941114435201E-2</v>
      </c>
      <c r="H41" s="947">
        <f t="shared" si="2"/>
        <v>-15.143458574687305</v>
      </c>
      <c r="I41" s="38">
        <f t="shared" si="1"/>
        <v>32</v>
      </c>
      <c r="J41" s="939"/>
    </row>
    <row r="42" spans="1:10" x14ac:dyDescent="0.45">
      <c r="A42" s="38">
        <f t="shared" si="0"/>
        <v>33</v>
      </c>
      <c r="B42" s="141" t="s">
        <v>545</v>
      </c>
      <c r="C42" s="930">
        <f>C41+1</f>
        <v>2020</v>
      </c>
      <c r="D42" s="948"/>
      <c r="E42" s="932">
        <v>4.1999999999999997E-3</v>
      </c>
      <c r="F42" s="949">
        <f t="shared" si="5"/>
        <v>-15.143458574687305</v>
      </c>
      <c r="G42" s="974">
        <f t="shared" si="3"/>
        <v>-6.3602526013686669E-2</v>
      </c>
      <c r="H42" s="223">
        <f t="shared" si="2"/>
        <v>-15.207061100700992</v>
      </c>
      <c r="I42" s="38">
        <f t="shared" si="1"/>
        <v>33</v>
      </c>
      <c r="J42" s="939"/>
    </row>
    <row r="43" spans="1:10" x14ac:dyDescent="0.45">
      <c r="A43" s="38">
        <f t="shared" si="0"/>
        <v>34</v>
      </c>
      <c r="B43" s="141" t="s">
        <v>546</v>
      </c>
      <c r="C43" s="930">
        <f>C42</f>
        <v>2020</v>
      </c>
      <c r="D43" s="948"/>
      <c r="E43" s="932">
        <v>3.8999999999999998E-3</v>
      </c>
      <c r="F43" s="949">
        <f t="shared" si="5"/>
        <v>-15.207061100700992</v>
      </c>
      <c r="G43" s="974">
        <f t="shared" si="3"/>
        <v>-5.9307538292733865E-2</v>
      </c>
      <c r="H43" s="223">
        <f t="shared" si="2"/>
        <v>-15.266368638993725</v>
      </c>
      <c r="I43" s="38">
        <f t="shared" si="1"/>
        <v>34</v>
      </c>
      <c r="J43" s="939"/>
    </row>
    <row r="44" spans="1:10" x14ac:dyDescent="0.45">
      <c r="A44" s="38">
        <f t="shared" si="0"/>
        <v>35</v>
      </c>
      <c r="B44" s="141" t="s">
        <v>547</v>
      </c>
      <c r="C44" s="930">
        <f t="shared" ref="C44:C52" si="7">C43</f>
        <v>2020</v>
      </c>
      <c r="D44" s="948"/>
      <c r="E44" s="932">
        <v>4.1999999999999997E-3</v>
      </c>
      <c r="F44" s="949">
        <f t="shared" si="5"/>
        <v>-15.266368638993725</v>
      </c>
      <c r="G44" s="974">
        <f t="shared" si="3"/>
        <v>-6.4118748283773647E-2</v>
      </c>
      <c r="H44" s="223">
        <f t="shared" si="2"/>
        <v>-15.330487387277499</v>
      </c>
      <c r="I44" s="38">
        <f t="shared" si="1"/>
        <v>35</v>
      </c>
      <c r="J44" s="939"/>
    </row>
    <row r="45" spans="1:10" x14ac:dyDescent="0.45">
      <c r="A45" s="38">
        <f t="shared" si="0"/>
        <v>36</v>
      </c>
      <c r="B45" s="141" t="s">
        <v>548</v>
      </c>
      <c r="C45" s="930">
        <f t="shared" si="7"/>
        <v>2020</v>
      </c>
      <c r="D45" s="948"/>
      <c r="E45" s="932">
        <v>3.8999999999999998E-3</v>
      </c>
      <c r="F45" s="949">
        <f t="shared" si="5"/>
        <v>-15.330487387277499</v>
      </c>
      <c r="G45" s="974">
        <f t="shared" si="3"/>
        <v>-5.9788900810382239E-2</v>
      </c>
      <c r="H45" s="223">
        <f t="shared" si="2"/>
        <v>-15.390276288087881</v>
      </c>
      <c r="I45" s="38">
        <f t="shared" si="1"/>
        <v>36</v>
      </c>
      <c r="J45" s="939"/>
    </row>
    <row r="46" spans="1:10" x14ac:dyDescent="0.45">
      <c r="A46" s="38">
        <f t="shared" si="0"/>
        <v>37</v>
      </c>
      <c r="B46" s="141" t="s">
        <v>549</v>
      </c>
      <c r="C46" s="930">
        <f t="shared" si="7"/>
        <v>2020</v>
      </c>
      <c r="D46" s="948"/>
      <c r="E46" s="932">
        <v>4.0000000000000001E-3</v>
      </c>
      <c r="F46" s="949">
        <f t="shared" si="5"/>
        <v>-15.390276288087881</v>
      </c>
      <c r="G46" s="974">
        <f t="shared" si="3"/>
        <v>-6.1561105152351525E-2</v>
      </c>
      <c r="H46" s="223">
        <f t="shared" si="2"/>
        <v>-15.451837393240233</v>
      </c>
      <c r="I46" s="38">
        <f t="shared" si="1"/>
        <v>37</v>
      </c>
      <c r="J46" s="939"/>
    </row>
    <row r="47" spans="1:10" x14ac:dyDescent="0.45">
      <c r="A47" s="38">
        <f t="shared" si="0"/>
        <v>38</v>
      </c>
      <c r="B47" s="141" t="s">
        <v>550</v>
      </c>
      <c r="C47" s="930">
        <f t="shared" si="7"/>
        <v>2020</v>
      </c>
      <c r="D47" s="948"/>
      <c r="E47" s="932">
        <v>3.8999999999999998E-3</v>
      </c>
      <c r="F47" s="949">
        <f t="shared" si="5"/>
        <v>-15.451837393240233</v>
      </c>
      <c r="G47" s="974">
        <f t="shared" si="3"/>
        <v>-6.0262165833636902E-2</v>
      </c>
      <c r="H47" s="223">
        <f t="shared" si="2"/>
        <v>-15.512099559073869</v>
      </c>
      <c r="I47" s="38">
        <f t="shared" si="1"/>
        <v>38</v>
      </c>
      <c r="J47" s="939"/>
    </row>
    <row r="48" spans="1:10" x14ac:dyDescent="0.45">
      <c r="A48" s="38">
        <f t="shared" si="0"/>
        <v>39</v>
      </c>
      <c r="B48" s="141" t="s">
        <v>551</v>
      </c>
      <c r="C48" s="930">
        <f t="shared" si="7"/>
        <v>2020</v>
      </c>
      <c r="D48" s="948"/>
      <c r="E48" s="932">
        <v>2.8999999999999998E-3</v>
      </c>
      <c r="F48" s="949">
        <f t="shared" si="5"/>
        <v>-15.512099559073869</v>
      </c>
      <c r="G48" s="974">
        <f t="shared" si="3"/>
        <v>-4.4985088721314216E-2</v>
      </c>
      <c r="H48" s="223">
        <f t="shared" si="2"/>
        <v>-15.557084647795183</v>
      </c>
      <c r="I48" s="38">
        <f t="shared" si="1"/>
        <v>39</v>
      </c>
      <c r="J48" s="939"/>
    </row>
    <row r="49" spans="1:10" x14ac:dyDescent="0.45">
      <c r="A49" s="38">
        <f t="shared" si="0"/>
        <v>40</v>
      </c>
      <c r="B49" s="141" t="s">
        <v>552</v>
      </c>
      <c r="C49" s="930">
        <f t="shared" si="7"/>
        <v>2020</v>
      </c>
      <c r="D49" s="948"/>
      <c r="E49" s="932">
        <v>2.8999999999999998E-3</v>
      </c>
      <c r="F49" s="949">
        <f t="shared" si="5"/>
        <v>-15.557084647795183</v>
      </c>
      <c r="G49" s="974">
        <f t="shared" si="3"/>
        <v>-4.5115545478606023E-2</v>
      </c>
      <c r="H49" s="223">
        <f t="shared" si="2"/>
        <v>-15.602200193273788</v>
      </c>
      <c r="I49" s="38">
        <f t="shared" si="1"/>
        <v>40</v>
      </c>
      <c r="J49" s="939"/>
    </row>
    <row r="50" spans="1:10" x14ac:dyDescent="0.45">
      <c r="A50" s="38">
        <f t="shared" si="0"/>
        <v>41</v>
      </c>
      <c r="B50" s="141" t="s">
        <v>553</v>
      </c>
      <c r="C50" s="930">
        <f t="shared" si="7"/>
        <v>2020</v>
      </c>
      <c r="D50" s="948"/>
      <c r="E50" s="932">
        <v>2.8E-3</v>
      </c>
      <c r="F50" s="949">
        <f t="shared" si="5"/>
        <v>-15.602200193273788</v>
      </c>
      <c r="G50" s="974">
        <f t="shared" si="3"/>
        <v>-4.3686160541166606E-2</v>
      </c>
      <c r="H50" s="223">
        <f t="shared" si="2"/>
        <v>-15.645886353814955</v>
      </c>
      <c r="I50" s="38">
        <f t="shared" si="1"/>
        <v>41</v>
      </c>
      <c r="J50" s="939"/>
    </row>
    <row r="51" spans="1:10" x14ac:dyDescent="0.45">
      <c r="A51" s="38">
        <f t="shared" si="0"/>
        <v>42</v>
      </c>
      <c r="B51" s="141" t="s">
        <v>554</v>
      </c>
      <c r="C51" s="930">
        <f t="shared" si="7"/>
        <v>2020</v>
      </c>
      <c r="D51" s="948"/>
      <c r="E51" s="932">
        <v>2.8E-3</v>
      </c>
      <c r="F51" s="949">
        <f t="shared" si="5"/>
        <v>-15.645886353814955</v>
      </c>
      <c r="G51" s="974">
        <f t="shared" si="3"/>
        <v>-4.380848179068187E-2</v>
      </c>
      <c r="H51" s="223">
        <f t="shared" si="2"/>
        <v>-15.689694835605637</v>
      </c>
      <c r="I51" s="38">
        <f t="shared" si="1"/>
        <v>42</v>
      </c>
      <c r="J51" s="939"/>
    </row>
    <row r="52" spans="1:10" x14ac:dyDescent="0.45">
      <c r="A52" s="38">
        <f t="shared" si="0"/>
        <v>43</v>
      </c>
      <c r="B52" s="141" t="s">
        <v>555</v>
      </c>
      <c r="C52" s="930">
        <f t="shared" si="7"/>
        <v>2020</v>
      </c>
      <c r="D52" s="948"/>
      <c r="E52" s="932">
        <v>2.7000000000000001E-3</v>
      </c>
      <c r="F52" s="949">
        <f t="shared" si="5"/>
        <v>-15.689694835605637</v>
      </c>
      <c r="G52" s="974">
        <f t="shared" si="3"/>
        <v>-4.2362176056135223E-2</v>
      </c>
      <c r="H52" s="223">
        <f t="shared" si="2"/>
        <v>-15.732057011661773</v>
      </c>
      <c r="I52" s="38">
        <f t="shared" si="1"/>
        <v>43</v>
      </c>
      <c r="J52" s="939"/>
    </row>
    <row r="53" spans="1:10" x14ac:dyDescent="0.45">
      <c r="A53" s="38">
        <f t="shared" si="0"/>
        <v>44</v>
      </c>
      <c r="B53" s="942" t="s">
        <v>556</v>
      </c>
      <c r="C53" s="943">
        <f>C52</f>
        <v>2020</v>
      </c>
      <c r="D53" s="950"/>
      <c r="E53" s="945">
        <v>2.8E-3</v>
      </c>
      <c r="F53" s="946">
        <f t="shared" si="5"/>
        <v>-15.732057011661773</v>
      </c>
      <c r="G53" s="973">
        <f t="shared" si="3"/>
        <v>-4.4049759632652966E-2</v>
      </c>
      <c r="H53" s="947">
        <f t="shared" si="2"/>
        <v>-15.776106771294426</v>
      </c>
      <c r="I53" s="38">
        <f t="shared" si="1"/>
        <v>44</v>
      </c>
      <c r="J53" s="939"/>
    </row>
    <row r="54" spans="1:10" x14ac:dyDescent="0.45">
      <c r="A54" s="38">
        <f t="shared" si="0"/>
        <v>45</v>
      </c>
      <c r="B54" s="141" t="s">
        <v>545</v>
      </c>
      <c r="C54" s="930">
        <f>C53+1</f>
        <v>2021</v>
      </c>
      <c r="D54" s="948"/>
      <c r="E54" s="932">
        <v>2.8E-3</v>
      </c>
      <c r="F54" s="949">
        <f t="shared" si="5"/>
        <v>-15.776106771294426</v>
      </c>
      <c r="G54" s="974">
        <f t="shared" si="3"/>
        <v>-4.4173098959624395E-2</v>
      </c>
      <c r="H54" s="223">
        <f t="shared" si="2"/>
        <v>-15.820279870254051</v>
      </c>
      <c r="I54" s="38">
        <f t="shared" si="1"/>
        <v>45</v>
      </c>
      <c r="J54" s="939"/>
    </row>
    <row r="55" spans="1:10" x14ac:dyDescent="0.45">
      <c r="A55" s="38">
        <f t="shared" si="0"/>
        <v>46</v>
      </c>
      <c r="B55" s="141" t="s">
        <v>546</v>
      </c>
      <c r="C55" s="930">
        <f>C54</f>
        <v>2021</v>
      </c>
      <c r="D55" s="948"/>
      <c r="E55" s="932">
        <v>2.5000000000000001E-3</v>
      </c>
      <c r="F55" s="949">
        <f t="shared" si="5"/>
        <v>-15.820279870254051</v>
      </c>
      <c r="G55" s="974">
        <f t="shared" si="3"/>
        <v>-3.9550699675635126E-2</v>
      </c>
      <c r="H55" s="223">
        <f t="shared" si="2"/>
        <v>-15.859830569929686</v>
      </c>
      <c r="I55" s="38">
        <f t="shared" si="1"/>
        <v>46</v>
      </c>
      <c r="J55" s="939"/>
    </row>
    <row r="56" spans="1:10" x14ac:dyDescent="0.45">
      <c r="A56" s="38">
        <f t="shared" si="0"/>
        <v>47</v>
      </c>
      <c r="B56" s="141" t="s">
        <v>547</v>
      </c>
      <c r="C56" s="930">
        <f t="shared" ref="C56:C64" si="8">C55</f>
        <v>2021</v>
      </c>
      <c r="D56" s="948"/>
      <c r="E56" s="932">
        <v>2.8E-3</v>
      </c>
      <c r="F56" s="949">
        <f t="shared" si="5"/>
        <v>-15.859830569929686</v>
      </c>
      <c r="G56" s="974">
        <f t="shared" si="3"/>
        <v>-4.4407525595803118E-2</v>
      </c>
      <c r="H56" s="223">
        <f t="shared" si="2"/>
        <v>-15.904238095525489</v>
      </c>
      <c r="I56" s="38">
        <f t="shared" si="1"/>
        <v>47</v>
      </c>
      <c r="J56" s="939"/>
    </row>
    <row r="57" spans="1:10" x14ac:dyDescent="0.45">
      <c r="A57" s="38">
        <f t="shared" si="0"/>
        <v>48</v>
      </c>
      <c r="B57" s="141" t="s">
        <v>548</v>
      </c>
      <c r="C57" s="930">
        <f t="shared" si="8"/>
        <v>2021</v>
      </c>
      <c r="D57" s="948"/>
      <c r="E57" s="932">
        <v>2.7000000000000001E-3</v>
      </c>
      <c r="F57" s="949">
        <f t="shared" si="5"/>
        <v>-15.904238095525489</v>
      </c>
      <c r="G57" s="974">
        <f t="shared" si="3"/>
        <v>-4.2941442857918823E-2</v>
      </c>
      <c r="H57" s="223">
        <f t="shared" si="2"/>
        <v>-15.947179538383407</v>
      </c>
      <c r="I57" s="38">
        <f t="shared" si="1"/>
        <v>48</v>
      </c>
      <c r="J57" s="939"/>
    </row>
    <row r="58" spans="1:10" x14ac:dyDescent="0.45">
      <c r="A58" s="38">
        <f t="shared" si="0"/>
        <v>49</v>
      </c>
      <c r="B58" s="141" t="s">
        <v>549</v>
      </c>
      <c r="C58" s="930">
        <f t="shared" si="8"/>
        <v>2021</v>
      </c>
      <c r="D58" s="948"/>
      <c r="E58" s="932">
        <v>2.8E-3</v>
      </c>
      <c r="F58" s="949">
        <f t="shared" si="5"/>
        <v>-15.947179538383407</v>
      </c>
      <c r="G58" s="974">
        <f t="shared" si="3"/>
        <v>-4.4652102707473537E-2</v>
      </c>
      <c r="H58" s="223">
        <f t="shared" si="2"/>
        <v>-15.991831641090881</v>
      </c>
      <c r="I58" s="38">
        <f t="shared" si="1"/>
        <v>49</v>
      </c>
      <c r="J58" s="939"/>
    </row>
    <row r="59" spans="1:10" x14ac:dyDescent="0.45">
      <c r="A59" s="38">
        <f t="shared" si="0"/>
        <v>50</v>
      </c>
      <c r="B59" s="141" t="s">
        <v>550</v>
      </c>
      <c r="C59" s="930">
        <f t="shared" si="8"/>
        <v>2021</v>
      </c>
      <c r="D59" s="948"/>
      <c r="E59" s="932">
        <v>2.7000000000000001E-3</v>
      </c>
      <c r="F59" s="949">
        <f t="shared" si="5"/>
        <v>-15.991831641090881</v>
      </c>
      <c r="G59" s="974">
        <f t="shared" si="3"/>
        <v>-4.3177945430945379E-2</v>
      </c>
      <c r="H59" s="223">
        <f t="shared" si="2"/>
        <v>-16.035009586521827</v>
      </c>
      <c r="I59" s="38">
        <f t="shared" si="1"/>
        <v>50</v>
      </c>
      <c r="J59" s="939"/>
    </row>
    <row r="60" spans="1:10" x14ac:dyDescent="0.45">
      <c r="A60" s="38">
        <f t="shared" si="0"/>
        <v>51</v>
      </c>
      <c r="B60" s="141" t="s">
        <v>551</v>
      </c>
      <c r="C60" s="930">
        <f t="shared" si="8"/>
        <v>2021</v>
      </c>
      <c r="D60" s="948"/>
      <c r="E60" s="970">
        <v>2.8E-3</v>
      </c>
      <c r="F60" s="949">
        <f t="shared" si="5"/>
        <v>-16.035009586521827</v>
      </c>
      <c r="G60" s="974">
        <f t="shared" si="3"/>
        <v>-4.4898026842261116E-2</v>
      </c>
      <c r="H60" s="223">
        <f t="shared" si="2"/>
        <v>-16.079907613364089</v>
      </c>
      <c r="I60" s="38">
        <f t="shared" si="1"/>
        <v>51</v>
      </c>
      <c r="J60" s="939"/>
    </row>
    <row r="61" spans="1:10" x14ac:dyDescent="0.45">
      <c r="A61" s="38">
        <f t="shared" si="0"/>
        <v>52</v>
      </c>
      <c r="B61" s="141" t="s">
        <v>552</v>
      </c>
      <c r="C61" s="930">
        <f t="shared" si="8"/>
        <v>2021</v>
      </c>
      <c r="D61" s="948"/>
      <c r="E61" s="970">
        <v>2.8E-3</v>
      </c>
      <c r="F61" s="949">
        <f t="shared" si="5"/>
        <v>-16.079907613364089</v>
      </c>
      <c r="G61" s="974">
        <f t="shared" si="3"/>
        <v>-4.5023741317419451E-2</v>
      </c>
      <c r="H61" s="223">
        <f t="shared" si="2"/>
        <v>-16.124931354681507</v>
      </c>
      <c r="I61" s="38">
        <f t="shared" si="1"/>
        <v>52</v>
      </c>
      <c r="J61" s="939"/>
    </row>
    <row r="62" spans="1:10" x14ac:dyDescent="0.45">
      <c r="A62" s="38">
        <f t="shared" si="0"/>
        <v>53</v>
      </c>
      <c r="B62" s="141" t="s">
        <v>553</v>
      </c>
      <c r="C62" s="930">
        <f t="shared" si="8"/>
        <v>2021</v>
      </c>
      <c r="D62" s="948"/>
      <c r="E62" s="970">
        <v>2.7000000000000001E-3</v>
      </c>
      <c r="F62" s="949">
        <f t="shared" si="5"/>
        <v>-16.124931354681507</v>
      </c>
      <c r="G62" s="974">
        <f t="shared" si="3"/>
        <v>-4.3537314657640075E-2</v>
      </c>
      <c r="H62" s="223">
        <f t="shared" si="2"/>
        <v>-16.168468669339148</v>
      </c>
      <c r="I62" s="38">
        <f t="shared" si="1"/>
        <v>53</v>
      </c>
      <c r="J62" s="939"/>
    </row>
    <row r="63" spans="1:10" x14ac:dyDescent="0.45">
      <c r="A63" s="38">
        <f t="shared" si="0"/>
        <v>54</v>
      </c>
      <c r="B63" s="141" t="s">
        <v>554</v>
      </c>
      <c r="C63" s="930">
        <f t="shared" si="8"/>
        <v>2021</v>
      </c>
      <c r="D63" s="948"/>
      <c r="E63" s="932">
        <v>2.8E-3</v>
      </c>
      <c r="F63" s="949">
        <f t="shared" si="5"/>
        <v>-16.168468669339148</v>
      </c>
      <c r="G63" s="974">
        <f t="shared" si="3"/>
        <v>-4.5271712274149618E-2</v>
      </c>
      <c r="H63" s="223">
        <f t="shared" si="2"/>
        <v>-16.213740381613299</v>
      </c>
      <c r="I63" s="38">
        <f t="shared" si="1"/>
        <v>54</v>
      </c>
      <c r="J63" s="939"/>
    </row>
    <row r="64" spans="1:10" x14ac:dyDescent="0.45">
      <c r="A64" s="38">
        <f t="shared" si="0"/>
        <v>55</v>
      </c>
      <c r="B64" s="141" t="s">
        <v>555</v>
      </c>
      <c r="C64" s="930">
        <f t="shared" si="8"/>
        <v>2021</v>
      </c>
      <c r="D64" s="948"/>
      <c r="E64" s="932">
        <v>2.7000000000000001E-3</v>
      </c>
      <c r="F64" s="949">
        <f t="shared" si="5"/>
        <v>-16.213740381613299</v>
      </c>
      <c r="G64" s="974">
        <f t="shared" si="3"/>
        <v>-4.3777099030355912E-2</v>
      </c>
      <c r="H64" s="223">
        <f t="shared" si="2"/>
        <v>-16.257517480643656</v>
      </c>
      <c r="I64" s="38">
        <f t="shared" si="1"/>
        <v>55</v>
      </c>
      <c r="J64" s="939"/>
    </row>
    <row r="65" spans="1:10" x14ac:dyDescent="0.45">
      <c r="A65" s="38">
        <f t="shared" si="0"/>
        <v>56</v>
      </c>
      <c r="B65" s="942" t="s">
        <v>556</v>
      </c>
      <c r="C65" s="943">
        <f>C64</f>
        <v>2021</v>
      </c>
      <c r="D65" s="950"/>
      <c r="E65" s="945">
        <v>2.8E-3</v>
      </c>
      <c r="F65" s="946">
        <f t="shared" si="5"/>
        <v>-16.257517480643656</v>
      </c>
      <c r="G65" s="973">
        <f t="shared" si="3"/>
        <v>-4.5521048945802237E-2</v>
      </c>
      <c r="H65" s="947">
        <f t="shared" si="2"/>
        <v>-16.303038529589458</v>
      </c>
      <c r="I65" s="38">
        <f t="shared" si="1"/>
        <v>56</v>
      </c>
      <c r="J65" s="939"/>
    </row>
    <row r="66" spans="1:10" ht="15.75" thickBot="1" x14ac:dyDescent="0.5">
      <c r="A66" s="38">
        <f t="shared" si="0"/>
        <v>57</v>
      </c>
      <c r="D66" s="951">
        <f>SUM(D18:D29)</f>
        <v>-14.009962645589566</v>
      </c>
      <c r="E66" s="952"/>
      <c r="F66" s="953"/>
      <c r="G66" s="976">
        <f>SUM(G18:G65)</f>
        <v>-2.2930758839998919</v>
      </c>
      <c r="H66" s="954"/>
      <c r="I66" s="38">
        <f t="shared" si="1"/>
        <v>57</v>
      </c>
    </row>
    <row r="67" spans="1:10" ht="15.75" thickTop="1" x14ac:dyDescent="0.45">
      <c r="D67" s="955"/>
      <c r="E67" s="955"/>
      <c r="F67" s="955"/>
      <c r="G67" s="956"/>
      <c r="H67" s="956"/>
    </row>
    <row r="68" spans="1:10" x14ac:dyDescent="0.45">
      <c r="B68" s="957"/>
    </row>
    <row r="69" spans="1:10" ht="17.25" x14ac:dyDescent="0.45">
      <c r="A69" s="958">
        <v>1</v>
      </c>
      <c r="B69" s="530" t="s">
        <v>557</v>
      </c>
      <c r="C69" s="959"/>
    </row>
    <row r="70" spans="1:10" ht="17.25" x14ac:dyDescent="0.45">
      <c r="A70" s="958">
        <v>2</v>
      </c>
      <c r="B70" s="530" t="s">
        <v>558</v>
      </c>
    </row>
    <row r="71" spans="1:10" ht="17.25" x14ac:dyDescent="0.45">
      <c r="A71" s="958">
        <v>3</v>
      </c>
      <c r="B71" s="530" t="s">
        <v>559</v>
      </c>
    </row>
    <row r="72" spans="1:10" x14ac:dyDescent="0.45">
      <c r="B72" s="530" t="s">
        <v>560</v>
      </c>
    </row>
  </sheetData>
  <mergeCells count="5">
    <mergeCell ref="B3:H3"/>
    <mergeCell ref="B4:H4"/>
    <mergeCell ref="B5:H5"/>
    <mergeCell ref="B6:H6"/>
    <mergeCell ref="B2:H2"/>
  </mergeCells>
  <printOptions horizontalCentered="1"/>
  <pageMargins left="0.25" right="0.25" top="0.5" bottom="0.5" header="0.25" footer="0.25"/>
  <pageSetup scale="63" orientation="portrait" r:id="rId1"/>
  <headerFooter scaleWithDoc="0" alignWithMargins="0">
    <oddFooter>&amp;CPage 11&amp;R&amp;F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6"/>
  <sheetViews>
    <sheetView zoomScale="80" zoomScaleNormal="80" workbookViewId="0"/>
  </sheetViews>
  <sheetFormatPr defaultColWidth="8.73046875" defaultRowHeight="15.4" x14ac:dyDescent="0.45"/>
  <cols>
    <col min="1" max="1" width="5.06640625" style="494" customWidth="1"/>
    <col min="2" max="2" width="69.06640625" style="444" customWidth="1"/>
    <col min="3" max="3" width="14.796875" style="444" customWidth="1"/>
    <col min="4" max="4" width="1.59765625" style="444" customWidth="1"/>
    <col min="5" max="5" width="15.46484375" style="444" customWidth="1"/>
    <col min="6" max="6" width="1.59765625" style="444" customWidth="1"/>
    <col min="7" max="7" width="13.59765625" style="444" customWidth="1"/>
    <col min="8" max="8" width="45.796875" style="444" customWidth="1"/>
    <col min="9" max="9" width="5.06640625" style="494" customWidth="1"/>
    <col min="10" max="10" width="10.265625" style="444" bestFit="1" customWidth="1"/>
    <col min="11" max="16384" width="8.73046875" style="444"/>
  </cols>
  <sheetData>
    <row r="2" spans="1:11" x14ac:dyDescent="0.45">
      <c r="A2" s="202"/>
      <c r="B2" s="980" t="s">
        <v>19</v>
      </c>
      <c r="C2" s="980"/>
      <c r="D2" s="980"/>
      <c r="E2" s="980"/>
      <c r="F2" s="980"/>
      <c r="G2" s="980"/>
      <c r="H2" s="980"/>
      <c r="I2" s="202"/>
    </row>
    <row r="3" spans="1:11" x14ac:dyDescent="0.45">
      <c r="B3" s="980" t="s">
        <v>513</v>
      </c>
      <c r="C3" s="980"/>
      <c r="D3" s="980"/>
      <c r="E3" s="980"/>
      <c r="F3" s="980"/>
      <c r="G3" s="980"/>
      <c r="H3" s="980"/>
      <c r="I3" s="374"/>
    </row>
    <row r="4" spans="1:11" ht="17.25" customHeight="1" x14ac:dyDescent="0.45">
      <c r="B4" s="980" t="s">
        <v>523</v>
      </c>
      <c r="C4" s="980"/>
      <c r="D4" s="980"/>
      <c r="E4" s="980"/>
      <c r="F4" s="980"/>
      <c r="G4" s="980"/>
      <c r="H4" s="980"/>
      <c r="I4" s="922"/>
    </row>
    <row r="5" spans="1:11" x14ac:dyDescent="0.45">
      <c r="B5" s="980" t="s">
        <v>524</v>
      </c>
      <c r="C5" s="980"/>
      <c r="D5" s="980"/>
      <c r="E5" s="980"/>
      <c r="F5" s="980"/>
      <c r="G5" s="980"/>
      <c r="H5" s="980"/>
      <c r="I5" s="374"/>
    </row>
    <row r="6" spans="1:11" x14ac:dyDescent="0.45">
      <c r="B6" s="981" t="s">
        <v>1</v>
      </c>
      <c r="C6" s="980"/>
      <c r="D6" s="980"/>
      <c r="E6" s="980"/>
      <c r="F6" s="980"/>
      <c r="G6" s="980"/>
      <c r="H6" s="980"/>
      <c r="I6" s="374"/>
    </row>
    <row r="7" spans="1:11" x14ac:dyDescent="0.45">
      <c r="B7" s="371"/>
      <c r="C7" s="370"/>
      <c r="D7" s="370"/>
      <c r="E7" s="370"/>
      <c r="F7" s="370"/>
      <c r="G7" s="370"/>
      <c r="H7" s="370"/>
      <c r="I7" s="374"/>
    </row>
    <row r="8" spans="1:11" ht="15.75" thickBot="1" x14ac:dyDescent="0.5">
      <c r="A8" s="202"/>
      <c r="B8" s="370"/>
      <c r="C8" s="284" t="s">
        <v>12</v>
      </c>
      <c r="D8" s="283"/>
      <c r="E8" s="284" t="s">
        <v>7</v>
      </c>
      <c r="F8" s="284"/>
      <c r="G8" s="284" t="s">
        <v>13</v>
      </c>
      <c r="H8" s="284"/>
      <c r="I8" s="202"/>
    </row>
    <row r="9" spans="1:11" ht="60" x14ac:dyDescent="0.45">
      <c r="A9" s="204"/>
      <c r="B9" s="205"/>
      <c r="C9" s="870" t="s">
        <v>563</v>
      </c>
      <c r="D9" s="370"/>
      <c r="E9" s="871" t="s">
        <v>564</v>
      </c>
      <c r="F9" s="871"/>
      <c r="G9" s="200" t="s">
        <v>14</v>
      </c>
      <c r="H9" s="24"/>
      <c r="I9" s="208"/>
    </row>
    <row r="10" spans="1:11" x14ac:dyDescent="0.45">
      <c r="A10" s="204" t="s">
        <v>2</v>
      </c>
      <c r="B10" s="236"/>
      <c r="C10" s="263" t="s">
        <v>328</v>
      </c>
      <c r="D10" s="281"/>
      <c r="E10" s="281" t="s">
        <v>328</v>
      </c>
      <c r="F10" s="281"/>
      <c r="G10" s="960" t="s">
        <v>565</v>
      </c>
      <c r="H10" s="281"/>
      <c r="I10" s="208" t="s">
        <v>2</v>
      </c>
    </row>
    <row r="11" spans="1:11" x14ac:dyDescent="0.45">
      <c r="A11" s="204" t="s">
        <v>6</v>
      </c>
      <c r="B11" s="364" t="s">
        <v>514</v>
      </c>
      <c r="C11" s="523" t="s">
        <v>329</v>
      </c>
      <c r="D11" s="365"/>
      <c r="E11" s="365" t="s">
        <v>329</v>
      </c>
      <c r="F11" s="365"/>
      <c r="G11" s="961" t="s">
        <v>566</v>
      </c>
      <c r="H11" s="365" t="s">
        <v>5</v>
      </c>
      <c r="I11" s="208" t="s">
        <v>6</v>
      </c>
    </row>
    <row r="12" spans="1:11" x14ac:dyDescent="0.45">
      <c r="A12" s="204"/>
      <c r="B12" s="209"/>
      <c r="C12" s="259"/>
      <c r="D12" s="211"/>
      <c r="E12" s="211"/>
      <c r="F12" s="211"/>
      <c r="G12" s="211"/>
      <c r="H12" s="212"/>
      <c r="I12" s="208"/>
    </row>
    <row r="13" spans="1:11" x14ac:dyDescent="0.45">
      <c r="A13" s="204">
        <v>1</v>
      </c>
      <c r="B13" s="226" t="s">
        <v>218</v>
      </c>
      <c r="C13" s="872">
        <f>'Pg3 Revised Appendix X C8'!C11</f>
        <v>62.686206847943446</v>
      </c>
      <c r="D13" s="215"/>
      <c r="E13" s="215">
        <f>'Pg4 As Filed Appendix X C8'!C11</f>
        <v>62.686206898393017</v>
      </c>
      <c r="F13" s="215"/>
      <c r="G13" s="215">
        <f>C13-E13</f>
        <v>-5.0449571631361323E-8</v>
      </c>
      <c r="H13" s="216" t="s">
        <v>749</v>
      </c>
      <c r="I13" s="208">
        <f>A13</f>
        <v>1</v>
      </c>
      <c r="K13" s="499"/>
    </row>
    <row r="14" spans="1:11" x14ac:dyDescent="0.45">
      <c r="A14" s="204">
        <f>A13+1</f>
        <v>2</v>
      </c>
      <c r="B14" s="237"/>
      <c r="C14" s="873"/>
      <c r="D14" s="286"/>
      <c r="E14" s="219"/>
      <c r="F14" s="219"/>
      <c r="G14" s="219"/>
      <c r="H14" s="370"/>
      <c r="I14" s="208">
        <f>I13+1</f>
        <v>2</v>
      </c>
    </row>
    <row r="15" spans="1:11" ht="15.75" x14ac:dyDescent="0.5">
      <c r="A15" s="204">
        <f t="shared" ref="A15:A28" si="0">A14+1</f>
        <v>3</v>
      </c>
      <c r="B15" s="226" t="s">
        <v>219</v>
      </c>
      <c r="C15" s="874">
        <f>'Pg3 Revised Appendix X C8'!C13</f>
        <v>1597.4021560166998</v>
      </c>
      <c r="D15" s="362" t="s">
        <v>15</v>
      </c>
      <c r="E15" s="894">
        <f>'Pg4 As Filed Appendix X C8'!C13</f>
        <v>1604.3236508795703</v>
      </c>
      <c r="F15" s="26"/>
      <c r="G15" s="282">
        <f>C15-E15</f>
        <v>-6.9214948628705315</v>
      </c>
      <c r="H15" s="216" t="s">
        <v>750</v>
      </c>
      <c r="I15" s="208">
        <f t="shared" ref="I15:I28" si="1">I14+1</f>
        <v>3</v>
      </c>
      <c r="K15" s="500"/>
    </row>
    <row r="16" spans="1:11" x14ac:dyDescent="0.45">
      <c r="A16" s="204">
        <f t="shared" si="0"/>
        <v>4</v>
      </c>
      <c r="B16" s="237"/>
      <c r="C16" s="873"/>
      <c r="D16" s="286"/>
      <c r="E16" s="219"/>
      <c r="F16" s="219"/>
      <c r="G16" s="219"/>
      <c r="H16" s="221"/>
      <c r="I16" s="208">
        <f t="shared" si="1"/>
        <v>4</v>
      </c>
    </row>
    <row r="17" spans="1:13" x14ac:dyDescent="0.45">
      <c r="A17" s="204">
        <f t="shared" si="0"/>
        <v>5</v>
      </c>
      <c r="B17" s="224" t="s">
        <v>220</v>
      </c>
      <c r="C17" s="875">
        <f>'Pg3 Revised Appendix X C8'!C15</f>
        <v>786.61087986015252</v>
      </c>
      <c r="D17" s="223"/>
      <c r="E17" s="223">
        <f>'Pg4 As Filed Appendix X C8'!C15</f>
        <v>786.61088461860368</v>
      </c>
      <c r="F17" s="223"/>
      <c r="G17" s="223">
        <f>C17-E17</f>
        <v>-4.7584511548848241E-6</v>
      </c>
      <c r="H17" s="216" t="s">
        <v>751</v>
      </c>
      <c r="I17" s="208">
        <f t="shared" si="1"/>
        <v>5</v>
      </c>
      <c r="K17" s="500"/>
    </row>
    <row r="18" spans="1:13" x14ac:dyDescent="0.45">
      <c r="A18" s="204">
        <f t="shared" si="0"/>
        <v>6</v>
      </c>
      <c r="B18" s="226"/>
      <c r="C18" s="873"/>
      <c r="D18" s="286"/>
      <c r="E18" s="219"/>
      <c r="F18" s="219"/>
      <c r="G18" s="219"/>
      <c r="H18" s="227"/>
      <c r="I18" s="208">
        <f t="shared" si="1"/>
        <v>6</v>
      </c>
    </row>
    <row r="19" spans="1:13" x14ac:dyDescent="0.45">
      <c r="A19" s="204">
        <f t="shared" si="0"/>
        <v>7</v>
      </c>
      <c r="B19" s="226" t="s">
        <v>221</v>
      </c>
      <c r="C19" s="873"/>
      <c r="D19" s="286"/>
      <c r="E19" s="219"/>
      <c r="F19" s="219"/>
      <c r="G19" s="219"/>
      <c r="H19" s="227"/>
      <c r="I19" s="208">
        <f t="shared" si="1"/>
        <v>7</v>
      </c>
    </row>
    <row r="20" spans="1:13" x14ac:dyDescent="0.45">
      <c r="A20" s="204">
        <f t="shared" si="0"/>
        <v>8</v>
      </c>
      <c r="B20" s="226"/>
      <c r="C20" s="873"/>
      <c r="D20" s="286"/>
      <c r="E20" s="219"/>
      <c r="F20" s="219"/>
      <c r="G20" s="219"/>
      <c r="H20" s="228"/>
      <c r="I20" s="208">
        <f t="shared" si="1"/>
        <v>8</v>
      </c>
    </row>
    <row r="21" spans="1:13" ht="15.75" x14ac:dyDescent="0.5">
      <c r="A21" s="204">
        <f t="shared" si="0"/>
        <v>9</v>
      </c>
      <c r="B21" s="213" t="s">
        <v>330</v>
      </c>
      <c r="C21" s="876">
        <f>'Pg3 Revised Appendix X C8'!C19</f>
        <v>947.05025586994793</v>
      </c>
      <c r="D21" s="362" t="s">
        <v>15</v>
      </c>
      <c r="E21" s="894">
        <f>'Pg4 As Filed Appendix X C8'!C19</f>
        <v>954.13871884376624</v>
      </c>
      <c r="F21" s="26"/>
      <c r="G21" s="897">
        <f>C21-E21</f>
        <v>-7.0884629738183094</v>
      </c>
      <c r="H21" s="225" t="s">
        <v>752</v>
      </c>
      <c r="I21" s="208">
        <f t="shared" si="1"/>
        <v>9</v>
      </c>
      <c r="K21" s="499"/>
    </row>
    <row r="22" spans="1:13" x14ac:dyDescent="0.45">
      <c r="A22" s="204">
        <f t="shared" si="0"/>
        <v>10</v>
      </c>
      <c r="B22" s="213"/>
      <c r="C22" s="877"/>
      <c r="D22" s="287"/>
      <c r="E22" s="230"/>
      <c r="F22" s="230"/>
      <c r="G22" s="230"/>
      <c r="H22" s="225"/>
      <c r="I22" s="208">
        <f t="shared" si="1"/>
        <v>10</v>
      </c>
    </row>
    <row r="23" spans="1:13" x14ac:dyDescent="0.45">
      <c r="A23" s="204">
        <f t="shared" si="0"/>
        <v>11</v>
      </c>
      <c r="B23" s="226" t="s">
        <v>222</v>
      </c>
      <c r="C23" s="878"/>
      <c r="D23" s="503"/>
      <c r="E23" s="503"/>
      <c r="F23" s="503"/>
      <c r="G23" s="503"/>
      <c r="H23" s="225"/>
      <c r="I23" s="208">
        <f t="shared" si="1"/>
        <v>11</v>
      </c>
    </row>
    <row r="24" spans="1:13" x14ac:dyDescent="0.45">
      <c r="A24" s="204">
        <f t="shared" si="0"/>
        <v>12</v>
      </c>
      <c r="B24" s="224"/>
      <c r="C24" s="877"/>
      <c r="D24" s="287"/>
      <c r="E24" s="230"/>
      <c r="F24" s="230"/>
      <c r="G24" s="230"/>
      <c r="H24" s="225"/>
      <c r="I24" s="208">
        <f t="shared" si="1"/>
        <v>12</v>
      </c>
    </row>
    <row r="25" spans="1:13" x14ac:dyDescent="0.45">
      <c r="A25" s="204">
        <f t="shared" si="0"/>
        <v>13</v>
      </c>
      <c r="B25" s="213" t="s">
        <v>718</v>
      </c>
      <c r="C25" s="879">
        <f>'Pg3 Revised Appendix X C8'!C23</f>
        <v>59.690370497349754</v>
      </c>
      <c r="D25" s="95"/>
      <c r="E25" s="293">
        <f>'Pg4 As Filed Appendix X C8'!C23</f>
        <v>59.690370497349754</v>
      </c>
      <c r="F25" s="95"/>
      <c r="G25" s="294">
        <f>C25-E25</f>
        <v>0</v>
      </c>
      <c r="H25" s="225" t="s">
        <v>753</v>
      </c>
      <c r="I25" s="208">
        <f t="shared" si="1"/>
        <v>13</v>
      </c>
      <c r="K25" s="500"/>
    </row>
    <row r="26" spans="1:13" x14ac:dyDescent="0.45">
      <c r="A26" s="204">
        <f t="shared" si="0"/>
        <v>14</v>
      </c>
      <c r="B26" s="445"/>
      <c r="C26" s="880"/>
      <c r="D26" s="288"/>
      <c r="E26" s="232"/>
      <c r="F26" s="232"/>
      <c r="G26" s="232"/>
      <c r="H26" s="225"/>
      <c r="I26" s="208">
        <f t="shared" si="1"/>
        <v>14</v>
      </c>
    </row>
    <row r="27" spans="1:13" ht="16.149999999999999" thickBot="1" x14ac:dyDescent="0.55000000000000004">
      <c r="A27" s="204">
        <f t="shared" si="0"/>
        <v>15</v>
      </c>
      <c r="B27" s="237" t="s">
        <v>719</v>
      </c>
      <c r="C27" s="913">
        <f>C13+C15+C17+C21+C25</f>
        <v>3453.439869092093</v>
      </c>
      <c r="D27" s="362" t="s">
        <v>15</v>
      </c>
      <c r="E27" s="914">
        <f>E13+E15+E17+E21+E25</f>
        <v>3467.4498317376829</v>
      </c>
      <c r="F27" s="362"/>
      <c r="G27" s="915">
        <f>G13+G15+G17+G21+G25</f>
        <v>-14.009962645589567</v>
      </c>
      <c r="H27" s="505" t="str">
        <f>"Sum Lines "&amp;A13&amp;" thru "&amp;A25</f>
        <v>Sum Lines 1 thru 13</v>
      </c>
      <c r="I27" s="208">
        <f t="shared" si="1"/>
        <v>15</v>
      </c>
      <c r="L27" s="499"/>
      <c r="M27" s="506"/>
    </row>
    <row r="28" spans="1:13" ht="16.149999999999999" thickTop="1" thickBot="1" x14ac:dyDescent="0.5">
      <c r="A28" s="204">
        <f t="shared" si="0"/>
        <v>16</v>
      </c>
      <c r="B28" s="233"/>
      <c r="C28" s="270"/>
      <c r="D28" s="203"/>
      <c r="E28" s="203"/>
      <c r="F28" s="203"/>
      <c r="G28" s="203"/>
      <c r="H28" s="203"/>
      <c r="I28" s="208">
        <f t="shared" si="1"/>
        <v>16</v>
      </c>
    </row>
    <row r="30" spans="1:13" ht="15.75" thickBot="1" x14ac:dyDescent="0.5">
      <c r="A30" s="202"/>
      <c r="B30" s="378"/>
      <c r="C30" s="235"/>
      <c r="D30" s="235"/>
      <c r="E30" s="235"/>
      <c r="F30" s="235"/>
      <c r="G30" s="235"/>
      <c r="H30" s="507"/>
      <c r="I30" s="202"/>
    </row>
    <row r="31" spans="1:13" ht="60" x14ac:dyDescent="0.45">
      <c r="A31" s="508"/>
      <c r="B31" s="509"/>
      <c r="C31" s="870" t="str">
        <f>C9</f>
        <v>Revised - Appendix X Cycle 8</v>
      </c>
      <c r="D31" s="370"/>
      <c r="E31" s="871" t="str">
        <f>E9</f>
        <v>As Filed - Appendix X Cycle 8 per ER 19-2017</v>
      </c>
      <c r="F31" s="871"/>
      <c r="G31" s="200" t="s">
        <v>14</v>
      </c>
      <c r="H31" s="510"/>
      <c r="I31" s="511"/>
    </row>
    <row r="32" spans="1:13" x14ac:dyDescent="0.45">
      <c r="A32" s="204" t="s">
        <v>2</v>
      </c>
      <c r="B32" s="236"/>
      <c r="C32" s="263" t="s">
        <v>328</v>
      </c>
      <c r="D32" s="281"/>
      <c r="E32" s="281" t="s">
        <v>328</v>
      </c>
      <c r="F32" s="370"/>
      <c r="G32" s="960" t="s">
        <v>565</v>
      </c>
      <c r="H32" s="370"/>
      <c r="I32" s="208" t="s">
        <v>2</v>
      </c>
    </row>
    <row r="33" spans="1:9" x14ac:dyDescent="0.45">
      <c r="A33" s="204" t="s">
        <v>6</v>
      </c>
      <c r="B33" s="364" t="s">
        <v>518</v>
      </c>
      <c r="C33" s="523" t="s">
        <v>329</v>
      </c>
      <c r="D33" s="365"/>
      <c r="E33" s="365" t="s">
        <v>329</v>
      </c>
      <c r="F33" s="365"/>
      <c r="G33" s="961" t="s">
        <v>566</v>
      </c>
      <c r="H33" s="365" t="s">
        <v>5</v>
      </c>
      <c r="I33" s="208" t="s">
        <v>6</v>
      </c>
    </row>
    <row r="34" spans="1:9" x14ac:dyDescent="0.45">
      <c r="A34" s="204">
        <f>A28+1</f>
        <v>17</v>
      </c>
      <c r="B34" s="237"/>
      <c r="C34" s="259"/>
      <c r="D34" s="211"/>
      <c r="E34" s="211"/>
      <c r="F34" s="211"/>
      <c r="G34" s="211"/>
      <c r="H34" s="212"/>
      <c r="I34" s="208">
        <f>I28+1</f>
        <v>17</v>
      </c>
    </row>
    <row r="35" spans="1:9" x14ac:dyDescent="0.45">
      <c r="A35" s="204">
        <f>A34+1</f>
        <v>18</v>
      </c>
      <c r="B35" s="226" t="str">
        <f>B13</f>
        <v>Section 1 - Direct Maintenance Expense Cost Component</v>
      </c>
      <c r="C35" s="881">
        <f>'Pg3 Revised Appendix X C8'!C33</f>
        <v>5.2238505706619538</v>
      </c>
      <c r="D35" s="239"/>
      <c r="E35" s="239">
        <f>'Pg4 As Filed Appendix X C8'!C33</f>
        <v>5.2238505748660851</v>
      </c>
      <c r="F35" s="239"/>
      <c r="G35" s="239">
        <f>C35-E35</f>
        <v>-4.2041312653395835E-9</v>
      </c>
      <c r="H35" s="8" t="s">
        <v>754</v>
      </c>
      <c r="I35" s="208">
        <f>I34+1</f>
        <v>18</v>
      </c>
    </row>
    <row r="36" spans="1:9" x14ac:dyDescent="0.45">
      <c r="A36" s="204">
        <f t="shared" ref="A36:A54" si="2">A35+1</f>
        <v>19</v>
      </c>
      <c r="B36" s="237"/>
      <c r="C36" s="882"/>
      <c r="D36" s="289"/>
      <c r="E36" s="241"/>
      <c r="F36" s="241"/>
      <c r="G36" s="241"/>
      <c r="H36" s="242"/>
      <c r="I36" s="208">
        <f t="shared" ref="I36:I54" si="3">I35+1</f>
        <v>19</v>
      </c>
    </row>
    <row r="37" spans="1:9" ht="15.75" x14ac:dyDescent="0.5">
      <c r="A37" s="204">
        <f t="shared" si="2"/>
        <v>20</v>
      </c>
      <c r="B37" s="226" t="str">
        <f>B15</f>
        <v>Section 2 - Non-Direct Expense Cost Component</v>
      </c>
      <c r="C37" s="883">
        <f>'Pg3 Revised Appendix X C8'!C35</f>
        <v>133.11684633472498</v>
      </c>
      <c r="D37" s="362" t="s">
        <v>15</v>
      </c>
      <c r="E37" s="290">
        <f>'Pg4 As Filed Appendix X C8'!C35</f>
        <v>133.69363757329754</v>
      </c>
      <c r="F37" s="26"/>
      <c r="G37" s="898">
        <f>C37-E37</f>
        <v>-0.57679123857255377</v>
      </c>
      <c r="H37" s="8" t="s">
        <v>755</v>
      </c>
      <c r="I37" s="208">
        <f t="shared" si="3"/>
        <v>20</v>
      </c>
    </row>
    <row r="38" spans="1:9" x14ac:dyDescent="0.45">
      <c r="A38" s="204">
        <f t="shared" si="2"/>
        <v>21</v>
      </c>
      <c r="B38" s="237"/>
      <c r="C38" s="882"/>
      <c r="D38" s="289"/>
      <c r="E38" s="241"/>
      <c r="F38" s="241"/>
      <c r="G38" s="241"/>
      <c r="H38" s="244"/>
      <c r="I38" s="208">
        <f t="shared" si="3"/>
        <v>21</v>
      </c>
    </row>
    <row r="39" spans="1:9" x14ac:dyDescent="0.45">
      <c r="A39" s="204">
        <f t="shared" si="2"/>
        <v>22</v>
      </c>
      <c r="B39" s="226" t="str">
        <f>B17</f>
        <v>Section 3 - Cost Component Containing Other Specific Expenses</v>
      </c>
      <c r="C39" s="884">
        <f>'Pg3 Revised Appendix X C8'!C37</f>
        <v>65.55090665501271</v>
      </c>
      <c r="D39" s="245"/>
      <c r="E39" s="245">
        <f>'Pg4 As Filed Appendix X C8'!C37</f>
        <v>65.550907051550311</v>
      </c>
      <c r="F39" s="245"/>
      <c r="G39" s="245">
        <f>C39-E39</f>
        <v>-3.9653760097735358E-7</v>
      </c>
      <c r="H39" s="8" t="s">
        <v>756</v>
      </c>
      <c r="I39" s="208">
        <f t="shared" si="3"/>
        <v>22</v>
      </c>
    </row>
    <row r="40" spans="1:9" x14ac:dyDescent="0.45">
      <c r="A40" s="204">
        <f t="shared" si="2"/>
        <v>23</v>
      </c>
      <c r="B40" s="237"/>
      <c r="C40" s="882"/>
      <c r="D40" s="289"/>
      <c r="E40" s="241"/>
      <c r="F40" s="241"/>
      <c r="G40" s="241"/>
      <c r="H40" s="221"/>
      <c r="I40" s="208">
        <f t="shared" si="3"/>
        <v>23</v>
      </c>
    </row>
    <row r="41" spans="1:9" x14ac:dyDescent="0.45">
      <c r="A41" s="204">
        <f t="shared" si="2"/>
        <v>24</v>
      </c>
      <c r="B41" s="226" t="str">
        <f>LEFT(B19,45)</f>
        <v>Section 4 - True-Up Adjustment Cost Component</v>
      </c>
      <c r="C41" s="882"/>
      <c r="D41" s="289"/>
      <c r="E41" s="241"/>
      <c r="F41" s="241"/>
      <c r="G41" s="241"/>
      <c r="H41" s="246"/>
      <c r="I41" s="208">
        <f t="shared" si="3"/>
        <v>24</v>
      </c>
    </row>
    <row r="42" spans="1:9" x14ac:dyDescent="0.45">
      <c r="A42" s="204">
        <f t="shared" si="2"/>
        <v>25</v>
      </c>
      <c r="B42" s="226"/>
      <c r="C42" s="882"/>
      <c r="D42" s="289"/>
      <c r="E42" s="241"/>
      <c r="F42" s="241"/>
      <c r="G42" s="241"/>
      <c r="H42" s="246"/>
      <c r="I42" s="208">
        <f t="shared" si="3"/>
        <v>25</v>
      </c>
    </row>
    <row r="43" spans="1:9" ht="15.75" x14ac:dyDescent="0.5">
      <c r="A43" s="204">
        <f t="shared" si="2"/>
        <v>26</v>
      </c>
      <c r="B43" s="213" t="str">
        <f>B21</f>
        <v xml:space="preserve">   True-Up Adjustment derived in Cycle 8</v>
      </c>
      <c r="C43" s="883">
        <f>'Pg3 Revised Appendix X C8'!C41</f>
        <v>78.92085465582899</v>
      </c>
      <c r="D43" s="362" t="s">
        <v>15</v>
      </c>
      <c r="E43" s="290">
        <f>'Pg4 As Filed Appendix X C8'!C41</f>
        <v>79.511559903647182</v>
      </c>
      <c r="F43" s="26"/>
      <c r="G43" s="898">
        <f>C43-E43</f>
        <v>-0.59070524781819245</v>
      </c>
      <c r="H43" s="8" t="s">
        <v>757</v>
      </c>
      <c r="I43" s="208">
        <f t="shared" si="3"/>
        <v>26</v>
      </c>
    </row>
    <row r="44" spans="1:9" x14ac:dyDescent="0.45">
      <c r="A44" s="204">
        <f t="shared" si="2"/>
        <v>27</v>
      </c>
      <c r="B44" s="213"/>
      <c r="C44" s="885"/>
      <c r="D44" s="892"/>
      <c r="E44" s="515"/>
      <c r="F44" s="515"/>
      <c r="G44" s="515"/>
      <c r="H44" s="225"/>
      <c r="I44" s="208">
        <f t="shared" si="3"/>
        <v>27</v>
      </c>
    </row>
    <row r="45" spans="1:9" x14ac:dyDescent="0.45">
      <c r="A45" s="204">
        <f t="shared" si="2"/>
        <v>28</v>
      </c>
      <c r="B45" s="226" t="str">
        <f>B23</f>
        <v>Section 5 - Interest True-Up Adjustment Cost Component</v>
      </c>
      <c r="C45" s="885"/>
      <c r="D45" s="892"/>
      <c r="E45" s="515"/>
      <c r="F45" s="515"/>
      <c r="G45" s="515"/>
      <c r="H45" s="247"/>
      <c r="I45" s="208">
        <f t="shared" si="3"/>
        <v>28</v>
      </c>
    </row>
    <row r="46" spans="1:9" x14ac:dyDescent="0.45">
      <c r="A46" s="204">
        <f t="shared" si="2"/>
        <v>29</v>
      </c>
      <c r="B46" s="226"/>
      <c r="C46" s="885"/>
      <c r="D46" s="892"/>
      <c r="E46" s="515"/>
      <c r="F46" s="515"/>
      <c r="G46" s="515"/>
      <c r="H46" s="247"/>
      <c r="I46" s="208">
        <f t="shared" si="3"/>
        <v>29</v>
      </c>
    </row>
    <row r="47" spans="1:9" x14ac:dyDescent="0.45">
      <c r="A47" s="204">
        <f t="shared" si="2"/>
        <v>30</v>
      </c>
      <c r="B47" s="222" t="str">
        <f>B25</f>
        <v xml:space="preserve">   Cycle 7 Interest True-Up Adjustment</v>
      </c>
      <c r="C47" s="886">
        <f>'Pg3 Revised Appendix X C8'!C45</f>
        <v>4.9741975414458128</v>
      </c>
      <c r="D47" s="517"/>
      <c r="E47" s="895">
        <f>'Pg4 As Filed Appendix X C8'!C45</f>
        <v>4.9741975414458128</v>
      </c>
      <c r="F47" s="517"/>
      <c r="G47" s="899">
        <f>C47-E47</f>
        <v>0</v>
      </c>
      <c r="H47" s="8" t="s">
        <v>758</v>
      </c>
      <c r="I47" s="208">
        <f t="shared" si="3"/>
        <v>30</v>
      </c>
    </row>
    <row r="48" spans="1:9" x14ac:dyDescent="0.45">
      <c r="A48" s="204">
        <f t="shared" si="2"/>
        <v>31</v>
      </c>
      <c r="B48" s="237"/>
      <c r="C48" s="887"/>
      <c r="D48" s="893"/>
      <c r="E48" s="519"/>
      <c r="F48" s="519"/>
      <c r="G48" s="519"/>
      <c r="H48" s="370"/>
      <c r="I48" s="208">
        <f t="shared" si="3"/>
        <v>31</v>
      </c>
    </row>
    <row r="49" spans="1:10" ht="16.149999999999999" thickBot="1" x14ac:dyDescent="0.55000000000000004">
      <c r="A49" s="204">
        <f t="shared" si="2"/>
        <v>32</v>
      </c>
      <c r="B49" s="237" t="s">
        <v>720</v>
      </c>
      <c r="C49" s="888">
        <f>C35+C37+C39+C43+C47</f>
        <v>287.78665575767445</v>
      </c>
      <c r="D49" s="362" t="s">
        <v>15</v>
      </c>
      <c r="E49" s="900">
        <f>E35+E37+E39+E43+E47</f>
        <v>288.95415264480692</v>
      </c>
      <c r="F49" s="26"/>
      <c r="G49" s="902">
        <f>G35+G37+G39+G43+G47</f>
        <v>-1.1674968871324785</v>
      </c>
      <c r="H49" s="225" t="str">
        <f>"Sum Lines "&amp;A35&amp;" thru "&amp;A47&amp;""</f>
        <v>Sum Lines 18 thru 30</v>
      </c>
      <c r="I49" s="208">
        <f t="shared" si="3"/>
        <v>32</v>
      </c>
      <c r="J49" s="968"/>
    </row>
    <row r="50" spans="1:10" ht="15.75" thickTop="1" x14ac:dyDescent="0.45">
      <c r="A50" s="204">
        <f t="shared" si="2"/>
        <v>33</v>
      </c>
      <c r="B50" s="237"/>
      <c r="C50" s="889"/>
      <c r="D50" s="249"/>
      <c r="E50" s="249"/>
      <c r="F50" s="249"/>
      <c r="G50" s="249"/>
      <c r="H50" s="250"/>
      <c r="I50" s="208">
        <f t="shared" si="3"/>
        <v>33</v>
      </c>
    </row>
    <row r="51" spans="1:10" x14ac:dyDescent="0.45">
      <c r="A51" s="204">
        <f t="shared" si="2"/>
        <v>34</v>
      </c>
      <c r="B51" s="217" t="s">
        <v>721</v>
      </c>
      <c r="C51" s="890">
        <f>'Pg3 Revised Appendix X C8'!C49</f>
        <v>12</v>
      </c>
      <c r="D51" s="251"/>
      <c r="E51" s="896">
        <f>'Pg4 As Filed Appendix X C8'!C49</f>
        <v>12</v>
      </c>
      <c r="F51" s="251"/>
      <c r="G51" s="901">
        <f>C51-E51</f>
        <v>0</v>
      </c>
      <c r="H51" s="8" t="s">
        <v>759</v>
      </c>
      <c r="I51" s="208">
        <f t="shared" si="3"/>
        <v>34</v>
      </c>
    </row>
    <row r="52" spans="1:10" x14ac:dyDescent="0.45">
      <c r="A52" s="204">
        <f t="shared" si="2"/>
        <v>35</v>
      </c>
      <c r="B52" s="237"/>
      <c r="C52" s="889"/>
      <c r="D52" s="249"/>
      <c r="E52" s="249"/>
      <c r="F52" s="249"/>
      <c r="G52" s="249"/>
      <c r="H52" s="252"/>
      <c r="I52" s="208">
        <f t="shared" si="3"/>
        <v>35</v>
      </c>
    </row>
    <row r="53" spans="1:10" ht="16.149999999999999" thickBot="1" x14ac:dyDescent="0.55000000000000004">
      <c r="A53" s="204">
        <f t="shared" si="2"/>
        <v>36</v>
      </c>
      <c r="B53" s="217" t="str">
        <f>B27</f>
        <v>Total Citizens' Cycle 8 Annual Costs</v>
      </c>
      <c r="C53" s="964">
        <f>C49*C51</f>
        <v>3453.4398690920934</v>
      </c>
      <c r="D53" s="362" t="s">
        <v>15</v>
      </c>
      <c r="E53" s="966">
        <f>E49*E51</f>
        <v>3467.4498317376829</v>
      </c>
      <c r="F53" s="26"/>
      <c r="G53" s="965">
        <f>C53-E53</f>
        <v>-14.009962645589439</v>
      </c>
      <c r="H53" s="8" t="s">
        <v>760</v>
      </c>
      <c r="I53" s="208">
        <f t="shared" si="3"/>
        <v>36</v>
      </c>
    </row>
    <row r="54" spans="1:10" ht="16.149999999999999" thickTop="1" thickBot="1" x14ac:dyDescent="0.5">
      <c r="A54" s="204">
        <f t="shared" si="2"/>
        <v>37</v>
      </c>
      <c r="B54" s="203"/>
      <c r="C54" s="891"/>
      <c r="D54" s="254"/>
      <c r="E54" s="254"/>
      <c r="F54" s="254"/>
      <c r="G54" s="254"/>
      <c r="H54" s="255"/>
      <c r="I54" s="208">
        <f t="shared" si="3"/>
        <v>37</v>
      </c>
    </row>
    <row r="56" spans="1:10" ht="15.75" x14ac:dyDescent="0.5">
      <c r="A56" s="26" t="s">
        <v>15</v>
      </c>
      <c r="B56" s="23" t="s">
        <v>332</v>
      </c>
      <c r="C56" s="23"/>
    </row>
  </sheetData>
  <mergeCells count="5">
    <mergeCell ref="B3:H3"/>
    <mergeCell ref="B5:H5"/>
    <mergeCell ref="B6:H6"/>
    <mergeCell ref="B4:H4"/>
    <mergeCell ref="B2:H2"/>
  </mergeCells>
  <printOptions horizontalCentered="1"/>
  <pageMargins left="0.25" right="0.25" top="0.5" bottom="0.5" header="0.25" footer="0.25"/>
  <pageSetup scale="59" orientation="portrait" r:id="rId1"/>
  <headerFooter scaleWithDoc="0" alignWithMargins="0">
    <oddFooter>&amp;CPage 2&amp;R&amp;F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2:J54"/>
  <sheetViews>
    <sheetView zoomScale="80" zoomScaleNormal="80" workbookViewId="0"/>
  </sheetViews>
  <sheetFormatPr defaultColWidth="8.73046875" defaultRowHeight="15.4" x14ac:dyDescent="0.45"/>
  <cols>
    <col min="1" max="1" width="5.06640625" style="494" customWidth="1"/>
    <col min="2" max="2" width="71.33203125" style="444" customWidth="1"/>
    <col min="3" max="3" width="14.796875" style="444" customWidth="1"/>
    <col min="4" max="4" width="1.59765625" style="444" customWidth="1"/>
    <col min="5" max="5" width="45.796875" style="444" customWidth="1"/>
    <col min="6" max="6" width="5.06640625" style="494" customWidth="1"/>
    <col min="7" max="16384" width="8.73046875" style="444"/>
  </cols>
  <sheetData>
    <row r="2" spans="1:8" x14ac:dyDescent="0.45">
      <c r="A2" s="202"/>
      <c r="B2" s="980" t="s">
        <v>19</v>
      </c>
      <c r="C2" s="980"/>
      <c r="D2" s="980"/>
      <c r="E2" s="980"/>
      <c r="F2" s="202"/>
    </row>
    <row r="3" spans="1:8" x14ac:dyDescent="0.45">
      <c r="B3" s="980" t="s">
        <v>513</v>
      </c>
      <c r="C3" s="980"/>
      <c r="D3" s="980"/>
      <c r="E3" s="980"/>
      <c r="F3" s="374"/>
    </row>
    <row r="4" spans="1:8" x14ac:dyDescent="0.45">
      <c r="B4" s="980" t="s">
        <v>327</v>
      </c>
      <c r="C4" s="980"/>
      <c r="D4" s="980"/>
      <c r="E4" s="980"/>
      <c r="F4" s="374"/>
    </row>
    <row r="5" spans="1:8" x14ac:dyDescent="0.45">
      <c r="A5" s="202"/>
      <c r="B5" s="982" t="s">
        <v>570</v>
      </c>
      <c r="C5" s="982"/>
      <c r="D5" s="982"/>
      <c r="E5" s="982"/>
      <c r="F5" s="202"/>
    </row>
    <row r="6" spans="1:8" x14ac:dyDescent="0.45">
      <c r="B6" s="981" t="s">
        <v>1</v>
      </c>
      <c r="C6" s="980"/>
      <c r="D6" s="980"/>
      <c r="E6" s="980"/>
      <c r="F6" s="374"/>
    </row>
    <row r="7" spans="1:8" ht="15.75" thickBot="1" x14ac:dyDescent="0.5">
      <c r="A7" s="202"/>
      <c r="B7" s="370"/>
      <c r="C7" s="445"/>
      <c r="D7" s="203"/>
      <c r="E7" s="445"/>
      <c r="F7" s="202"/>
    </row>
    <row r="8" spans="1:8" x14ac:dyDescent="0.45">
      <c r="A8" s="204" t="s">
        <v>2</v>
      </c>
      <c r="B8" s="205"/>
      <c r="C8" s="206" t="s">
        <v>328</v>
      </c>
      <c r="D8" s="370"/>
      <c r="E8" s="207"/>
      <c r="F8" s="208" t="s">
        <v>2</v>
      </c>
    </row>
    <row r="9" spans="1:8" x14ac:dyDescent="0.45">
      <c r="A9" s="204" t="s">
        <v>6</v>
      </c>
      <c r="B9" s="364" t="s">
        <v>514</v>
      </c>
      <c r="C9" s="498" t="s">
        <v>329</v>
      </c>
      <c r="D9" s="365"/>
      <c r="E9" s="365" t="s">
        <v>5</v>
      </c>
      <c r="F9" s="208" t="s">
        <v>6</v>
      </c>
    </row>
    <row r="10" spans="1:8" x14ac:dyDescent="0.45">
      <c r="A10" s="204"/>
      <c r="B10" s="209"/>
      <c r="C10" s="210"/>
      <c r="D10" s="211"/>
      <c r="E10" s="212"/>
      <c r="F10" s="208"/>
    </row>
    <row r="11" spans="1:8" x14ac:dyDescent="0.45">
      <c r="A11" s="204">
        <v>1</v>
      </c>
      <c r="B11" s="226" t="s">
        <v>218</v>
      </c>
      <c r="C11" s="214">
        <v>62.686206847943446</v>
      </c>
      <c r="D11" s="215"/>
      <c r="E11" s="216" t="s">
        <v>712</v>
      </c>
      <c r="F11" s="208">
        <f>A11</f>
        <v>1</v>
      </c>
      <c r="H11" s="499"/>
    </row>
    <row r="12" spans="1:8" x14ac:dyDescent="0.45">
      <c r="A12" s="204">
        <f>A11+1</f>
        <v>2</v>
      </c>
      <c r="B12" s="237"/>
      <c r="C12" s="218"/>
      <c r="D12" s="219"/>
      <c r="E12" s="370"/>
      <c r="F12" s="208">
        <f>F11+1</f>
        <v>2</v>
      </c>
    </row>
    <row r="13" spans="1:8" ht="15.75" x14ac:dyDescent="0.5">
      <c r="A13" s="204">
        <f t="shared" ref="A13:A26" si="0">A12+1</f>
        <v>3</v>
      </c>
      <c r="B13" s="226" t="s">
        <v>219</v>
      </c>
      <c r="C13" s="220">
        <f>'Pg5 Rev B1.Atchmnt 2 BK2 NonDir'!E41</f>
        <v>1597.4021560166998</v>
      </c>
      <c r="D13" s="26" t="s">
        <v>15</v>
      </c>
      <c r="E13" s="216" t="s">
        <v>713</v>
      </c>
      <c r="F13" s="208">
        <f t="shared" ref="F13:F26" si="1">F12+1</f>
        <v>3</v>
      </c>
      <c r="H13" s="500"/>
    </row>
    <row r="14" spans="1:8" x14ac:dyDescent="0.45">
      <c r="A14" s="204">
        <f t="shared" si="0"/>
        <v>4</v>
      </c>
      <c r="B14" s="237"/>
      <c r="C14" s="218"/>
      <c r="D14" s="219"/>
      <c r="E14" s="221"/>
      <c r="F14" s="208">
        <f t="shared" si="1"/>
        <v>4</v>
      </c>
    </row>
    <row r="15" spans="1:8" x14ac:dyDescent="0.45">
      <c r="A15" s="204">
        <f t="shared" si="0"/>
        <v>5</v>
      </c>
      <c r="B15" s="224" t="s">
        <v>220</v>
      </c>
      <c r="C15" s="267">
        <v>786.61087986015252</v>
      </c>
      <c r="D15" s="223"/>
      <c r="E15" s="216" t="s">
        <v>714</v>
      </c>
      <c r="F15" s="208">
        <f t="shared" si="1"/>
        <v>5</v>
      </c>
      <c r="H15" s="500"/>
    </row>
    <row r="16" spans="1:8" x14ac:dyDescent="0.45">
      <c r="A16" s="204">
        <f t="shared" si="0"/>
        <v>6</v>
      </c>
      <c r="B16" s="226"/>
      <c r="C16" s="218"/>
      <c r="D16" s="219"/>
      <c r="E16" s="227"/>
      <c r="F16" s="208">
        <f t="shared" si="1"/>
        <v>6</v>
      </c>
    </row>
    <row r="17" spans="1:10" x14ac:dyDescent="0.45">
      <c r="A17" s="204">
        <f t="shared" si="0"/>
        <v>7</v>
      </c>
      <c r="B17" s="226" t="s">
        <v>221</v>
      </c>
      <c r="C17" s="218"/>
      <c r="D17" s="219"/>
      <c r="E17" s="227"/>
      <c r="F17" s="208">
        <f t="shared" si="1"/>
        <v>7</v>
      </c>
    </row>
    <row r="18" spans="1:10" x14ac:dyDescent="0.45">
      <c r="A18" s="204">
        <f t="shared" si="0"/>
        <v>8</v>
      </c>
      <c r="B18" s="226"/>
      <c r="C18" s="218"/>
      <c r="D18" s="219"/>
      <c r="E18" s="228"/>
      <c r="F18" s="208">
        <f t="shared" si="1"/>
        <v>8</v>
      </c>
    </row>
    <row r="19" spans="1:10" ht="15.75" x14ac:dyDescent="0.5">
      <c r="A19" s="204">
        <f t="shared" si="0"/>
        <v>9</v>
      </c>
      <c r="B19" s="213" t="s">
        <v>330</v>
      </c>
      <c r="C19" s="501">
        <f>'Pg6 Rev C.Atchmnt 3-Sec 4a TU '!O43</f>
        <v>947.05025586994793</v>
      </c>
      <c r="D19" s="26" t="s">
        <v>15</v>
      </c>
      <c r="E19" s="225" t="s">
        <v>715</v>
      </c>
      <c r="F19" s="208">
        <f t="shared" si="1"/>
        <v>9</v>
      </c>
      <c r="H19" s="499"/>
    </row>
    <row r="20" spans="1:10" x14ac:dyDescent="0.45">
      <c r="A20" s="204">
        <f t="shared" si="0"/>
        <v>10</v>
      </c>
      <c r="B20" s="213"/>
      <c r="C20" s="229"/>
      <c r="D20" s="230"/>
      <c r="E20" s="225"/>
      <c r="F20" s="208">
        <f t="shared" si="1"/>
        <v>10</v>
      </c>
    </row>
    <row r="21" spans="1:10" x14ac:dyDescent="0.45">
      <c r="A21" s="204">
        <f t="shared" si="0"/>
        <v>11</v>
      </c>
      <c r="B21" s="226" t="s">
        <v>222</v>
      </c>
      <c r="C21" s="502"/>
      <c r="D21" s="503"/>
      <c r="E21" s="225"/>
      <c r="F21" s="208">
        <f t="shared" si="1"/>
        <v>11</v>
      </c>
    </row>
    <row r="22" spans="1:10" x14ac:dyDescent="0.45">
      <c r="A22" s="204">
        <f t="shared" si="0"/>
        <v>12</v>
      </c>
      <c r="B22" s="224"/>
      <c r="C22" s="229"/>
      <c r="D22" s="230"/>
      <c r="E22" s="225"/>
      <c r="F22" s="208">
        <f t="shared" si="1"/>
        <v>12</v>
      </c>
    </row>
    <row r="23" spans="1:10" x14ac:dyDescent="0.45">
      <c r="A23" s="204">
        <f t="shared" si="0"/>
        <v>13</v>
      </c>
      <c r="B23" s="213" t="s">
        <v>718</v>
      </c>
      <c r="C23" s="504">
        <v>59.690370497349754</v>
      </c>
      <c r="D23" s="95"/>
      <c r="E23" s="225" t="s">
        <v>716</v>
      </c>
      <c r="F23" s="208">
        <f t="shared" si="1"/>
        <v>13</v>
      </c>
      <c r="H23" s="500"/>
    </row>
    <row r="24" spans="1:10" x14ac:dyDescent="0.45">
      <c r="A24" s="204">
        <f t="shared" si="0"/>
        <v>14</v>
      </c>
      <c r="B24" s="445"/>
      <c r="C24" s="231"/>
      <c r="D24" s="232"/>
      <c r="E24" s="225"/>
      <c r="F24" s="208">
        <f t="shared" si="1"/>
        <v>14</v>
      </c>
    </row>
    <row r="25" spans="1:10" ht="16.149999999999999" thickBot="1" x14ac:dyDescent="0.55000000000000004">
      <c r="A25" s="204">
        <f t="shared" si="0"/>
        <v>15</v>
      </c>
      <c r="B25" s="237" t="s">
        <v>719</v>
      </c>
      <c r="C25" s="963">
        <f>C11+C13+C15+C19+C23</f>
        <v>3453.439869092093</v>
      </c>
      <c r="D25" s="26" t="s">
        <v>15</v>
      </c>
      <c r="E25" s="505" t="s">
        <v>717</v>
      </c>
      <c r="F25" s="208">
        <f t="shared" si="1"/>
        <v>15</v>
      </c>
      <c r="I25" s="499"/>
      <c r="J25" s="506"/>
    </row>
    <row r="26" spans="1:10" ht="16.149999999999999" thickTop="1" thickBot="1" x14ac:dyDescent="0.5">
      <c r="A26" s="204">
        <f t="shared" si="0"/>
        <v>16</v>
      </c>
      <c r="B26" s="233"/>
      <c r="C26" s="234"/>
      <c r="D26" s="270"/>
      <c r="E26" s="203"/>
      <c r="F26" s="208">
        <f t="shared" si="1"/>
        <v>16</v>
      </c>
    </row>
    <row r="28" spans="1:10" ht="15.75" thickBot="1" x14ac:dyDescent="0.5">
      <c r="A28" s="202"/>
      <c r="B28" s="378"/>
      <c r="C28" s="507"/>
      <c r="D28" s="235"/>
      <c r="E28" s="507"/>
      <c r="F28" s="202"/>
    </row>
    <row r="29" spans="1:10" x14ac:dyDescent="0.45">
      <c r="A29" s="508"/>
      <c r="B29" s="509"/>
      <c r="C29" s="206"/>
      <c r="D29" s="370"/>
      <c r="E29" s="510"/>
      <c r="F29" s="511"/>
    </row>
    <row r="30" spans="1:10" x14ac:dyDescent="0.45">
      <c r="A30" s="204" t="s">
        <v>2</v>
      </c>
      <c r="B30" s="236"/>
      <c r="C30" s="512" t="s">
        <v>328</v>
      </c>
      <c r="D30" s="370"/>
      <c r="E30" s="370"/>
      <c r="F30" s="208" t="s">
        <v>2</v>
      </c>
    </row>
    <row r="31" spans="1:10" x14ac:dyDescent="0.45">
      <c r="A31" s="204" t="s">
        <v>6</v>
      </c>
      <c r="B31" s="364" t="s">
        <v>331</v>
      </c>
      <c r="C31" s="498" t="s">
        <v>329</v>
      </c>
      <c r="D31" s="365"/>
      <c r="E31" s="365" t="s">
        <v>5</v>
      </c>
      <c r="F31" s="208" t="s">
        <v>6</v>
      </c>
    </row>
    <row r="32" spans="1:10" x14ac:dyDescent="0.45">
      <c r="A32" s="204">
        <f>A26+1</f>
        <v>17</v>
      </c>
      <c r="B32" s="237"/>
      <c r="C32" s="210"/>
      <c r="D32" s="211"/>
      <c r="E32" s="212"/>
      <c r="F32" s="208">
        <f>F26+1</f>
        <v>17</v>
      </c>
    </row>
    <row r="33" spans="1:6" x14ac:dyDescent="0.45">
      <c r="A33" s="204">
        <f>A32+1</f>
        <v>18</v>
      </c>
      <c r="B33" s="226" t="str">
        <f>B11</f>
        <v>Section 1 - Direct Maintenance Expense Cost Component</v>
      </c>
      <c r="C33" s="238">
        <f>C11/12</f>
        <v>5.2238505706619538</v>
      </c>
      <c r="D33" s="239"/>
      <c r="E33" s="216" t="str">
        <f>"Line "&amp;A11&amp;" Above / 12 Months"</f>
        <v>Line 1 Above / 12 Months</v>
      </c>
      <c r="F33" s="208">
        <f>F32+1</f>
        <v>18</v>
      </c>
    </row>
    <row r="34" spans="1:6" x14ac:dyDescent="0.45">
      <c r="A34" s="204">
        <f t="shared" ref="A34:A52" si="2">A33+1</f>
        <v>19</v>
      </c>
      <c r="B34" s="237"/>
      <c r="C34" s="240"/>
      <c r="D34" s="241"/>
      <c r="E34" s="242"/>
      <c r="F34" s="208">
        <f t="shared" ref="F34:F52" si="3">F33+1</f>
        <v>19</v>
      </c>
    </row>
    <row r="35" spans="1:6" ht="15.75" x14ac:dyDescent="0.5">
      <c r="A35" s="204">
        <f t="shared" si="2"/>
        <v>20</v>
      </c>
      <c r="B35" s="226" t="str">
        <f>B13</f>
        <v>Section 2 - Non-Direct Expense Cost Component</v>
      </c>
      <c r="C35" s="243">
        <f>C13/12</f>
        <v>133.11684633472498</v>
      </c>
      <c r="D35" s="26" t="s">
        <v>15</v>
      </c>
      <c r="E35" s="216" t="str">
        <f>"Line "&amp;A13&amp;" Above / 12 Months"</f>
        <v>Line 3 Above / 12 Months</v>
      </c>
      <c r="F35" s="208">
        <f t="shared" si="3"/>
        <v>20</v>
      </c>
    </row>
    <row r="36" spans="1:6" x14ac:dyDescent="0.45">
      <c r="A36" s="204">
        <f t="shared" si="2"/>
        <v>21</v>
      </c>
      <c r="B36" s="237"/>
      <c r="C36" s="240"/>
      <c r="D36" s="241"/>
      <c r="E36" s="244"/>
      <c r="F36" s="208">
        <f t="shared" si="3"/>
        <v>21</v>
      </c>
    </row>
    <row r="37" spans="1:6" x14ac:dyDescent="0.45">
      <c r="A37" s="204">
        <f t="shared" si="2"/>
        <v>22</v>
      </c>
      <c r="B37" s="226" t="str">
        <f>B15</f>
        <v>Section 3 - Cost Component Containing Other Specific Expenses</v>
      </c>
      <c r="C37" s="513">
        <f>C15/12</f>
        <v>65.55090665501271</v>
      </c>
      <c r="D37" s="245"/>
      <c r="E37" s="216" t="str">
        <f>"Line "&amp;A15&amp;" Above / 12 Months"</f>
        <v>Line 5 Above / 12 Months</v>
      </c>
      <c r="F37" s="208">
        <f t="shared" si="3"/>
        <v>22</v>
      </c>
    </row>
    <row r="38" spans="1:6" x14ac:dyDescent="0.45">
      <c r="A38" s="204">
        <f t="shared" si="2"/>
        <v>23</v>
      </c>
      <c r="B38" s="237"/>
      <c r="C38" s="240"/>
      <c r="D38" s="241"/>
      <c r="E38" s="221"/>
      <c r="F38" s="208">
        <f t="shared" si="3"/>
        <v>23</v>
      </c>
    </row>
    <row r="39" spans="1:6" x14ac:dyDescent="0.45">
      <c r="A39" s="204">
        <f t="shared" si="2"/>
        <v>24</v>
      </c>
      <c r="B39" s="226" t="str">
        <f>LEFT(B17,45)</f>
        <v>Section 4 - True-Up Adjustment Cost Component</v>
      </c>
      <c r="C39" s="240"/>
      <c r="D39" s="241"/>
      <c r="E39" s="246"/>
      <c r="F39" s="208">
        <f t="shared" si="3"/>
        <v>24</v>
      </c>
    </row>
    <row r="40" spans="1:6" x14ac:dyDescent="0.45">
      <c r="A40" s="204">
        <f t="shared" si="2"/>
        <v>25</v>
      </c>
      <c r="B40" s="226"/>
      <c r="C40" s="240"/>
      <c r="D40" s="241"/>
      <c r="E40" s="246"/>
      <c r="F40" s="208">
        <f t="shared" si="3"/>
        <v>25</v>
      </c>
    </row>
    <row r="41" spans="1:6" ht="15.75" x14ac:dyDescent="0.5">
      <c r="A41" s="204">
        <f t="shared" si="2"/>
        <v>26</v>
      </c>
      <c r="B41" s="213" t="str">
        <f>B19</f>
        <v xml:space="preserve">   True-Up Adjustment derived in Cycle 8</v>
      </c>
      <c r="C41" s="243">
        <f>C19/12</f>
        <v>78.92085465582899</v>
      </c>
      <c r="D41" s="26" t="s">
        <v>15</v>
      </c>
      <c r="E41" s="216" t="str">
        <f>"Line "&amp;A19&amp;" Above / 12 Months"</f>
        <v>Line 9 Above / 12 Months</v>
      </c>
      <c r="F41" s="208">
        <f t="shared" si="3"/>
        <v>26</v>
      </c>
    </row>
    <row r="42" spans="1:6" x14ac:dyDescent="0.45">
      <c r="A42" s="204">
        <f t="shared" si="2"/>
        <v>27</v>
      </c>
      <c r="B42" s="213"/>
      <c r="C42" s="514"/>
      <c r="D42" s="515"/>
      <c r="E42" s="225"/>
      <c r="F42" s="208">
        <f t="shared" si="3"/>
        <v>27</v>
      </c>
    </row>
    <row r="43" spans="1:6" x14ac:dyDescent="0.45">
      <c r="A43" s="204">
        <f t="shared" si="2"/>
        <v>28</v>
      </c>
      <c r="B43" s="226" t="str">
        <f>B21</f>
        <v>Section 5 - Interest True-Up Adjustment Cost Component</v>
      </c>
      <c r="C43" s="514"/>
      <c r="D43" s="515"/>
      <c r="E43" s="247"/>
      <c r="F43" s="208">
        <f t="shared" si="3"/>
        <v>28</v>
      </c>
    </row>
    <row r="44" spans="1:6" x14ac:dyDescent="0.45">
      <c r="A44" s="204">
        <f t="shared" si="2"/>
        <v>29</v>
      </c>
      <c r="B44" s="226"/>
      <c r="C44" s="514"/>
      <c r="D44" s="515"/>
      <c r="E44" s="247"/>
      <c r="F44" s="208">
        <f t="shared" si="3"/>
        <v>29</v>
      </c>
    </row>
    <row r="45" spans="1:6" x14ac:dyDescent="0.45">
      <c r="A45" s="204">
        <f t="shared" si="2"/>
        <v>30</v>
      </c>
      <c r="B45" s="222" t="str">
        <f>B23</f>
        <v xml:space="preserve">   Cycle 7 Interest True-Up Adjustment</v>
      </c>
      <c r="C45" s="516">
        <f>C23/12</f>
        <v>4.9741975414458128</v>
      </c>
      <c r="D45" s="517"/>
      <c r="E45" s="216" t="str">
        <f>"Line "&amp;A23&amp;" Above / 12 Months"</f>
        <v>Line 13 Above / 12 Months</v>
      </c>
      <c r="F45" s="208">
        <f t="shared" si="3"/>
        <v>30</v>
      </c>
    </row>
    <row r="46" spans="1:6" x14ac:dyDescent="0.45">
      <c r="A46" s="204">
        <f t="shared" si="2"/>
        <v>31</v>
      </c>
      <c r="B46" s="237"/>
      <c r="C46" s="518"/>
      <c r="D46" s="519"/>
      <c r="E46" s="370"/>
      <c r="F46" s="208">
        <f t="shared" si="3"/>
        <v>31</v>
      </c>
    </row>
    <row r="47" spans="1:6" ht="16.149999999999999" thickBot="1" x14ac:dyDescent="0.55000000000000004">
      <c r="A47" s="204">
        <f t="shared" si="2"/>
        <v>32</v>
      </c>
      <c r="B47" s="237" t="s">
        <v>720</v>
      </c>
      <c r="C47" s="520">
        <f>C33+C35+C37+C41+C45</f>
        <v>287.78665575767445</v>
      </c>
      <c r="D47" s="26" t="s">
        <v>15</v>
      </c>
      <c r="E47" s="225" t="str">
        <f>"Sum Lines "&amp;A33&amp;" thru "&amp;A45&amp;""</f>
        <v>Sum Lines 18 thru 30</v>
      </c>
      <c r="F47" s="208">
        <f t="shared" si="3"/>
        <v>32</v>
      </c>
    </row>
    <row r="48" spans="1:6" ht="15.75" thickTop="1" x14ac:dyDescent="0.45">
      <c r="A48" s="204">
        <f t="shared" si="2"/>
        <v>33</v>
      </c>
      <c r="B48" s="237"/>
      <c r="C48" s="248"/>
      <c r="D48" s="249"/>
      <c r="E48" s="250"/>
      <c r="F48" s="208">
        <f t="shared" si="3"/>
        <v>33</v>
      </c>
    </row>
    <row r="49" spans="1:6" x14ac:dyDescent="0.45">
      <c r="A49" s="204">
        <f t="shared" si="2"/>
        <v>34</v>
      </c>
      <c r="B49" s="217" t="s">
        <v>721</v>
      </c>
      <c r="C49" s="521">
        <v>12</v>
      </c>
      <c r="D49" s="251"/>
      <c r="E49" s="250"/>
      <c r="F49" s="208">
        <f t="shared" si="3"/>
        <v>34</v>
      </c>
    </row>
    <row r="50" spans="1:6" x14ac:dyDescent="0.45">
      <c r="A50" s="204">
        <f t="shared" si="2"/>
        <v>35</v>
      </c>
      <c r="B50" s="237"/>
      <c r="C50" s="248"/>
      <c r="D50" s="249"/>
      <c r="E50" s="252"/>
      <c r="F50" s="208">
        <f t="shared" si="3"/>
        <v>35</v>
      </c>
    </row>
    <row r="51" spans="1:6" ht="16.149999999999999" thickBot="1" x14ac:dyDescent="0.55000000000000004">
      <c r="A51" s="204">
        <f t="shared" si="2"/>
        <v>36</v>
      </c>
      <c r="B51" s="217" t="str">
        <f>B25</f>
        <v>Total Citizens' Cycle 8 Annual Costs</v>
      </c>
      <c r="C51" s="522">
        <f>C47*C49</f>
        <v>3453.4398690920934</v>
      </c>
      <c r="D51" s="26" t="s">
        <v>15</v>
      </c>
      <c r="E51" s="225" t="str">
        <f>"Line "&amp;A47&amp;" x Line "&amp;A49</f>
        <v>Line 32 x Line 34</v>
      </c>
      <c r="F51" s="208">
        <f t="shared" si="3"/>
        <v>36</v>
      </c>
    </row>
    <row r="52" spans="1:6" ht="16.149999999999999" thickTop="1" thickBot="1" x14ac:dyDescent="0.5">
      <c r="A52" s="204">
        <f t="shared" si="2"/>
        <v>37</v>
      </c>
      <c r="B52" s="203"/>
      <c r="C52" s="253"/>
      <c r="D52" s="366"/>
      <c r="E52" s="255"/>
      <c r="F52" s="208">
        <f t="shared" si="3"/>
        <v>37</v>
      </c>
    </row>
    <row r="54" spans="1:6" ht="15.75" x14ac:dyDescent="0.5">
      <c r="A54" s="26" t="s">
        <v>15</v>
      </c>
      <c r="B54" s="23" t="s">
        <v>332</v>
      </c>
      <c r="C54" s="23"/>
    </row>
  </sheetData>
  <mergeCells count="5">
    <mergeCell ref="B3:E3"/>
    <mergeCell ref="B4:E4"/>
    <mergeCell ref="B5:E5"/>
    <mergeCell ref="B6:E6"/>
    <mergeCell ref="B2:E2"/>
  </mergeCells>
  <printOptions horizontalCentered="1"/>
  <pageMargins left="0.25" right="0.25" top="0.5" bottom="0.5" header="0.35" footer="0.25"/>
  <pageSetup scale="70" orientation="portrait" r:id="rId1"/>
  <headerFooter scaleWithDoc="0" alignWithMargins="0">
    <oddHeader>&amp;C&amp;"Times New Roman,Bold"REVISED</oddHeader>
    <oddFooter>&amp;CPage 3&amp;R&amp;F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66F-B29C-4CA8-8780-A2635AF8E741}">
  <sheetPr>
    <pageSetUpPr fitToPage="1"/>
  </sheetPr>
  <dimension ref="A2:I52"/>
  <sheetViews>
    <sheetView zoomScale="80" zoomScaleNormal="80" workbookViewId="0"/>
  </sheetViews>
  <sheetFormatPr defaultColWidth="8.73046875" defaultRowHeight="15.4" x14ac:dyDescent="0.45"/>
  <cols>
    <col min="1" max="1" width="5.06640625" style="494" customWidth="1"/>
    <col min="2" max="2" width="69.73046875" style="444" customWidth="1"/>
    <col min="3" max="3" width="14.796875" style="444" customWidth="1"/>
    <col min="4" max="4" width="45.796875" style="444" customWidth="1"/>
    <col min="5" max="5" width="5.06640625" style="494" customWidth="1"/>
    <col min="6" max="16384" width="8.73046875" style="444"/>
  </cols>
  <sheetData>
    <row r="2" spans="1:7" x14ac:dyDescent="0.45">
      <c r="A2" s="202"/>
      <c r="B2" s="980" t="s">
        <v>19</v>
      </c>
      <c r="C2" s="980"/>
      <c r="D2" s="980"/>
      <c r="E2" s="962"/>
    </row>
    <row r="3" spans="1:7" x14ac:dyDescent="0.45">
      <c r="B3" s="980" t="s">
        <v>513</v>
      </c>
      <c r="C3" s="980"/>
      <c r="D3" s="980"/>
      <c r="E3" s="374"/>
    </row>
    <row r="4" spans="1:7" x14ac:dyDescent="0.45">
      <c r="B4" s="980" t="s">
        <v>327</v>
      </c>
      <c r="C4" s="980"/>
      <c r="D4" s="980"/>
      <c r="E4" s="374"/>
    </row>
    <row r="5" spans="1:7" x14ac:dyDescent="0.45">
      <c r="A5" s="202"/>
      <c r="B5" s="982" t="s">
        <v>570</v>
      </c>
      <c r="C5" s="982"/>
      <c r="D5" s="982"/>
      <c r="E5" s="202"/>
    </row>
    <row r="6" spans="1:7" x14ac:dyDescent="0.45">
      <c r="B6" s="981" t="s">
        <v>1</v>
      </c>
      <c r="C6" s="980"/>
      <c r="D6" s="980"/>
      <c r="E6" s="374"/>
    </row>
    <row r="7" spans="1:7" ht="15.75" thickBot="1" x14ac:dyDescent="0.5">
      <c r="A7" s="202"/>
      <c r="B7" s="370"/>
      <c r="C7" s="445"/>
      <c r="D7" s="445"/>
      <c r="E7" s="202"/>
    </row>
    <row r="8" spans="1:7" x14ac:dyDescent="0.45">
      <c r="A8" s="204" t="s">
        <v>2</v>
      </c>
      <c r="B8" s="205"/>
      <c r="C8" s="256" t="s">
        <v>328</v>
      </c>
      <c r="D8" s="257"/>
      <c r="E8" s="208" t="s">
        <v>2</v>
      </c>
    </row>
    <row r="9" spans="1:7" x14ac:dyDescent="0.45">
      <c r="A9" s="204" t="s">
        <v>6</v>
      </c>
      <c r="B9" s="364" t="s">
        <v>514</v>
      </c>
      <c r="C9" s="364" t="s">
        <v>329</v>
      </c>
      <c r="D9" s="523" t="s">
        <v>5</v>
      </c>
      <c r="E9" s="208" t="s">
        <v>6</v>
      </c>
    </row>
    <row r="10" spans="1:7" x14ac:dyDescent="0.45">
      <c r="A10" s="204"/>
      <c r="B10" s="209"/>
      <c r="C10" s="258"/>
      <c r="D10" s="259"/>
      <c r="E10" s="208"/>
    </row>
    <row r="11" spans="1:7" x14ac:dyDescent="0.45">
      <c r="A11" s="204">
        <v>1</v>
      </c>
      <c r="B11" s="226" t="s">
        <v>218</v>
      </c>
      <c r="C11" s="260">
        <v>62.686206898393017</v>
      </c>
      <c r="D11" s="261" t="s">
        <v>712</v>
      </c>
      <c r="E11" s="208">
        <f>A11</f>
        <v>1</v>
      </c>
      <c r="G11" s="499"/>
    </row>
    <row r="12" spans="1:7" x14ac:dyDescent="0.45">
      <c r="A12" s="204">
        <f>A11+1</f>
        <v>2</v>
      </c>
      <c r="B12" s="237"/>
      <c r="C12" s="262"/>
      <c r="D12" s="263"/>
      <c r="E12" s="208">
        <f>E11+1</f>
        <v>2</v>
      </c>
    </row>
    <row r="13" spans="1:7" x14ac:dyDescent="0.45">
      <c r="A13" s="204">
        <f t="shared" ref="A13:A26" si="0">A12+1</f>
        <v>3</v>
      </c>
      <c r="B13" s="226" t="s">
        <v>219</v>
      </c>
      <c r="C13" s="264">
        <v>1604.3236508795703</v>
      </c>
      <c r="D13" s="261" t="s">
        <v>713</v>
      </c>
      <c r="E13" s="208">
        <f t="shared" ref="E13:E26" si="1">E12+1</f>
        <v>3</v>
      </c>
      <c r="G13" s="500"/>
    </row>
    <row r="14" spans="1:7" x14ac:dyDescent="0.45">
      <c r="A14" s="204">
        <f t="shared" si="0"/>
        <v>4</v>
      </c>
      <c r="B14" s="237"/>
      <c r="C14" s="262"/>
      <c r="D14" s="265"/>
      <c r="E14" s="208">
        <f t="shared" si="1"/>
        <v>4</v>
      </c>
    </row>
    <row r="15" spans="1:7" x14ac:dyDescent="0.45">
      <c r="A15" s="204">
        <f t="shared" si="0"/>
        <v>5</v>
      </c>
      <c r="B15" s="224" t="s">
        <v>220</v>
      </c>
      <c r="C15" s="267">
        <v>786.61088461860368</v>
      </c>
      <c r="D15" s="216" t="s">
        <v>714</v>
      </c>
      <c r="E15" s="208">
        <f t="shared" si="1"/>
        <v>5</v>
      </c>
      <c r="G15" s="500"/>
    </row>
    <row r="16" spans="1:7" x14ac:dyDescent="0.45">
      <c r="A16" s="204">
        <f t="shared" si="0"/>
        <v>6</v>
      </c>
      <c r="B16" s="226"/>
      <c r="C16" s="262"/>
      <c r="D16" s="266"/>
      <c r="E16" s="208">
        <f t="shared" si="1"/>
        <v>6</v>
      </c>
    </row>
    <row r="17" spans="1:9" x14ac:dyDescent="0.45">
      <c r="A17" s="204">
        <f t="shared" si="0"/>
        <v>7</v>
      </c>
      <c r="B17" s="226" t="s">
        <v>221</v>
      </c>
      <c r="C17" s="262"/>
      <c r="D17" s="266"/>
      <c r="E17" s="208">
        <f t="shared" si="1"/>
        <v>7</v>
      </c>
    </row>
    <row r="18" spans="1:9" x14ac:dyDescent="0.45">
      <c r="A18" s="204">
        <f t="shared" si="0"/>
        <v>8</v>
      </c>
      <c r="B18" s="226"/>
      <c r="C18" s="262"/>
      <c r="D18" s="268"/>
      <c r="E18" s="208">
        <f t="shared" si="1"/>
        <v>8</v>
      </c>
    </row>
    <row r="19" spans="1:9" x14ac:dyDescent="0.45">
      <c r="A19" s="204">
        <f t="shared" si="0"/>
        <v>9</v>
      </c>
      <c r="B19" s="213" t="s">
        <v>330</v>
      </c>
      <c r="C19" s="524">
        <v>954.13871884376624</v>
      </c>
      <c r="D19" s="269" t="s">
        <v>715</v>
      </c>
      <c r="E19" s="208">
        <f t="shared" si="1"/>
        <v>9</v>
      </c>
      <c r="G19" s="499"/>
    </row>
    <row r="20" spans="1:9" x14ac:dyDescent="0.45">
      <c r="A20" s="204">
        <f t="shared" si="0"/>
        <v>10</v>
      </c>
      <c r="B20" s="213"/>
      <c r="C20" s="525"/>
      <c r="D20" s="269"/>
      <c r="E20" s="208">
        <f t="shared" si="1"/>
        <v>10</v>
      </c>
    </row>
    <row r="21" spans="1:9" x14ac:dyDescent="0.45">
      <c r="A21" s="204">
        <f t="shared" si="0"/>
        <v>11</v>
      </c>
      <c r="B21" s="226" t="s">
        <v>222</v>
      </c>
      <c r="C21" s="502"/>
      <c r="D21" s="225"/>
      <c r="E21" s="208">
        <f t="shared" si="1"/>
        <v>11</v>
      </c>
    </row>
    <row r="22" spans="1:9" x14ac:dyDescent="0.45">
      <c r="A22" s="204">
        <f t="shared" si="0"/>
        <v>12</v>
      </c>
      <c r="B22" s="224"/>
      <c r="C22" s="229"/>
      <c r="D22" s="269"/>
      <c r="E22" s="208">
        <f t="shared" si="1"/>
        <v>12</v>
      </c>
    </row>
    <row r="23" spans="1:9" x14ac:dyDescent="0.45">
      <c r="A23" s="204">
        <f t="shared" si="0"/>
        <v>13</v>
      </c>
      <c r="B23" s="213" t="s">
        <v>718</v>
      </c>
      <c r="C23" s="504">
        <v>59.690370497349754</v>
      </c>
      <c r="D23" s="225" t="s">
        <v>716</v>
      </c>
      <c r="E23" s="208">
        <f t="shared" si="1"/>
        <v>13</v>
      </c>
      <c r="G23" s="500"/>
    </row>
    <row r="24" spans="1:9" x14ac:dyDescent="0.45">
      <c r="A24" s="204">
        <f t="shared" si="0"/>
        <v>14</v>
      </c>
      <c r="B24" s="445"/>
      <c r="C24" s="231"/>
      <c r="D24" s="269"/>
      <c r="E24" s="208">
        <f t="shared" si="1"/>
        <v>14</v>
      </c>
    </row>
    <row r="25" spans="1:9" ht="15.75" thickBot="1" x14ac:dyDescent="0.5">
      <c r="A25" s="204">
        <f t="shared" si="0"/>
        <v>15</v>
      </c>
      <c r="B25" s="237" t="s">
        <v>719</v>
      </c>
      <c r="C25" s="963">
        <f>C11+C13+C15+C19+C23</f>
        <v>3467.4498317376829</v>
      </c>
      <c r="D25" s="505" t="s">
        <v>717</v>
      </c>
      <c r="E25" s="208">
        <f t="shared" si="1"/>
        <v>15</v>
      </c>
      <c r="H25" s="499"/>
      <c r="I25" s="506"/>
    </row>
    <row r="26" spans="1:9" ht="16.149999999999999" thickTop="1" thickBot="1" x14ac:dyDescent="0.5">
      <c r="A26" s="204">
        <f t="shared" si="0"/>
        <v>16</v>
      </c>
      <c r="B26" s="233"/>
      <c r="C26" s="233"/>
      <c r="D26" s="270"/>
      <c r="E26" s="208">
        <f t="shared" si="1"/>
        <v>16</v>
      </c>
    </row>
    <row r="28" spans="1:9" ht="15.75" thickBot="1" x14ac:dyDescent="0.5">
      <c r="A28" s="202"/>
      <c r="B28" s="378"/>
      <c r="C28" s="507"/>
      <c r="D28" s="507"/>
      <c r="E28" s="202"/>
    </row>
    <row r="29" spans="1:9" x14ac:dyDescent="0.45">
      <c r="A29" s="508"/>
      <c r="B29" s="509"/>
      <c r="C29" s="256"/>
      <c r="D29" s="526"/>
      <c r="E29" s="511"/>
    </row>
    <row r="30" spans="1:9" x14ac:dyDescent="0.45">
      <c r="A30" s="204" t="s">
        <v>2</v>
      </c>
      <c r="B30" s="236"/>
      <c r="C30" s="236" t="s">
        <v>328</v>
      </c>
      <c r="D30" s="263"/>
      <c r="E30" s="208" t="s">
        <v>2</v>
      </c>
    </row>
    <row r="31" spans="1:9" x14ac:dyDescent="0.45">
      <c r="A31" s="204" t="s">
        <v>6</v>
      </c>
      <c r="B31" s="364" t="s">
        <v>518</v>
      </c>
      <c r="C31" s="364" t="s">
        <v>329</v>
      </c>
      <c r="D31" s="523" t="s">
        <v>5</v>
      </c>
      <c r="E31" s="208" t="s">
        <v>6</v>
      </c>
    </row>
    <row r="32" spans="1:9" x14ac:dyDescent="0.45">
      <c r="A32" s="204">
        <f>A26+1</f>
        <v>17</v>
      </c>
      <c r="B32" s="237"/>
      <c r="C32" s="258"/>
      <c r="D32" s="259"/>
      <c r="E32" s="208">
        <f>E26+1</f>
        <v>17</v>
      </c>
    </row>
    <row r="33" spans="1:5" x14ac:dyDescent="0.45">
      <c r="A33" s="204">
        <f>A32+1</f>
        <v>18</v>
      </c>
      <c r="B33" s="226" t="str">
        <f>B11</f>
        <v>Section 1 - Direct Maintenance Expense Cost Component</v>
      </c>
      <c r="C33" s="271">
        <f>C11/12</f>
        <v>5.2238505748660851</v>
      </c>
      <c r="D33" s="261" t="str">
        <f>"Line "&amp;A11&amp;" Above / 12 Months"</f>
        <v>Line 1 Above / 12 Months</v>
      </c>
      <c r="E33" s="208">
        <f>E32+1</f>
        <v>18</v>
      </c>
    </row>
    <row r="34" spans="1:5" x14ac:dyDescent="0.45">
      <c r="A34" s="204">
        <f t="shared" ref="A34:A52" si="2">A33+1</f>
        <v>19</v>
      </c>
      <c r="B34" s="237"/>
      <c r="C34" s="272"/>
      <c r="D34" s="273"/>
      <c r="E34" s="208">
        <f t="shared" ref="E34:E52" si="3">E33+1</f>
        <v>19</v>
      </c>
    </row>
    <row r="35" spans="1:5" x14ac:dyDescent="0.45">
      <c r="A35" s="204">
        <f t="shared" si="2"/>
        <v>20</v>
      </c>
      <c r="B35" s="226" t="str">
        <f>B13</f>
        <v>Section 2 - Non-Direct Expense Cost Component</v>
      </c>
      <c r="C35" s="274">
        <f>C13/12</f>
        <v>133.69363757329754</v>
      </c>
      <c r="D35" s="261" t="str">
        <f>"Line "&amp;A13&amp;" Above / 12 Months"</f>
        <v>Line 3 Above / 12 Months</v>
      </c>
      <c r="E35" s="208">
        <f t="shared" si="3"/>
        <v>20</v>
      </c>
    </row>
    <row r="36" spans="1:5" x14ac:dyDescent="0.45">
      <c r="A36" s="204">
        <f t="shared" si="2"/>
        <v>21</v>
      </c>
      <c r="B36" s="237"/>
      <c r="C36" s="272"/>
      <c r="D36" s="275"/>
      <c r="E36" s="208">
        <f t="shared" si="3"/>
        <v>21</v>
      </c>
    </row>
    <row r="37" spans="1:5" x14ac:dyDescent="0.45">
      <c r="A37" s="204">
        <f t="shared" si="2"/>
        <v>22</v>
      </c>
      <c r="B37" s="226" t="str">
        <f>B15</f>
        <v>Section 3 - Cost Component Containing Other Specific Expenses</v>
      </c>
      <c r="C37" s="274">
        <f>C15/12</f>
        <v>65.550907051550311</v>
      </c>
      <c r="D37" s="261" t="str">
        <f>"Line "&amp;A15&amp;" Above / 12 Months"</f>
        <v>Line 5 Above / 12 Months</v>
      </c>
      <c r="E37" s="208">
        <f t="shared" si="3"/>
        <v>22</v>
      </c>
    </row>
    <row r="38" spans="1:5" x14ac:dyDescent="0.45">
      <c r="A38" s="204">
        <f t="shared" si="2"/>
        <v>23</v>
      </c>
      <c r="B38" s="237"/>
      <c r="C38" s="272"/>
      <c r="D38" s="265"/>
      <c r="E38" s="208">
        <f t="shared" si="3"/>
        <v>23</v>
      </c>
    </row>
    <row r="39" spans="1:5" x14ac:dyDescent="0.45">
      <c r="A39" s="204">
        <f t="shared" si="2"/>
        <v>24</v>
      </c>
      <c r="B39" s="226" t="str">
        <f>LEFT(B17,45)</f>
        <v>Section 4 - True-Up Adjustment Cost Component</v>
      </c>
      <c r="C39" s="272"/>
      <c r="D39" s="276"/>
      <c r="E39" s="208">
        <f t="shared" si="3"/>
        <v>24</v>
      </c>
    </row>
    <row r="40" spans="1:5" x14ac:dyDescent="0.45">
      <c r="A40" s="204">
        <f t="shared" si="2"/>
        <v>25</v>
      </c>
      <c r="B40" s="226"/>
      <c r="C40" s="272"/>
      <c r="D40" s="276"/>
      <c r="E40" s="208">
        <f t="shared" si="3"/>
        <v>25</v>
      </c>
    </row>
    <row r="41" spans="1:5" x14ac:dyDescent="0.45">
      <c r="A41" s="204">
        <f t="shared" si="2"/>
        <v>26</v>
      </c>
      <c r="B41" s="213" t="str">
        <f>B19</f>
        <v xml:space="preserve">   True-Up Adjustment derived in Cycle 8</v>
      </c>
      <c r="C41" s="274">
        <f>C19/12</f>
        <v>79.511559903647182</v>
      </c>
      <c r="D41" s="261" t="str">
        <f>"Line "&amp;A19&amp;" Above / 12 Months"</f>
        <v>Line 9 Above / 12 Months</v>
      </c>
      <c r="E41" s="208">
        <f t="shared" si="3"/>
        <v>26</v>
      </c>
    </row>
    <row r="42" spans="1:5" x14ac:dyDescent="0.45">
      <c r="A42" s="204">
        <f t="shared" si="2"/>
        <v>27</v>
      </c>
      <c r="B42" s="213"/>
      <c r="C42" s="527"/>
      <c r="D42" s="269"/>
      <c r="E42" s="208">
        <f t="shared" si="3"/>
        <v>27</v>
      </c>
    </row>
    <row r="43" spans="1:5" x14ac:dyDescent="0.45">
      <c r="A43" s="204">
        <f t="shared" si="2"/>
        <v>28</v>
      </c>
      <c r="B43" s="226" t="str">
        <f>B21</f>
        <v>Section 5 - Interest True-Up Adjustment Cost Component</v>
      </c>
      <c r="C43" s="514"/>
      <c r="D43" s="277"/>
      <c r="E43" s="208">
        <f t="shared" si="3"/>
        <v>28</v>
      </c>
    </row>
    <row r="44" spans="1:5" x14ac:dyDescent="0.45">
      <c r="A44" s="204">
        <f t="shared" si="2"/>
        <v>29</v>
      </c>
      <c r="B44" s="226"/>
      <c r="C44" s="514"/>
      <c r="D44" s="277"/>
      <c r="E44" s="208">
        <f t="shared" si="3"/>
        <v>29</v>
      </c>
    </row>
    <row r="45" spans="1:5" x14ac:dyDescent="0.45">
      <c r="A45" s="204">
        <f t="shared" si="2"/>
        <v>30</v>
      </c>
      <c r="B45" s="222" t="str">
        <f>B23</f>
        <v xml:space="preserve">   Cycle 7 Interest True-Up Adjustment</v>
      </c>
      <c r="C45" s="516">
        <f>C23/12</f>
        <v>4.9741975414458128</v>
      </c>
      <c r="D45" s="216" t="str">
        <f>"Line "&amp;A23&amp;" Above / 12 Months"</f>
        <v>Line 13 Above / 12 Months</v>
      </c>
      <c r="E45" s="208">
        <f t="shared" si="3"/>
        <v>30</v>
      </c>
    </row>
    <row r="46" spans="1:5" x14ac:dyDescent="0.45">
      <c r="A46" s="204">
        <f t="shared" si="2"/>
        <v>31</v>
      </c>
      <c r="B46" s="237"/>
      <c r="C46" s="528"/>
      <c r="D46" s="263"/>
      <c r="E46" s="208">
        <f t="shared" si="3"/>
        <v>31</v>
      </c>
    </row>
    <row r="47" spans="1:5" ht="15.75" thickBot="1" x14ac:dyDescent="0.5">
      <c r="A47" s="204">
        <f t="shared" si="2"/>
        <v>32</v>
      </c>
      <c r="B47" s="237" t="s">
        <v>720</v>
      </c>
      <c r="C47" s="520">
        <f>C33+C35+C37+C41+C45</f>
        <v>288.95415264480692</v>
      </c>
      <c r="D47" s="269" t="str">
        <f>"Sum Lines "&amp;A33&amp;" thru "&amp;A45&amp;""</f>
        <v>Sum Lines 18 thru 30</v>
      </c>
      <c r="E47" s="208">
        <f t="shared" si="3"/>
        <v>32</v>
      </c>
    </row>
    <row r="48" spans="1:5" ht="15.75" thickTop="1" x14ac:dyDescent="0.45">
      <c r="A48" s="204">
        <f t="shared" si="2"/>
        <v>33</v>
      </c>
      <c r="B48" s="237"/>
      <c r="C48" s="248"/>
      <c r="D48" s="278"/>
      <c r="E48" s="208">
        <f t="shared" si="3"/>
        <v>33</v>
      </c>
    </row>
    <row r="49" spans="1:5" x14ac:dyDescent="0.45">
      <c r="A49" s="204">
        <f t="shared" si="2"/>
        <v>34</v>
      </c>
      <c r="B49" s="217" t="s">
        <v>721</v>
      </c>
      <c r="C49" s="521">
        <v>12</v>
      </c>
      <c r="D49" s="278"/>
      <c r="E49" s="208">
        <f t="shared" si="3"/>
        <v>34</v>
      </c>
    </row>
    <row r="50" spans="1:5" x14ac:dyDescent="0.45">
      <c r="A50" s="204">
        <f t="shared" si="2"/>
        <v>35</v>
      </c>
      <c r="B50" s="237"/>
      <c r="C50" s="248"/>
      <c r="D50" s="279"/>
      <c r="E50" s="208">
        <f t="shared" si="3"/>
        <v>35</v>
      </c>
    </row>
    <row r="51" spans="1:5" ht="15.75" thickBot="1" x14ac:dyDescent="0.5">
      <c r="A51" s="204">
        <f t="shared" si="2"/>
        <v>36</v>
      </c>
      <c r="B51" s="217" t="str">
        <f>B25</f>
        <v>Total Citizens' Cycle 8 Annual Costs</v>
      </c>
      <c r="C51" s="529">
        <f>C47*C49</f>
        <v>3467.4498317376829</v>
      </c>
      <c r="D51" s="269" t="str">
        <f>"Line "&amp;A47&amp;" x Line "&amp;A49</f>
        <v>Line 32 x Line 34</v>
      </c>
      <c r="E51" s="208">
        <f t="shared" si="3"/>
        <v>36</v>
      </c>
    </row>
    <row r="52" spans="1:5" ht="16.149999999999999" thickTop="1" thickBot="1" x14ac:dyDescent="0.5">
      <c r="A52" s="204">
        <f t="shared" si="2"/>
        <v>37</v>
      </c>
      <c r="B52" s="203"/>
      <c r="C52" s="253"/>
      <c r="D52" s="280"/>
      <c r="E52" s="208">
        <f t="shared" si="3"/>
        <v>37</v>
      </c>
    </row>
  </sheetData>
  <mergeCells count="5">
    <mergeCell ref="B3:D3"/>
    <mergeCell ref="B4:D4"/>
    <mergeCell ref="B5:D5"/>
    <mergeCell ref="B6:D6"/>
    <mergeCell ref="B2:D2"/>
  </mergeCells>
  <printOptions horizontalCentered="1"/>
  <pageMargins left="0.25" right="0.25" top="0.5" bottom="0.5" header="0.35" footer="0.25"/>
  <pageSetup scale="72" orientation="portrait" r:id="rId1"/>
  <headerFooter scaleWithDoc="0" alignWithMargins="0">
    <oddHeader>&amp;C&amp;"Times New Roman,Bold"AS FILED</oddHeader>
    <oddFooter>&amp;CPage 4&amp;R&amp;F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243"/>
  <sheetViews>
    <sheetView zoomScale="80" zoomScaleNormal="80" workbookViewId="0"/>
  </sheetViews>
  <sheetFormatPr defaultColWidth="8.73046875" defaultRowHeight="15.4" x14ac:dyDescent="0.45"/>
  <cols>
    <col min="1" max="1" width="5.06640625" style="530" customWidth="1"/>
    <col min="2" max="2" width="93.06640625" style="444" bestFit="1" customWidth="1"/>
    <col min="3" max="3" width="10.33203125" style="444" customWidth="1"/>
    <col min="4" max="4" width="1.59765625" style="444" customWidth="1"/>
    <col min="5" max="5" width="16.796875" style="444" customWidth="1"/>
    <col min="6" max="6" width="1.59765625" style="444" customWidth="1"/>
    <col min="7" max="7" width="43.33203125" style="444" customWidth="1"/>
    <col min="8" max="8" width="5.06640625" style="494" customWidth="1"/>
    <col min="9" max="9" width="8.73046875" style="444"/>
    <col min="10" max="10" width="9.796875" style="444" bestFit="1" customWidth="1"/>
    <col min="11" max="16384" width="8.73046875" style="444"/>
  </cols>
  <sheetData>
    <row r="1" spans="1:8" x14ac:dyDescent="0.45">
      <c r="A1" s="376"/>
      <c r="B1" s="377"/>
      <c r="C1" s="377"/>
      <c r="D1" s="377"/>
      <c r="E1" s="378"/>
      <c r="F1" s="378"/>
      <c r="G1" s="497"/>
      <c r="H1" s="202"/>
    </row>
    <row r="2" spans="1:8" x14ac:dyDescent="0.45">
      <c r="B2" s="983" t="s">
        <v>19</v>
      </c>
      <c r="C2" s="983"/>
      <c r="D2" s="983"/>
      <c r="E2" s="983"/>
      <c r="F2" s="983"/>
      <c r="G2" s="983"/>
      <c r="H2" s="376"/>
    </row>
    <row r="3" spans="1:8" x14ac:dyDescent="0.45">
      <c r="B3" s="983" t="s">
        <v>333</v>
      </c>
      <c r="C3" s="983"/>
      <c r="D3" s="983"/>
      <c r="E3" s="983"/>
      <c r="F3" s="983"/>
      <c r="G3" s="983"/>
      <c r="H3" s="376"/>
    </row>
    <row r="4" spans="1:8" x14ac:dyDescent="0.45">
      <c r="B4" s="983" t="s">
        <v>334</v>
      </c>
      <c r="C4" s="983"/>
      <c r="D4" s="983"/>
      <c r="E4" s="983"/>
      <c r="F4" s="983"/>
      <c r="G4" s="983"/>
      <c r="H4" s="376"/>
    </row>
    <row r="5" spans="1:8" x14ac:dyDescent="0.45">
      <c r="B5" s="984" t="s">
        <v>569</v>
      </c>
      <c r="C5" s="984"/>
      <c r="D5" s="984"/>
      <c r="E5" s="984"/>
      <c r="F5" s="984"/>
      <c r="G5" s="984"/>
      <c r="H5" s="376"/>
    </row>
    <row r="6" spans="1:8" x14ac:dyDescent="0.45">
      <c r="B6" s="985" t="s">
        <v>1</v>
      </c>
      <c r="C6" s="985"/>
      <c r="D6" s="985"/>
      <c r="E6" s="985"/>
      <c r="F6" s="985"/>
      <c r="G6" s="985"/>
      <c r="H6" s="379"/>
    </row>
    <row r="7" spans="1:8" x14ac:dyDescent="0.45">
      <c r="A7" s="380"/>
      <c r="B7" s="903"/>
      <c r="C7" s="903"/>
      <c r="D7" s="903"/>
      <c r="E7" s="903"/>
      <c r="F7" s="903"/>
      <c r="G7" s="378"/>
      <c r="H7" s="202"/>
    </row>
    <row r="8" spans="1:8" x14ac:dyDescent="0.45">
      <c r="A8" s="381" t="s">
        <v>2</v>
      </c>
      <c r="B8" s="377"/>
      <c r="C8" s="377"/>
      <c r="D8" s="377"/>
      <c r="E8" s="903"/>
      <c r="F8" s="903"/>
      <c r="G8" s="377"/>
      <c r="H8" s="381" t="s">
        <v>2</v>
      </c>
    </row>
    <row r="9" spans="1:8" x14ac:dyDescent="0.45">
      <c r="A9" s="381" t="s">
        <v>6</v>
      </c>
      <c r="B9" s="377"/>
      <c r="C9" s="377"/>
      <c r="D9" s="377"/>
      <c r="E9" s="531" t="s">
        <v>4</v>
      </c>
      <c r="F9" s="382"/>
      <c r="G9" s="531" t="s">
        <v>5</v>
      </c>
      <c r="H9" s="381" t="s">
        <v>6</v>
      </c>
    </row>
    <row r="10" spans="1:8" x14ac:dyDescent="0.45">
      <c r="A10" s="381"/>
      <c r="B10" s="377"/>
      <c r="C10" s="377"/>
      <c r="D10" s="377"/>
      <c r="E10" s="903"/>
      <c r="F10" s="382"/>
      <c r="G10" s="903"/>
      <c r="H10" s="381"/>
    </row>
    <row r="11" spans="1:8" x14ac:dyDescent="0.45">
      <c r="A11" s="381">
        <v>1</v>
      </c>
      <c r="B11" s="383" t="s">
        <v>275</v>
      </c>
      <c r="C11" s="383"/>
      <c r="D11" s="383"/>
      <c r="E11" s="378"/>
      <c r="F11" s="378"/>
      <c r="G11" s="903"/>
      <c r="H11" s="381">
        <f>A11</f>
        <v>1</v>
      </c>
    </row>
    <row r="12" spans="1:8" x14ac:dyDescent="0.45">
      <c r="A12" s="381">
        <f>A11+1</f>
        <v>2</v>
      </c>
      <c r="B12" s="384" t="s">
        <v>335</v>
      </c>
      <c r="C12" s="385"/>
      <c r="D12" s="385"/>
      <c r="E12" s="389">
        <f>E60</f>
        <v>5.6512658906676142E-3</v>
      </c>
      <c r="F12" s="390"/>
      <c r="G12" s="386" t="str">
        <f>"Page 2; Line "&amp;A60</f>
        <v>Page 2; Line 6</v>
      </c>
      <c r="H12" s="381">
        <f>H11+1</f>
        <v>2</v>
      </c>
    </row>
    <row r="13" spans="1:8" x14ac:dyDescent="0.45">
      <c r="A13" s="381">
        <f t="shared" ref="A13:A41" si="0">A12+1</f>
        <v>3</v>
      </c>
      <c r="B13" s="377"/>
      <c r="C13" s="387"/>
      <c r="D13" s="387"/>
      <c r="E13" s="388"/>
      <c r="F13" s="382"/>
      <c r="G13" s="386"/>
      <c r="H13" s="381">
        <f t="shared" ref="H13:H41" si="1">H12+1</f>
        <v>3</v>
      </c>
    </row>
    <row r="14" spans="1:8" x14ac:dyDescent="0.45">
      <c r="A14" s="381">
        <f t="shared" si="0"/>
        <v>4</v>
      </c>
      <c r="B14" s="384" t="s">
        <v>336</v>
      </c>
      <c r="C14" s="385"/>
      <c r="D14" s="385"/>
      <c r="E14" s="532">
        <f>E64</f>
        <v>1.0008484217312065E-3</v>
      </c>
      <c r="F14" s="533"/>
      <c r="G14" s="386" t="str">
        <f>"Page 2; Line "&amp;A64</f>
        <v>Page 2; Line 10</v>
      </c>
      <c r="H14" s="381">
        <f t="shared" si="1"/>
        <v>4</v>
      </c>
    </row>
    <row r="15" spans="1:8" x14ac:dyDescent="0.45">
      <c r="A15" s="381">
        <f t="shared" si="0"/>
        <v>5</v>
      </c>
      <c r="B15" s="377"/>
      <c r="C15" s="387"/>
      <c r="D15" s="387"/>
      <c r="E15" s="388"/>
      <c r="F15" s="382"/>
      <c r="G15" s="386"/>
      <c r="H15" s="381">
        <f t="shared" si="1"/>
        <v>5</v>
      </c>
    </row>
    <row r="16" spans="1:8" x14ac:dyDescent="0.45">
      <c r="A16" s="381">
        <f t="shared" si="0"/>
        <v>6</v>
      </c>
      <c r="B16" s="384" t="s">
        <v>337</v>
      </c>
      <c r="C16" s="385"/>
      <c r="D16" s="385"/>
      <c r="E16" s="389">
        <f>E71</f>
        <v>6.286187070103649E-3</v>
      </c>
      <c r="F16" s="390"/>
      <c r="G16" s="386" t="str">
        <f>"Page 2; Line "&amp;A71</f>
        <v>Page 2; Line 17</v>
      </c>
      <c r="H16" s="381">
        <f t="shared" si="1"/>
        <v>6</v>
      </c>
    </row>
    <row r="17" spans="1:8" x14ac:dyDescent="0.45">
      <c r="A17" s="381">
        <f t="shared" si="0"/>
        <v>7</v>
      </c>
      <c r="B17" s="378"/>
      <c r="C17" s="380"/>
      <c r="D17" s="380"/>
      <c r="E17" s="391"/>
      <c r="F17" s="392"/>
      <c r="G17" s="386"/>
      <c r="H17" s="381">
        <f t="shared" si="1"/>
        <v>7</v>
      </c>
    </row>
    <row r="18" spans="1:8" x14ac:dyDescent="0.45">
      <c r="A18" s="381">
        <f t="shared" si="0"/>
        <v>8</v>
      </c>
      <c r="B18" s="384" t="s">
        <v>338</v>
      </c>
      <c r="C18" s="385"/>
      <c r="D18" s="385"/>
      <c r="E18" s="389">
        <f>E76</f>
        <v>2.4204762540464936E-4</v>
      </c>
      <c r="F18" s="390"/>
      <c r="G18" s="386" t="str">
        <f>"Page 2; Line "&amp;A76</f>
        <v>Page 2; Line 22</v>
      </c>
      <c r="H18" s="381">
        <f t="shared" si="1"/>
        <v>8</v>
      </c>
    </row>
    <row r="19" spans="1:8" x14ac:dyDescent="0.45">
      <c r="A19" s="381">
        <f t="shared" si="0"/>
        <v>9</v>
      </c>
      <c r="B19" s="377"/>
      <c r="C19" s="387"/>
      <c r="D19" s="387"/>
      <c r="E19" s="388"/>
      <c r="F19" s="382"/>
      <c r="G19" s="386"/>
      <c r="H19" s="381">
        <f t="shared" si="1"/>
        <v>9</v>
      </c>
    </row>
    <row r="20" spans="1:8" x14ac:dyDescent="0.45">
      <c r="A20" s="381">
        <f t="shared" si="0"/>
        <v>10</v>
      </c>
      <c r="B20" s="384" t="s">
        <v>339</v>
      </c>
      <c r="C20" s="385"/>
      <c r="D20" s="385"/>
      <c r="E20" s="389">
        <f>E79</f>
        <v>4.0074009905793568E-3</v>
      </c>
      <c r="F20" s="390"/>
      <c r="G20" s="386" t="str">
        <f>"Page 2; Line "&amp;A79</f>
        <v>Page 2; Line 25</v>
      </c>
      <c r="H20" s="381">
        <f t="shared" si="1"/>
        <v>10</v>
      </c>
    </row>
    <row r="21" spans="1:8" x14ac:dyDescent="0.45">
      <c r="A21" s="381">
        <f t="shared" si="0"/>
        <v>11</v>
      </c>
      <c r="B21" s="377"/>
      <c r="C21" s="387"/>
      <c r="D21" s="387"/>
      <c r="E21" s="388"/>
      <c r="F21" s="382"/>
      <c r="G21" s="386"/>
      <c r="H21" s="381">
        <f t="shared" si="1"/>
        <v>11</v>
      </c>
    </row>
    <row r="22" spans="1:8" x14ac:dyDescent="0.45">
      <c r="A22" s="381">
        <f t="shared" si="0"/>
        <v>12</v>
      </c>
      <c r="B22" s="384" t="s">
        <v>340</v>
      </c>
      <c r="C22" s="385"/>
      <c r="D22" s="385"/>
      <c r="E22" s="534">
        <v>0</v>
      </c>
      <c r="F22" s="382"/>
      <c r="G22" s="386" t="s">
        <v>341</v>
      </c>
      <c r="H22" s="381">
        <f t="shared" si="1"/>
        <v>12</v>
      </c>
    </row>
    <row r="23" spans="1:8" x14ac:dyDescent="0.45">
      <c r="A23" s="381">
        <f t="shared" si="0"/>
        <v>13</v>
      </c>
      <c r="B23" s="377"/>
      <c r="C23" s="387"/>
      <c r="D23" s="387"/>
      <c r="E23" s="388"/>
      <c r="F23" s="382"/>
      <c r="G23" s="386"/>
      <c r="H23" s="381">
        <f t="shared" si="1"/>
        <v>13</v>
      </c>
    </row>
    <row r="24" spans="1:8" x14ac:dyDescent="0.45">
      <c r="A24" s="381">
        <f t="shared" si="0"/>
        <v>14</v>
      </c>
      <c r="B24" s="384" t="s">
        <v>342</v>
      </c>
      <c r="C24" s="385"/>
      <c r="D24" s="385"/>
      <c r="E24" s="535">
        <v>0</v>
      </c>
      <c r="F24" s="382"/>
      <c r="G24" s="386" t="s">
        <v>341</v>
      </c>
      <c r="H24" s="381">
        <f t="shared" si="1"/>
        <v>14</v>
      </c>
    </row>
    <row r="25" spans="1:8" x14ac:dyDescent="0.45">
      <c r="A25" s="381">
        <f t="shared" si="0"/>
        <v>15</v>
      </c>
      <c r="B25" s="377"/>
      <c r="C25" s="387"/>
      <c r="D25" s="387"/>
      <c r="E25" s="388"/>
      <c r="F25" s="382"/>
      <c r="G25" s="386"/>
      <c r="H25" s="381">
        <f t="shared" si="1"/>
        <v>15</v>
      </c>
    </row>
    <row r="26" spans="1:8" x14ac:dyDescent="0.45">
      <c r="A26" s="381">
        <f t="shared" si="0"/>
        <v>16</v>
      </c>
      <c r="B26" s="384" t="s">
        <v>343</v>
      </c>
      <c r="C26" s="385"/>
      <c r="D26" s="385"/>
      <c r="E26" s="534">
        <v>0</v>
      </c>
      <c r="F26" s="382"/>
      <c r="G26" s="386" t="s">
        <v>341</v>
      </c>
      <c r="H26" s="381">
        <f t="shared" si="1"/>
        <v>16</v>
      </c>
    </row>
    <row r="27" spans="1:8" x14ac:dyDescent="0.45">
      <c r="A27" s="381">
        <f t="shared" si="0"/>
        <v>17</v>
      </c>
      <c r="B27" s="377"/>
      <c r="C27" s="387"/>
      <c r="D27" s="387"/>
      <c r="E27" s="388"/>
      <c r="F27" s="382"/>
      <c r="G27" s="386"/>
      <c r="H27" s="381">
        <f t="shared" si="1"/>
        <v>17</v>
      </c>
    </row>
    <row r="28" spans="1:8" x14ac:dyDescent="0.45">
      <c r="A28" s="381">
        <f t="shared" si="0"/>
        <v>18</v>
      </c>
      <c r="B28" s="384" t="s">
        <v>344</v>
      </c>
      <c r="C28" s="385"/>
      <c r="D28" s="385"/>
      <c r="E28" s="536">
        <f>E92</f>
        <v>1.3716867016365763E-3</v>
      </c>
      <c r="F28" s="390"/>
      <c r="G28" s="386" t="str">
        <f>"Page 2; Line "&amp;A92</f>
        <v>Page 2; Line 38</v>
      </c>
      <c r="H28" s="381">
        <f t="shared" si="1"/>
        <v>18</v>
      </c>
    </row>
    <row r="29" spans="1:8" x14ac:dyDescent="0.45">
      <c r="A29" s="381">
        <f t="shared" si="0"/>
        <v>19</v>
      </c>
      <c r="B29" s="537"/>
      <c r="C29" s="538"/>
      <c r="D29" s="538"/>
      <c r="E29" s="905"/>
      <c r="F29" s="394"/>
      <c r="G29" s="386"/>
      <c r="H29" s="381">
        <f t="shared" si="1"/>
        <v>19</v>
      </c>
    </row>
    <row r="30" spans="1:8" x14ac:dyDescent="0.45">
      <c r="A30" s="381">
        <f t="shared" si="0"/>
        <v>20</v>
      </c>
      <c r="B30" s="384" t="s">
        <v>128</v>
      </c>
      <c r="C30" s="385"/>
      <c r="D30" s="385"/>
      <c r="E30" s="539">
        <f>SUM(E12:E28)</f>
        <v>1.8559436700123052E-2</v>
      </c>
      <c r="F30" s="390"/>
      <c r="G30" s="386" t="str">
        <f>"Sum Lines "&amp;A12&amp;" thru "&amp;A28</f>
        <v>Sum Lines 2 thru 18</v>
      </c>
      <c r="H30" s="381">
        <f t="shared" si="1"/>
        <v>20</v>
      </c>
    </row>
    <row r="31" spans="1:8" x14ac:dyDescent="0.45">
      <c r="A31" s="381">
        <f t="shared" si="0"/>
        <v>21</v>
      </c>
      <c r="B31" s="377"/>
      <c r="C31" s="387"/>
      <c r="D31" s="387"/>
      <c r="E31" s="395"/>
      <c r="F31" s="396"/>
      <c r="G31" s="386"/>
      <c r="H31" s="381">
        <f t="shared" si="1"/>
        <v>21</v>
      </c>
    </row>
    <row r="32" spans="1:8" x14ac:dyDescent="0.45">
      <c r="A32" s="381">
        <f t="shared" si="0"/>
        <v>22</v>
      </c>
      <c r="B32" s="378" t="s">
        <v>345</v>
      </c>
      <c r="C32" s="397">
        <v>1.0277E-2</v>
      </c>
      <c r="D32" s="387"/>
      <c r="E32" s="398">
        <f>E30*C32</f>
        <v>1.907353309671646E-4</v>
      </c>
      <c r="F32" s="399"/>
      <c r="G32" s="386" t="str">
        <f>"Line "&amp;A30&amp;" x Franchise Fee Rate"</f>
        <v>Line 20 x Franchise Fee Rate</v>
      </c>
      <c r="H32" s="381">
        <f t="shared" si="1"/>
        <v>22</v>
      </c>
    </row>
    <row r="33" spans="1:8" x14ac:dyDescent="0.45">
      <c r="A33" s="381">
        <f t="shared" si="0"/>
        <v>23</v>
      </c>
      <c r="B33" s="377"/>
      <c r="C33" s="387"/>
      <c r="D33" s="387"/>
      <c r="E33" s="906"/>
      <c r="F33" s="400"/>
      <c r="G33" s="386"/>
      <c r="H33" s="381">
        <f t="shared" si="1"/>
        <v>23</v>
      </c>
    </row>
    <row r="34" spans="1:8" ht="16.149999999999999" thickBot="1" x14ac:dyDescent="0.55000000000000004">
      <c r="A34" s="381">
        <f t="shared" si="0"/>
        <v>24</v>
      </c>
      <c r="B34" s="377" t="s">
        <v>346</v>
      </c>
      <c r="C34" s="387"/>
      <c r="D34" s="387"/>
      <c r="E34" s="907">
        <f>E30+E32</f>
        <v>1.8750172031090216E-2</v>
      </c>
      <c r="F34" s="26" t="s">
        <v>15</v>
      </c>
      <c r="G34" s="386" t="str">
        <f>"Line "&amp;A30&amp;" + Line "&amp;A32</f>
        <v>Line 20 + Line 22</v>
      </c>
      <c r="H34" s="381">
        <f t="shared" si="1"/>
        <v>24</v>
      </c>
    </row>
    <row r="35" spans="1:8" ht="15.75" thickTop="1" x14ac:dyDescent="0.45">
      <c r="A35" s="381">
        <f t="shared" si="0"/>
        <v>25</v>
      </c>
      <c r="B35" s="378"/>
      <c r="C35" s="380"/>
      <c r="D35" s="380"/>
      <c r="E35" s="387"/>
      <c r="F35" s="377"/>
      <c r="G35" s="377"/>
      <c r="H35" s="381">
        <f t="shared" si="1"/>
        <v>25</v>
      </c>
    </row>
    <row r="36" spans="1:8" x14ac:dyDescent="0.45">
      <c r="A36" s="381">
        <f t="shared" si="0"/>
        <v>26</v>
      </c>
      <c r="B36" s="383" t="s">
        <v>347</v>
      </c>
      <c r="C36" s="401"/>
      <c r="D36" s="401"/>
      <c r="E36" s="380"/>
      <c r="F36" s="378"/>
      <c r="G36" s="377"/>
      <c r="H36" s="381">
        <f t="shared" si="1"/>
        <v>26</v>
      </c>
    </row>
    <row r="37" spans="1:8" x14ac:dyDescent="0.45">
      <c r="A37" s="381">
        <f t="shared" si="0"/>
        <v>27</v>
      </c>
      <c r="B37" s="384" t="s">
        <v>519</v>
      </c>
      <c r="C37" s="385"/>
      <c r="D37" s="385"/>
      <c r="E37" s="291">
        <v>85194</v>
      </c>
      <c r="F37" s="382"/>
      <c r="G37" s="386" t="s">
        <v>276</v>
      </c>
      <c r="H37" s="381">
        <f t="shared" si="1"/>
        <v>27</v>
      </c>
    </row>
    <row r="38" spans="1:8" x14ac:dyDescent="0.45">
      <c r="A38" s="381">
        <f t="shared" si="0"/>
        <v>28</v>
      </c>
      <c r="B38" s="384"/>
      <c r="C38" s="385"/>
      <c r="D38" s="385"/>
      <c r="E38" s="385"/>
      <c r="F38" s="384"/>
      <c r="G38" s="386"/>
      <c r="H38" s="381">
        <f t="shared" si="1"/>
        <v>28</v>
      </c>
    </row>
    <row r="39" spans="1:8" ht="15.75" x14ac:dyDescent="0.5">
      <c r="A39" s="381">
        <f t="shared" si="0"/>
        <v>29</v>
      </c>
      <c r="B39" s="384" t="s">
        <v>348</v>
      </c>
      <c r="C39" s="385"/>
      <c r="D39" s="385"/>
      <c r="E39" s="908">
        <f>+E34</f>
        <v>1.8750172031090216E-2</v>
      </c>
      <c r="F39" s="26" t="s">
        <v>15</v>
      </c>
      <c r="G39" s="386" t="str">
        <f>"Line "&amp;A34&amp;" Above"</f>
        <v>Line 24 Above</v>
      </c>
      <c r="H39" s="381">
        <f t="shared" si="1"/>
        <v>29</v>
      </c>
    </row>
    <row r="40" spans="1:8" x14ac:dyDescent="0.45">
      <c r="A40" s="381">
        <f t="shared" si="0"/>
        <v>30</v>
      </c>
      <c r="B40" s="377"/>
      <c r="C40" s="387"/>
      <c r="D40" s="387"/>
      <c r="E40" s="909"/>
      <c r="F40" s="402"/>
      <c r="G40" s="386"/>
      <c r="H40" s="381">
        <f t="shared" si="1"/>
        <v>30</v>
      </c>
    </row>
    <row r="41" spans="1:8" ht="16.149999999999999" thickBot="1" x14ac:dyDescent="0.55000000000000004">
      <c r="A41" s="381">
        <f t="shared" si="0"/>
        <v>31</v>
      </c>
      <c r="B41" s="377" t="s">
        <v>349</v>
      </c>
      <c r="C41" s="385"/>
      <c r="D41" s="385"/>
      <c r="E41" s="403">
        <f>E37*E39</f>
        <v>1597.4021560166998</v>
      </c>
      <c r="F41" s="26" t="s">
        <v>15</v>
      </c>
      <c r="G41" s="386" t="str">
        <f>"Line "&amp;A37&amp;" x Line "&amp;A39</f>
        <v>Line 27 x Line 29</v>
      </c>
      <c r="H41" s="381">
        <f t="shared" si="1"/>
        <v>31</v>
      </c>
    </row>
    <row r="42" spans="1:8" ht="15.75" thickTop="1" x14ac:dyDescent="0.45">
      <c r="A42" s="381"/>
      <c r="B42" s="377"/>
      <c r="C42" s="384"/>
      <c r="D42" s="384"/>
      <c r="E42" s="404"/>
      <c r="F42" s="405"/>
      <c r="G42" s="386"/>
      <c r="H42" s="381"/>
    </row>
    <row r="43" spans="1:8" ht="15.75" x14ac:dyDescent="0.5">
      <c r="A43" s="26" t="s">
        <v>15</v>
      </c>
      <c r="B43" s="23" t="s">
        <v>332</v>
      </c>
      <c r="C43" s="384"/>
      <c r="D43" s="384"/>
      <c r="E43" s="404"/>
      <c r="F43" s="405"/>
      <c r="G43" s="386"/>
      <c r="H43" s="381"/>
    </row>
    <row r="44" spans="1:8" ht="15.75" x14ac:dyDescent="0.5">
      <c r="A44" s="26"/>
      <c r="B44" s="23"/>
      <c r="C44" s="384"/>
      <c r="D44" s="384"/>
      <c r="E44" s="404"/>
      <c r="F44" s="405"/>
      <c r="G44" s="386"/>
      <c r="H44" s="381"/>
    </row>
    <row r="45" spans="1:8" x14ac:dyDescent="0.45">
      <c r="A45" s="380"/>
      <c r="B45" s="377"/>
      <c r="C45" s="377"/>
      <c r="D45" s="377"/>
      <c r="E45" s="537"/>
      <c r="F45" s="537"/>
      <c r="G45" s="378"/>
      <c r="H45" s="202"/>
    </row>
    <row r="46" spans="1:8" x14ac:dyDescent="0.45">
      <c r="B46" s="986" t="s">
        <v>0</v>
      </c>
      <c r="C46" s="986"/>
      <c r="D46" s="986"/>
      <c r="E46" s="986"/>
      <c r="F46" s="986"/>
      <c r="G46" s="986"/>
      <c r="H46" s="393"/>
    </row>
    <row r="47" spans="1:8" x14ac:dyDescent="0.45">
      <c r="B47" s="983" t="s">
        <v>333</v>
      </c>
      <c r="C47" s="983"/>
      <c r="D47" s="983"/>
      <c r="E47" s="983"/>
      <c r="F47" s="983"/>
      <c r="G47" s="983"/>
      <c r="H47" s="387"/>
    </row>
    <row r="48" spans="1:8" x14ac:dyDescent="0.45">
      <c r="B48" s="983" t="s">
        <v>334</v>
      </c>
      <c r="C48" s="983"/>
      <c r="D48" s="983"/>
      <c r="E48" s="983"/>
      <c r="F48" s="983"/>
      <c r="G48" s="983"/>
      <c r="H48" s="387"/>
    </row>
    <row r="49" spans="1:10" x14ac:dyDescent="0.45">
      <c r="B49" s="984" t="str">
        <f>B5</f>
        <v>Base Period &amp; True-Up Period 12 - Months Ending December 31, 2018</v>
      </c>
      <c r="C49" s="984"/>
      <c r="D49" s="984"/>
      <c r="E49" s="984"/>
      <c r="F49" s="984"/>
      <c r="G49" s="984"/>
      <c r="H49" s="387"/>
    </row>
    <row r="50" spans="1:10" x14ac:dyDescent="0.45">
      <c r="B50" s="980" t="s">
        <v>1</v>
      </c>
      <c r="C50" s="980"/>
      <c r="D50" s="980"/>
      <c r="E50" s="980"/>
      <c r="F50" s="980"/>
      <c r="G50" s="980"/>
      <c r="H50" s="133"/>
    </row>
    <row r="51" spans="1:10" x14ac:dyDescent="0.45">
      <c r="A51" s="406"/>
      <c r="B51" s="377"/>
      <c r="C51" s="377"/>
      <c r="D51" s="377"/>
      <c r="E51" s="377"/>
      <c r="F51" s="377"/>
      <c r="G51" s="377"/>
      <c r="H51" s="202"/>
    </row>
    <row r="52" spans="1:10" x14ac:dyDescent="0.45">
      <c r="A52" s="381" t="s">
        <v>2</v>
      </c>
      <c r="B52" s="377"/>
      <c r="C52" s="377"/>
      <c r="D52" s="377"/>
      <c r="E52" s="903"/>
      <c r="F52" s="903"/>
      <c r="G52" s="377"/>
      <c r="H52" s="381" t="s">
        <v>2</v>
      </c>
    </row>
    <row r="53" spans="1:10" x14ac:dyDescent="0.45">
      <c r="A53" s="381" t="s">
        <v>6</v>
      </c>
      <c r="B53" s="377"/>
      <c r="C53" s="377"/>
      <c r="D53" s="377"/>
      <c r="E53" s="531" t="s">
        <v>4</v>
      </c>
      <c r="F53" s="386"/>
      <c r="G53" s="531" t="s">
        <v>5</v>
      </c>
      <c r="H53" s="381" t="s">
        <v>6</v>
      </c>
    </row>
    <row r="54" spans="1:10" x14ac:dyDescent="0.45">
      <c r="A54" s="381"/>
      <c r="B54" s="377"/>
      <c r="C54" s="377"/>
      <c r="D54" s="377"/>
      <c r="E54" s="903"/>
      <c r="F54" s="903"/>
      <c r="G54" s="377"/>
      <c r="H54" s="381"/>
    </row>
    <row r="55" spans="1:10" x14ac:dyDescent="0.45">
      <c r="A55" s="381">
        <v>1</v>
      </c>
      <c r="B55" s="407" t="s">
        <v>350</v>
      </c>
      <c r="C55" s="407"/>
      <c r="D55" s="407"/>
      <c r="E55" s="408">
        <v>5763584.0500423079</v>
      </c>
      <c r="F55" s="903"/>
      <c r="G55" s="386" t="s">
        <v>626</v>
      </c>
      <c r="H55" s="381">
        <f>A55</f>
        <v>1</v>
      </c>
    </row>
    <row r="56" spans="1:10" x14ac:dyDescent="0.45">
      <c r="A56" s="381">
        <f>A55+1</f>
        <v>2</v>
      </c>
      <c r="B56" s="377"/>
      <c r="C56" s="377"/>
      <c r="D56" s="377"/>
      <c r="E56" s="376"/>
      <c r="F56" s="903"/>
      <c r="G56" s="377"/>
      <c r="H56" s="381">
        <f>H55+1</f>
        <v>2</v>
      </c>
    </row>
    <row r="57" spans="1:10" x14ac:dyDescent="0.45">
      <c r="A57" s="381">
        <f t="shared" ref="A57:A92" si="2">A56+1</f>
        <v>3</v>
      </c>
      <c r="B57" s="383" t="s">
        <v>351</v>
      </c>
      <c r="C57" s="383"/>
      <c r="D57" s="383"/>
      <c r="E57" s="409"/>
      <c r="F57" s="410"/>
      <c r="G57" s="377"/>
      <c r="H57" s="381">
        <f t="shared" ref="H57:H92" si="3">H56+1</f>
        <v>3</v>
      </c>
    </row>
    <row r="58" spans="1:10" ht="15.75" x14ac:dyDescent="0.5">
      <c r="A58" s="381">
        <f t="shared" si="2"/>
        <v>4</v>
      </c>
      <c r="B58" s="384" t="s">
        <v>352</v>
      </c>
      <c r="C58" s="384"/>
      <c r="D58" s="384"/>
      <c r="E58" s="910">
        <f>('Pg7.1 Revised AH-2'!I27+'Pg7.1 Revised AH-2'!I45)</f>
        <v>32571.54595</v>
      </c>
      <c r="F58" s="26" t="s">
        <v>15</v>
      </c>
      <c r="G58" s="386" t="s">
        <v>682</v>
      </c>
      <c r="H58" s="381">
        <f t="shared" si="3"/>
        <v>4</v>
      </c>
      <c r="J58" s="540"/>
    </row>
    <row r="59" spans="1:10" x14ac:dyDescent="0.45">
      <c r="A59" s="381">
        <f t="shared" si="2"/>
        <v>5</v>
      </c>
      <c r="B59" s="384"/>
      <c r="C59" s="384"/>
      <c r="D59" s="384"/>
      <c r="E59" s="292"/>
      <c r="F59" s="411"/>
      <c r="G59" s="386"/>
      <c r="H59" s="381">
        <f t="shared" si="3"/>
        <v>5</v>
      </c>
      <c r="J59" s="540"/>
    </row>
    <row r="60" spans="1:10" x14ac:dyDescent="0.45">
      <c r="A60" s="381">
        <f t="shared" si="2"/>
        <v>6</v>
      </c>
      <c r="B60" s="384" t="s">
        <v>353</v>
      </c>
      <c r="C60" s="377"/>
      <c r="D60" s="377"/>
      <c r="E60" s="412">
        <f>E58/E55</f>
        <v>5.6512658906676142E-3</v>
      </c>
      <c r="F60" s="413"/>
      <c r="G60" s="386" t="s">
        <v>683</v>
      </c>
      <c r="H60" s="381">
        <f t="shared" si="3"/>
        <v>6</v>
      </c>
      <c r="J60" s="540"/>
    </row>
    <row r="61" spans="1:10" x14ac:dyDescent="0.45">
      <c r="A61" s="381">
        <f t="shared" si="2"/>
        <v>7</v>
      </c>
      <c r="B61" s="384"/>
      <c r="C61" s="384"/>
      <c r="D61" s="384"/>
      <c r="E61" s="541"/>
      <c r="F61" s="542"/>
      <c r="G61" s="386"/>
      <c r="H61" s="381">
        <f t="shared" si="3"/>
        <v>7</v>
      </c>
    </row>
    <row r="62" spans="1:10" ht="15.75" x14ac:dyDescent="0.5">
      <c r="A62" s="381">
        <f t="shared" si="2"/>
        <v>8</v>
      </c>
      <c r="B62" s="385" t="s">
        <v>354</v>
      </c>
      <c r="C62" s="385"/>
      <c r="D62" s="385"/>
      <c r="E62" s="543">
        <f>'Pg7.1 Revised AH-2'!I41</f>
        <v>5768.4739999999993</v>
      </c>
      <c r="F62" s="26"/>
      <c r="G62" s="386" t="s">
        <v>684</v>
      </c>
      <c r="H62" s="381">
        <f t="shared" si="3"/>
        <v>8</v>
      </c>
      <c r="J62" s="499"/>
    </row>
    <row r="63" spans="1:10" x14ac:dyDescent="0.45">
      <c r="A63" s="381">
        <f t="shared" si="2"/>
        <v>9</v>
      </c>
      <c r="B63" s="377"/>
      <c r="C63" s="377"/>
      <c r="D63" s="377"/>
      <c r="E63" s="544"/>
      <c r="F63" s="545"/>
      <c r="G63" s="386"/>
      <c r="H63" s="381">
        <f t="shared" si="3"/>
        <v>9</v>
      </c>
    </row>
    <row r="64" spans="1:10" x14ac:dyDescent="0.45">
      <c r="A64" s="381">
        <f t="shared" si="2"/>
        <v>10</v>
      </c>
      <c r="B64" s="384" t="s">
        <v>355</v>
      </c>
      <c r="C64" s="377"/>
      <c r="D64" s="377"/>
      <c r="E64" s="412">
        <f>E62/E55</f>
        <v>1.0008484217312065E-3</v>
      </c>
      <c r="F64" s="413"/>
      <c r="G64" s="386" t="s">
        <v>685</v>
      </c>
      <c r="H64" s="381">
        <f t="shared" si="3"/>
        <v>10</v>
      </c>
    </row>
    <row r="65" spans="1:8" x14ac:dyDescent="0.45">
      <c r="A65" s="381">
        <f t="shared" si="2"/>
        <v>11</v>
      </c>
      <c r="B65" s="377"/>
      <c r="C65" s="377"/>
      <c r="D65" s="377"/>
      <c r="E65" s="544"/>
      <c r="F65" s="545"/>
      <c r="G65" s="386"/>
      <c r="H65" s="381">
        <f t="shared" si="3"/>
        <v>11</v>
      </c>
    </row>
    <row r="66" spans="1:8" ht="15.75" x14ac:dyDescent="0.5">
      <c r="A66" s="381">
        <f t="shared" si="2"/>
        <v>12</v>
      </c>
      <c r="B66" s="407" t="s">
        <v>356</v>
      </c>
      <c r="C66" s="407"/>
      <c r="D66" s="407"/>
      <c r="E66" s="427">
        <f>E58+E62</f>
        <v>38340.019950000002</v>
      </c>
      <c r="F66" s="26" t="s">
        <v>15</v>
      </c>
      <c r="G66" s="386" t="s">
        <v>686</v>
      </c>
      <c r="H66" s="381">
        <f t="shared" si="3"/>
        <v>12</v>
      </c>
    </row>
    <row r="67" spans="1:8" x14ac:dyDescent="0.45">
      <c r="A67" s="381">
        <f t="shared" si="2"/>
        <v>13</v>
      </c>
      <c r="B67" s="377"/>
      <c r="C67" s="377"/>
      <c r="D67" s="377"/>
      <c r="E67" s="546"/>
      <c r="F67" s="547"/>
      <c r="G67" s="386"/>
      <c r="H67" s="381">
        <f t="shared" si="3"/>
        <v>13</v>
      </c>
    </row>
    <row r="68" spans="1:8" x14ac:dyDescent="0.45">
      <c r="A68" s="381">
        <f t="shared" si="2"/>
        <v>14</v>
      </c>
      <c r="B68" s="383" t="s">
        <v>357</v>
      </c>
      <c r="C68" s="383"/>
      <c r="D68" s="383"/>
      <c r="E68" s="546"/>
      <c r="F68" s="547"/>
      <c r="G68" s="414"/>
      <c r="H68" s="381">
        <f t="shared" si="3"/>
        <v>14</v>
      </c>
    </row>
    <row r="69" spans="1:8" ht="15.75" x14ac:dyDescent="0.5">
      <c r="A69" s="381">
        <f t="shared" si="2"/>
        <v>15</v>
      </c>
      <c r="B69" s="384" t="s">
        <v>358</v>
      </c>
      <c r="C69" s="384"/>
      <c r="D69" s="384"/>
      <c r="E69" s="415">
        <f>'Pg7 Revised Stmt AH'!F49</f>
        <v>36230.967532831579</v>
      </c>
      <c r="F69" s="26" t="s">
        <v>15</v>
      </c>
      <c r="G69" s="386" t="s">
        <v>619</v>
      </c>
      <c r="H69" s="381">
        <f t="shared" si="3"/>
        <v>15</v>
      </c>
    </row>
    <row r="70" spans="1:8" x14ac:dyDescent="0.45">
      <c r="A70" s="381">
        <f t="shared" si="2"/>
        <v>16</v>
      </c>
      <c r="B70" s="377"/>
      <c r="C70" s="377"/>
      <c r="D70" s="377"/>
      <c r="E70" s="548"/>
      <c r="F70" s="549"/>
      <c r="G70" s="386"/>
      <c r="H70" s="381">
        <f t="shared" si="3"/>
        <v>16</v>
      </c>
    </row>
    <row r="71" spans="1:8" x14ac:dyDescent="0.45">
      <c r="A71" s="381">
        <f t="shared" si="2"/>
        <v>17</v>
      </c>
      <c r="B71" s="416" t="s">
        <v>277</v>
      </c>
      <c r="C71" s="414"/>
      <c r="D71" s="414"/>
      <c r="E71" s="412">
        <f>E69/E55</f>
        <v>6.286187070103649E-3</v>
      </c>
      <c r="F71" s="413"/>
      <c r="G71" s="386" t="s">
        <v>687</v>
      </c>
      <c r="H71" s="381">
        <f t="shared" si="3"/>
        <v>17</v>
      </c>
    </row>
    <row r="72" spans="1:8" x14ac:dyDescent="0.45">
      <c r="A72" s="381">
        <f t="shared" si="2"/>
        <v>18</v>
      </c>
      <c r="B72" s="414"/>
      <c r="C72" s="414"/>
      <c r="D72" s="414"/>
      <c r="E72" s="417"/>
      <c r="F72" s="418"/>
      <c r="G72" s="386"/>
      <c r="H72" s="381">
        <f t="shared" si="3"/>
        <v>18</v>
      </c>
    </row>
    <row r="73" spans="1:8" x14ac:dyDescent="0.45">
      <c r="A73" s="381">
        <f t="shared" si="2"/>
        <v>19</v>
      </c>
      <c r="B73" s="383" t="s">
        <v>359</v>
      </c>
      <c r="C73" s="383"/>
      <c r="D73" s="383"/>
      <c r="E73" s="417"/>
      <c r="F73" s="418"/>
      <c r="G73" s="386"/>
      <c r="H73" s="381">
        <f t="shared" si="3"/>
        <v>19</v>
      </c>
    </row>
    <row r="74" spans="1:8" x14ac:dyDescent="0.45">
      <c r="A74" s="381">
        <f t="shared" si="2"/>
        <v>20</v>
      </c>
      <c r="B74" s="384" t="s">
        <v>360</v>
      </c>
      <c r="C74" s="384"/>
      <c r="D74" s="384"/>
      <c r="E74" s="419">
        <v>1395.0618331328524</v>
      </c>
      <c r="F74" s="903"/>
      <c r="G74" s="386" t="s">
        <v>688</v>
      </c>
      <c r="H74" s="381">
        <f t="shared" si="3"/>
        <v>20</v>
      </c>
    </row>
    <row r="75" spans="1:8" x14ac:dyDescent="0.45">
      <c r="A75" s="381">
        <f t="shared" si="2"/>
        <v>21</v>
      </c>
      <c r="B75" s="414"/>
      <c r="C75" s="414"/>
      <c r="D75" s="414"/>
      <c r="E75" s="417"/>
      <c r="F75" s="418"/>
      <c r="G75" s="386"/>
      <c r="H75" s="381">
        <f t="shared" si="3"/>
        <v>21</v>
      </c>
    </row>
    <row r="76" spans="1:8" x14ac:dyDescent="0.45">
      <c r="A76" s="381">
        <f t="shared" si="2"/>
        <v>22</v>
      </c>
      <c r="B76" s="416" t="s">
        <v>278</v>
      </c>
      <c r="C76" s="414"/>
      <c r="D76" s="414"/>
      <c r="E76" s="412">
        <f>E74/E55</f>
        <v>2.4204762540464936E-4</v>
      </c>
      <c r="F76" s="413"/>
      <c r="G76" s="386" t="s">
        <v>689</v>
      </c>
      <c r="H76" s="381">
        <f t="shared" si="3"/>
        <v>22</v>
      </c>
    </row>
    <row r="77" spans="1:8" x14ac:dyDescent="0.45">
      <c r="A77" s="381">
        <f t="shared" si="2"/>
        <v>23</v>
      </c>
      <c r="B77" s="414"/>
      <c r="C77" s="414"/>
      <c r="D77" s="414"/>
      <c r="E77" s="417"/>
      <c r="F77" s="418"/>
      <c r="G77" s="386"/>
      <c r="H77" s="381">
        <f t="shared" si="3"/>
        <v>23</v>
      </c>
    </row>
    <row r="78" spans="1:8" x14ac:dyDescent="0.45">
      <c r="A78" s="381">
        <f t="shared" si="2"/>
        <v>24</v>
      </c>
      <c r="B78" s="383" t="s">
        <v>361</v>
      </c>
      <c r="C78" s="383"/>
      <c r="D78" s="383"/>
      <c r="E78" s="417"/>
      <c r="F78" s="418"/>
      <c r="G78" s="386"/>
      <c r="H78" s="381">
        <f t="shared" si="3"/>
        <v>24</v>
      </c>
    </row>
    <row r="79" spans="1:8" x14ac:dyDescent="0.45">
      <c r="A79" s="381">
        <f t="shared" si="2"/>
        <v>25</v>
      </c>
      <c r="B79" s="384" t="s">
        <v>362</v>
      </c>
      <c r="C79" s="377"/>
      <c r="D79" s="377"/>
      <c r="E79" s="550">
        <f>E123</f>
        <v>4.0074009905793568E-3</v>
      </c>
      <c r="F79" s="413"/>
      <c r="G79" s="386" t="s">
        <v>690</v>
      </c>
      <c r="H79" s="381">
        <f t="shared" si="3"/>
        <v>25</v>
      </c>
    </row>
    <row r="80" spans="1:8" x14ac:dyDescent="0.45">
      <c r="A80" s="381">
        <f t="shared" si="2"/>
        <v>26</v>
      </c>
      <c r="B80" s="377"/>
      <c r="C80" s="377"/>
      <c r="D80" s="377"/>
      <c r="E80" s="420"/>
      <c r="F80" s="421"/>
      <c r="G80" s="386"/>
      <c r="H80" s="381">
        <f t="shared" si="3"/>
        <v>26</v>
      </c>
    </row>
    <row r="81" spans="1:8" x14ac:dyDescent="0.45">
      <c r="A81" s="381">
        <f t="shared" si="2"/>
        <v>27</v>
      </c>
      <c r="B81" s="383" t="s">
        <v>363</v>
      </c>
      <c r="C81" s="383"/>
      <c r="D81" s="383"/>
      <c r="E81" s="420"/>
      <c r="F81" s="421"/>
      <c r="G81" s="386"/>
      <c r="H81" s="381">
        <f t="shared" si="3"/>
        <v>27</v>
      </c>
    </row>
    <row r="82" spans="1:8" x14ac:dyDescent="0.45">
      <c r="A82" s="381">
        <f t="shared" si="2"/>
        <v>28</v>
      </c>
      <c r="B82" s="422" t="s">
        <v>520</v>
      </c>
      <c r="C82" s="377"/>
      <c r="D82" s="377"/>
      <c r="E82" s="420"/>
      <c r="F82" s="421"/>
      <c r="G82" s="386"/>
      <c r="H82" s="381">
        <f t="shared" si="3"/>
        <v>28</v>
      </c>
    </row>
    <row r="83" spans="1:8" x14ac:dyDescent="0.45">
      <c r="A83" s="381">
        <f t="shared" si="2"/>
        <v>29</v>
      </c>
      <c r="B83" s="384" t="s">
        <v>279</v>
      </c>
      <c r="C83" s="384"/>
      <c r="D83" s="384"/>
      <c r="E83" s="423">
        <f>'Pg8 Revised Stmt AL'!G15</f>
        <v>52622.534271759701</v>
      </c>
      <c r="F83" s="903"/>
      <c r="G83" s="386" t="s">
        <v>651</v>
      </c>
      <c r="H83" s="381">
        <f t="shared" si="3"/>
        <v>29</v>
      </c>
    </row>
    <row r="84" spans="1:8" x14ac:dyDescent="0.45">
      <c r="A84" s="381">
        <f t="shared" si="2"/>
        <v>30</v>
      </c>
      <c r="B84" s="384" t="s">
        <v>280</v>
      </c>
      <c r="C84" s="384"/>
      <c r="D84" s="384"/>
      <c r="E84" s="424">
        <f>'Pg8 Revised Stmt AL'!G19</f>
        <v>19887.813848616828</v>
      </c>
      <c r="F84" s="903"/>
      <c r="G84" s="386" t="s">
        <v>652</v>
      </c>
      <c r="H84" s="381">
        <f t="shared" si="3"/>
        <v>30</v>
      </c>
    </row>
    <row r="85" spans="1:8" ht="15.75" x14ac:dyDescent="0.5">
      <c r="A85" s="381">
        <f t="shared" si="2"/>
        <v>31</v>
      </c>
      <c r="B85" s="384" t="s">
        <v>281</v>
      </c>
      <c r="C85" s="384"/>
      <c r="D85" s="384"/>
      <c r="E85" s="425">
        <f>'Pg8 Revised Stmt AL'!E29</f>
        <v>9321.3734353539439</v>
      </c>
      <c r="F85" s="26" t="s">
        <v>15</v>
      </c>
      <c r="G85" s="386" t="s">
        <v>653</v>
      </c>
      <c r="H85" s="381">
        <f t="shared" si="3"/>
        <v>31</v>
      </c>
    </row>
    <row r="86" spans="1:8" ht="15.75" x14ac:dyDescent="0.5">
      <c r="A86" s="381">
        <f t="shared" si="2"/>
        <v>32</v>
      </c>
      <c r="B86" s="384" t="s">
        <v>282</v>
      </c>
      <c r="C86" s="377"/>
      <c r="D86" s="377"/>
      <c r="E86" s="426">
        <f>SUM(E83:E85)</f>
        <v>81831.721555730473</v>
      </c>
      <c r="F86" s="26" t="s">
        <v>15</v>
      </c>
      <c r="G86" s="386" t="s">
        <v>691</v>
      </c>
      <c r="H86" s="381">
        <f t="shared" si="3"/>
        <v>32</v>
      </c>
    </row>
    <row r="87" spans="1:8" x14ac:dyDescent="0.45">
      <c r="A87" s="381">
        <f t="shared" si="2"/>
        <v>33</v>
      </c>
      <c r="B87" s="377"/>
      <c r="C87" s="377"/>
      <c r="D87" s="377"/>
      <c r="E87" s="427"/>
      <c r="F87" s="428"/>
      <c r="G87" s="386"/>
      <c r="H87" s="381">
        <f t="shared" si="3"/>
        <v>33</v>
      </c>
    </row>
    <row r="88" spans="1:8" x14ac:dyDescent="0.45">
      <c r="A88" s="381">
        <f t="shared" si="2"/>
        <v>34</v>
      </c>
      <c r="B88" s="384" t="s">
        <v>364</v>
      </c>
      <c r="C88" s="384"/>
      <c r="D88" s="384"/>
      <c r="E88" s="429">
        <f>'Pg9 Revised Stmt AV'!G111</f>
        <v>9.6610842896950974E-2</v>
      </c>
      <c r="F88" s="903"/>
      <c r="G88" s="386" t="s">
        <v>692</v>
      </c>
      <c r="H88" s="381">
        <f t="shared" si="3"/>
        <v>34</v>
      </c>
    </row>
    <row r="89" spans="1:8" x14ac:dyDescent="0.45">
      <c r="A89" s="381">
        <f t="shared" si="2"/>
        <v>35</v>
      </c>
      <c r="B89" s="377"/>
      <c r="C89" s="377"/>
      <c r="D89" s="377"/>
      <c r="E89" s="427"/>
      <c r="F89" s="428"/>
      <c r="G89" s="386"/>
      <c r="H89" s="381">
        <f t="shared" si="3"/>
        <v>35</v>
      </c>
    </row>
    <row r="90" spans="1:8" ht="15.75" x14ac:dyDescent="0.5">
      <c r="A90" s="381">
        <f t="shared" si="2"/>
        <v>36</v>
      </c>
      <c r="B90" s="384" t="s">
        <v>283</v>
      </c>
      <c r="C90" s="377"/>
      <c r="D90" s="377"/>
      <c r="E90" s="430">
        <f>E86*E88</f>
        <v>7905.8315952077137</v>
      </c>
      <c r="F90" s="26" t="s">
        <v>15</v>
      </c>
      <c r="G90" s="386" t="s">
        <v>693</v>
      </c>
      <c r="H90" s="381">
        <f t="shared" si="3"/>
        <v>36</v>
      </c>
    </row>
    <row r="91" spans="1:8" x14ac:dyDescent="0.45">
      <c r="A91" s="381">
        <f t="shared" si="2"/>
        <v>37</v>
      </c>
      <c r="B91" s="377"/>
      <c r="C91" s="377"/>
      <c r="D91" s="377"/>
      <c r="E91" s="427"/>
      <c r="F91" s="428"/>
      <c r="G91" s="386"/>
      <c r="H91" s="381">
        <f t="shared" si="3"/>
        <v>37</v>
      </c>
    </row>
    <row r="92" spans="1:8" x14ac:dyDescent="0.45">
      <c r="A92" s="381">
        <f t="shared" si="2"/>
        <v>38</v>
      </c>
      <c r="B92" s="384" t="s">
        <v>284</v>
      </c>
      <c r="C92" s="377"/>
      <c r="D92" s="377"/>
      <c r="E92" s="412">
        <f>E90/E55</f>
        <v>1.3716867016365763E-3</v>
      </c>
      <c r="F92" s="413"/>
      <c r="G92" s="386" t="s">
        <v>694</v>
      </c>
      <c r="H92" s="381">
        <f t="shared" si="3"/>
        <v>38</v>
      </c>
    </row>
    <row r="93" spans="1:8" x14ac:dyDescent="0.45">
      <c r="A93" s="381"/>
      <c r="B93" s="384"/>
      <c r="C93" s="377"/>
      <c r="D93" s="377"/>
      <c r="E93" s="431"/>
      <c r="F93" s="413"/>
      <c r="G93" s="386"/>
      <c r="H93" s="381"/>
    </row>
    <row r="94" spans="1:8" ht="15.75" x14ac:dyDescent="0.5">
      <c r="A94" s="26" t="s">
        <v>15</v>
      </c>
      <c r="B94" s="23" t="s">
        <v>332</v>
      </c>
      <c r="C94" s="377"/>
      <c r="D94" s="377"/>
      <c r="E94" s="378"/>
      <c r="F94" s="378"/>
      <c r="G94" s="378"/>
      <c r="H94" s="376"/>
    </row>
    <row r="95" spans="1:8" ht="15.75" x14ac:dyDescent="0.5">
      <c r="A95" s="26"/>
      <c r="B95" s="23"/>
      <c r="C95" s="377"/>
      <c r="D95" s="377"/>
      <c r="E95" s="378"/>
      <c r="F95" s="378"/>
      <c r="G95" s="378"/>
      <c r="H95" s="376"/>
    </row>
    <row r="96" spans="1:8" ht="15.75" x14ac:dyDescent="0.5">
      <c r="A96" s="26"/>
      <c r="B96" s="23"/>
      <c r="C96" s="377"/>
      <c r="D96" s="377"/>
      <c r="E96" s="378"/>
      <c r="F96" s="378"/>
      <c r="G96" s="378"/>
      <c r="H96" s="376"/>
    </row>
    <row r="97" spans="1:8" x14ac:dyDescent="0.45">
      <c r="B97" s="983" t="s">
        <v>0</v>
      </c>
      <c r="C97" s="983"/>
      <c r="D97" s="983"/>
      <c r="E97" s="983"/>
      <c r="F97" s="983"/>
      <c r="G97" s="983"/>
      <c r="H97" s="387"/>
    </row>
    <row r="98" spans="1:8" x14ac:dyDescent="0.45">
      <c r="B98" s="983" t="s">
        <v>333</v>
      </c>
      <c r="C98" s="983"/>
      <c r="D98" s="983"/>
      <c r="E98" s="983"/>
      <c r="F98" s="983"/>
      <c r="G98" s="983"/>
      <c r="H98" s="387"/>
    </row>
    <row r="99" spans="1:8" x14ac:dyDescent="0.45">
      <c r="B99" s="983" t="s">
        <v>334</v>
      </c>
      <c r="C99" s="983"/>
      <c r="D99" s="983"/>
      <c r="E99" s="983"/>
      <c r="F99" s="983"/>
      <c r="G99" s="983"/>
      <c r="H99" s="387"/>
    </row>
    <row r="100" spans="1:8" x14ac:dyDescent="0.45">
      <c r="B100" s="984" t="str">
        <f>B5</f>
        <v>Base Period &amp; True-Up Period 12 - Months Ending December 31, 2018</v>
      </c>
      <c r="C100" s="984"/>
      <c r="D100" s="984"/>
      <c r="E100" s="984"/>
      <c r="F100" s="984"/>
      <c r="G100" s="984"/>
      <c r="H100" s="387"/>
    </row>
    <row r="101" spans="1:8" x14ac:dyDescent="0.45">
      <c r="B101" s="980" t="s">
        <v>1</v>
      </c>
      <c r="C101" s="980"/>
      <c r="D101" s="980"/>
      <c r="E101" s="980"/>
      <c r="F101" s="980"/>
      <c r="G101" s="980"/>
      <c r="H101" s="133"/>
    </row>
    <row r="102" spans="1:8" x14ac:dyDescent="0.45">
      <c r="A102" s="380"/>
      <c r="B102" s="551"/>
      <c r="C102" s="551"/>
      <c r="D102" s="551"/>
      <c r="E102" s="377"/>
      <c r="F102" s="377"/>
      <c r="G102" s="378"/>
      <c r="H102" s="202"/>
    </row>
    <row r="103" spans="1:8" x14ac:dyDescent="0.45">
      <c r="A103" s="381" t="s">
        <v>2</v>
      </c>
      <c r="B103" s="377"/>
      <c r="C103" s="377"/>
      <c r="D103" s="377"/>
      <c r="E103" s="903"/>
      <c r="F103" s="903"/>
      <c r="G103" s="377"/>
      <c r="H103" s="381" t="s">
        <v>2</v>
      </c>
    </row>
    <row r="104" spans="1:8" x14ac:dyDescent="0.45">
      <c r="A104" s="381" t="s">
        <v>6</v>
      </c>
      <c r="B104" s="377"/>
      <c r="C104" s="377"/>
      <c r="D104" s="377"/>
      <c r="E104" s="531" t="s">
        <v>4</v>
      </c>
      <c r="F104" s="386"/>
      <c r="G104" s="531" t="s">
        <v>5</v>
      </c>
      <c r="H104" s="381" t="s">
        <v>6</v>
      </c>
    </row>
    <row r="105" spans="1:8" x14ac:dyDescent="0.45">
      <c r="A105" s="381"/>
      <c r="B105" s="377"/>
      <c r="C105" s="377"/>
      <c r="D105" s="377"/>
      <c r="E105" s="903"/>
      <c r="F105" s="903"/>
      <c r="G105" s="552"/>
      <c r="H105" s="381"/>
    </row>
    <row r="106" spans="1:8" x14ac:dyDescent="0.45">
      <c r="A106" s="381">
        <v>1</v>
      </c>
      <c r="B106" s="383" t="s">
        <v>365</v>
      </c>
      <c r="C106" s="383"/>
      <c r="D106" s="383"/>
      <c r="E106" s="378"/>
      <c r="F106" s="378"/>
      <c r="G106" s="377"/>
      <c r="H106" s="381">
        <f>A106</f>
        <v>1</v>
      </c>
    </row>
    <row r="107" spans="1:8" x14ac:dyDescent="0.45">
      <c r="A107" s="381">
        <f>A106+1</f>
        <v>2</v>
      </c>
      <c r="B107" s="384" t="s">
        <v>366</v>
      </c>
      <c r="C107" s="384"/>
      <c r="D107" s="384"/>
      <c r="E107" s="553">
        <v>914720.46958336188</v>
      </c>
      <c r="F107" s="903"/>
      <c r="G107" s="386" t="s">
        <v>610</v>
      </c>
      <c r="H107" s="381">
        <f>H106+1</f>
        <v>2</v>
      </c>
    </row>
    <row r="108" spans="1:8" x14ac:dyDescent="0.45">
      <c r="A108" s="381">
        <f t="shared" ref="A108:A163" si="4">A107+1</f>
        <v>3</v>
      </c>
      <c r="B108" s="384"/>
      <c r="C108" s="384"/>
      <c r="D108" s="384"/>
      <c r="E108" s="380"/>
      <c r="F108" s="903"/>
      <c r="G108" s="386"/>
      <c r="H108" s="381">
        <f t="shared" ref="H108:H163" si="5">H107+1</f>
        <v>3</v>
      </c>
    </row>
    <row r="109" spans="1:8" x14ac:dyDescent="0.45">
      <c r="A109" s="381">
        <f t="shared" si="4"/>
        <v>4</v>
      </c>
      <c r="B109" s="384" t="s">
        <v>367</v>
      </c>
      <c r="C109" s="384"/>
      <c r="D109" s="384"/>
      <c r="E109" s="554">
        <v>406191.57139499998</v>
      </c>
      <c r="F109" s="903"/>
      <c r="G109" s="386" t="s">
        <v>609</v>
      </c>
      <c r="H109" s="381">
        <f t="shared" si="5"/>
        <v>4</v>
      </c>
    </row>
    <row r="110" spans="1:8" ht="18.399999999999999" x14ac:dyDescent="0.85">
      <c r="A110" s="381">
        <f t="shared" si="4"/>
        <v>5</v>
      </c>
      <c r="B110" s="377"/>
      <c r="C110" s="377"/>
      <c r="D110" s="377"/>
      <c r="E110" s="555"/>
      <c r="F110" s="556"/>
      <c r="G110" s="377"/>
      <c r="H110" s="381">
        <f t="shared" si="5"/>
        <v>5</v>
      </c>
    </row>
    <row r="111" spans="1:8" x14ac:dyDescent="0.45">
      <c r="A111" s="381">
        <f t="shared" si="4"/>
        <v>6</v>
      </c>
      <c r="B111" s="384" t="s">
        <v>368</v>
      </c>
      <c r="C111" s="377"/>
      <c r="D111" s="377"/>
      <c r="E111" s="557">
        <f>E107+E109</f>
        <v>1320912.0409783619</v>
      </c>
      <c r="F111" s="558"/>
      <c r="G111" s="386" t="s">
        <v>695</v>
      </c>
      <c r="H111" s="381">
        <f t="shared" si="5"/>
        <v>6</v>
      </c>
    </row>
    <row r="112" spans="1:8" x14ac:dyDescent="0.45">
      <c r="A112" s="381">
        <f t="shared" si="4"/>
        <v>7</v>
      </c>
      <c r="B112" s="377"/>
      <c r="C112" s="377"/>
      <c r="D112" s="377"/>
      <c r="E112" s="559"/>
      <c r="F112" s="560"/>
      <c r="G112" s="377"/>
      <c r="H112" s="381">
        <f t="shared" si="5"/>
        <v>7</v>
      </c>
    </row>
    <row r="113" spans="1:8" x14ac:dyDescent="0.45">
      <c r="A113" s="381">
        <f t="shared" si="4"/>
        <v>8</v>
      </c>
      <c r="B113" s="384" t="s">
        <v>369</v>
      </c>
      <c r="C113" s="384"/>
      <c r="D113" s="384"/>
      <c r="E113" s="561">
        <f>E142</f>
        <v>0.16875864326972473</v>
      </c>
      <c r="F113" s="390"/>
      <c r="G113" s="386" t="s">
        <v>696</v>
      </c>
      <c r="H113" s="381">
        <f t="shared" si="5"/>
        <v>8</v>
      </c>
    </row>
    <row r="114" spans="1:8" x14ac:dyDescent="0.45">
      <c r="A114" s="381">
        <f t="shared" si="4"/>
        <v>9</v>
      </c>
      <c r="B114" s="377"/>
      <c r="C114" s="377"/>
      <c r="D114" s="377"/>
      <c r="E114" s="562"/>
      <c r="F114" s="563"/>
      <c r="G114" s="377"/>
      <c r="H114" s="381">
        <f t="shared" si="5"/>
        <v>9</v>
      </c>
    </row>
    <row r="115" spans="1:8" x14ac:dyDescent="0.45">
      <c r="A115" s="381">
        <f t="shared" si="4"/>
        <v>10</v>
      </c>
      <c r="B115" s="384" t="s">
        <v>370</v>
      </c>
      <c r="C115" s="377"/>
      <c r="D115" s="377"/>
      <c r="E115" s="432">
        <f>E111*E113</f>
        <v>222915.32391415138</v>
      </c>
      <c r="F115" s="564"/>
      <c r="G115" s="386" t="s">
        <v>697</v>
      </c>
      <c r="H115" s="381">
        <f t="shared" si="5"/>
        <v>10</v>
      </c>
    </row>
    <row r="116" spans="1:8" x14ac:dyDescent="0.45">
      <c r="A116" s="381">
        <f t="shared" si="4"/>
        <v>11</v>
      </c>
      <c r="B116" s="377"/>
      <c r="C116" s="377"/>
      <c r="D116" s="377"/>
      <c r="E116" s="559"/>
      <c r="F116" s="560"/>
      <c r="G116" s="377"/>
      <c r="H116" s="381">
        <f t="shared" si="5"/>
        <v>11</v>
      </c>
    </row>
    <row r="117" spans="1:8" x14ac:dyDescent="0.45">
      <c r="A117" s="381">
        <f t="shared" si="4"/>
        <v>12</v>
      </c>
      <c r="B117" s="565" t="s">
        <v>371</v>
      </c>
      <c r="C117" s="565"/>
      <c r="D117" s="565"/>
      <c r="E117" s="566">
        <v>0.10361330044910678</v>
      </c>
      <c r="F117" s="903"/>
      <c r="G117" s="386" t="s">
        <v>597</v>
      </c>
      <c r="H117" s="381">
        <f t="shared" si="5"/>
        <v>12</v>
      </c>
    </row>
    <row r="118" spans="1:8" x14ac:dyDescent="0.45">
      <c r="A118" s="381">
        <f t="shared" si="4"/>
        <v>13</v>
      </c>
      <c r="B118" s="377"/>
      <c r="C118" s="377"/>
      <c r="D118" s="377"/>
      <c r="E118" s="562"/>
      <c r="F118" s="563"/>
      <c r="G118" s="386"/>
      <c r="H118" s="381">
        <f t="shared" si="5"/>
        <v>13</v>
      </c>
    </row>
    <row r="119" spans="1:8" x14ac:dyDescent="0.45">
      <c r="A119" s="381">
        <f t="shared" si="4"/>
        <v>14</v>
      </c>
      <c r="B119" s="384" t="s">
        <v>372</v>
      </c>
      <c r="C119" s="377"/>
      <c r="D119" s="377"/>
      <c r="E119" s="567">
        <f>E115*E117</f>
        <v>23096.992431426926</v>
      </c>
      <c r="F119" s="568"/>
      <c r="G119" s="386" t="s">
        <v>698</v>
      </c>
      <c r="H119" s="381">
        <f t="shared" si="5"/>
        <v>14</v>
      </c>
    </row>
    <row r="120" spans="1:8" x14ac:dyDescent="0.45">
      <c r="A120" s="381">
        <f t="shared" si="4"/>
        <v>15</v>
      </c>
      <c r="B120" s="377"/>
      <c r="C120" s="377"/>
      <c r="D120" s="377"/>
      <c r="E120" s="380"/>
      <c r="F120" s="378"/>
      <c r="G120" s="377"/>
      <c r="H120" s="381">
        <f t="shared" si="5"/>
        <v>15</v>
      </c>
    </row>
    <row r="121" spans="1:8" x14ac:dyDescent="0.45">
      <c r="A121" s="381">
        <f t="shared" si="4"/>
        <v>16</v>
      </c>
      <c r="B121" s="384" t="s">
        <v>350</v>
      </c>
      <c r="C121" s="384"/>
      <c r="D121" s="384"/>
      <c r="E121" s="369">
        <v>5763584.0500423079</v>
      </c>
      <c r="F121" s="903"/>
      <c r="G121" s="386" t="s">
        <v>626</v>
      </c>
      <c r="H121" s="381">
        <f t="shared" si="5"/>
        <v>16</v>
      </c>
    </row>
    <row r="122" spans="1:8" x14ac:dyDescent="0.45">
      <c r="A122" s="381">
        <f t="shared" si="4"/>
        <v>17</v>
      </c>
      <c r="B122" s="377"/>
      <c r="C122" s="377"/>
      <c r="D122" s="377"/>
      <c r="E122" s="569"/>
      <c r="F122" s="377"/>
      <c r="G122" s="377"/>
      <c r="H122" s="381">
        <f t="shared" si="5"/>
        <v>17</v>
      </c>
    </row>
    <row r="123" spans="1:8" ht="15.75" thickBot="1" x14ac:dyDescent="0.5">
      <c r="A123" s="381">
        <f t="shared" si="4"/>
        <v>18</v>
      </c>
      <c r="B123" s="377" t="s">
        <v>373</v>
      </c>
      <c r="C123" s="377"/>
      <c r="D123" s="377"/>
      <c r="E123" s="433">
        <f>E119/E121</f>
        <v>4.0074009905793568E-3</v>
      </c>
      <c r="F123" s="413"/>
      <c r="G123" s="386" t="s">
        <v>699</v>
      </c>
      <c r="H123" s="381">
        <f t="shared" si="5"/>
        <v>18</v>
      </c>
    </row>
    <row r="124" spans="1:8" ht="15.75" thickTop="1" x14ac:dyDescent="0.45">
      <c r="A124" s="381">
        <f t="shared" si="4"/>
        <v>19</v>
      </c>
      <c r="B124" s="377"/>
      <c r="C124" s="377"/>
      <c r="D124" s="377"/>
      <c r="E124" s="380"/>
      <c r="F124" s="378"/>
      <c r="G124" s="377"/>
      <c r="H124" s="381">
        <f t="shared" si="5"/>
        <v>19</v>
      </c>
    </row>
    <row r="125" spans="1:8" x14ac:dyDescent="0.45">
      <c r="A125" s="381">
        <f t="shared" si="4"/>
        <v>20</v>
      </c>
      <c r="B125" s="570" t="s">
        <v>374</v>
      </c>
      <c r="C125" s="570"/>
      <c r="D125" s="570"/>
      <c r="E125" s="376"/>
      <c r="F125" s="903"/>
      <c r="G125" s="903"/>
      <c r="H125" s="381">
        <f t="shared" si="5"/>
        <v>20</v>
      </c>
    </row>
    <row r="126" spans="1:8" x14ac:dyDescent="0.45">
      <c r="A126" s="381">
        <f t="shared" si="4"/>
        <v>21</v>
      </c>
      <c r="B126" s="384" t="s">
        <v>375</v>
      </c>
      <c r="C126" s="384"/>
      <c r="D126" s="384"/>
      <c r="E126" s="571">
        <v>0</v>
      </c>
      <c r="F126" s="903"/>
      <c r="G126" s="386" t="s">
        <v>376</v>
      </c>
      <c r="H126" s="381">
        <f t="shared" si="5"/>
        <v>21</v>
      </c>
    </row>
    <row r="127" spans="1:8" x14ac:dyDescent="0.45">
      <c r="A127" s="381">
        <f t="shared" si="4"/>
        <v>22</v>
      </c>
      <c r="B127" s="377"/>
      <c r="C127" s="377"/>
      <c r="D127" s="377"/>
      <c r="E127" s="376"/>
      <c r="F127" s="903"/>
      <c r="G127" s="386"/>
      <c r="H127" s="381">
        <f t="shared" si="5"/>
        <v>22</v>
      </c>
    </row>
    <row r="128" spans="1:8" x14ac:dyDescent="0.45">
      <c r="A128" s="381">
        <f t="shared" si="4"/>
        <v>23</v>
      </c>
      <c r="B128" s="384" t="s">
        <v>377</v>
      </c>
      <c r="C128" s="384"/>
      <c r="D128" s="384"/>
      <c r="E128" s="571">
        <v>0</v>
      </c>
      <c r="F128" s="903"/>
      <c r="G128" s="386" t="s">
        <v>378</v>
      </c>
      <c r="H128" s="381">
        <f t="shared" si="5"/>
        <v>23</v>
      </c>
    </row>
    <row r="129" spans="1:8" x14ac:dyDescent="0.45">
      <c r="A129" s="381">
        <f t="shared" si="4"/>
        <v>24</v>
      </c>
      <c r="B129" s="377"/>
      <c r="C129" s="377"/>
      <c r="D129" s="377"/>
      <c r="E129" s="376"/>
      <c r="F129" s="903"/>
      <c r="G129" s="386"/>
      <c r="H129" s="381">
        <f t="shared" si="5"/>
        <v>24</v>
      </c>
    </row>
    <row r="130" spans="1:8" x14ac:dyDescent="0.45">
      <c r="A130" s="381">
        <f t="shared" si="4"/>
        <v>25</v>
      </c>
      <c r="B130" s="384" t="s">
        <v>379</v>
      </c>
      <c r="C130" s="384"/>
      <c r="D130" s="384"/>
      <c r="E130" s="571">
        <v>0</v>
      </c>
      <c r="F130" s="903"/>
      <c r="G130" s="386" t="s">
        <v>376</v>
      </c>
      <c r="H130" s="381">
        <f t="shared" si="5"/>
        <v>25</v>
      </c>
    </row>
    <row r="131" spans="1:8" x14ac:dyDescent="0.45">
      <c r="A131" s="381">
        <f t="shared" si="4"/>
        <v>26</v>
      </c>
      <c r="B131" s="377"/>
      <c r="C131" s="377"/>
      <c r="D131" s="377"/>
      <c r="E131" s="376"/>
      <c r="F131" s="903"/>
      <c r="G131" s="377"/>
      <c r="H131" s="381">
        <f t="shared" si="5"/>
        <v>26</v>
      </c>
    </row>
    <row r="132" spans="1:8" x14ac:dyDescent="0.45">
      <c r="A132" s="381">
        <f t="shared" si="4"/>
        <v>27</v>
      </c>
      <c r="B132" s="384" t="s">
        <v>380</v>
      </c>
      <c r="C132" s="384"/>
      <c r="D132" s="384"/>
      <c r="E132" s="572">
        <f>E151</f>
        <v>7.2147800372773754E-2</v>
      </c>
      <c r="F132" s="573"/>
      <c r="G132" s="386" t="s">
        <v>700</v>
      </c>
      <c r="H132" s="381">
        <f t="shared" si="5"/>
        <v>27</v>
      </c>
    </row>
    <row r="133" spans="1:8" x14ac:dyDescent="0.45">
      <c r="A133" s="381">
        <f t="shared" si="4"/>
        <v>28</v>
      </c>
      <c r="B133" s="384"/>
      <c r="C133" s="384"/>
      <c r="D133" s="384"/>
      <c r="E133" s="376"/>
      <c r="F133" s="903"/>
      <c r="G133" s="377"/>
      <c r="H133" s="381">
        <f t="shared" si="5"/>
        <v>28</v>
      </c>
    </row>
    <row r="134" spans="1:8" ht="17.649999999999999" x14ac:dyDescent="0.45">
      <c r="A134" s="381">
        <f t="shared" si="4"/>
        <v>29</v>
      </c>
      <c r="B134" s="384" t="s">
        <v>381</v>
      </c>
      <c r="C134" s="384"/>
      <c r="D134" s="384"/>
      <c r="E134" s="389">
        <f>'Pg9 Revised Stmt AV'!G107</f>
        <v>2.1375651574145931E-2</v>
      </c>
      <c r="F134" s="903"/>
      <c r="G134" s="386" t="s">
        <v>701</v>
      </c>
      <c r="H134" s="381">
        <f t="shared" si="5"/>
        <v>29</v>
      </c>
    </row>
    <row r="135" spans="1:8" x14ac:dyDescent="0.45">
      <c r="A135" s="381">
        <f t="shared" si="4"/>
        <v>30</v>
      </c>
      <c r="B135" s="384"/>
      <c r="C135" s="384"/>
      <c r="D135" s="384"/>
      <c r="E135" s="574"/>
      <c r="F135" s="575"/>
      <c r="G135" s="377"/>
      <c r="H135" s="381">
        <f t="shared" si="5"/>
        <v>30</v>
      </c>
    </row>
    <row r="136" spans="1:8" x14ac:dyDescent="0.45">
      <c r="A136" s="381">
        <f t="shared" si="4"/>
        <v>31</v>
      </c>
      <c r="B136" s="384" t="s">
        <v>382</v>
      </c>
      <c r="C136" s="384"/>
      <c r="D136" s="384"/>
      <c r="E136" s="389">
        <f>'Pg9 Revised Stmt AV'!G109</f>
        <v>7.523519132280504E-2</v>
      </c>
      <c r="F136" s="903"/>
      <c r="G136" s="386" t="s">
        <v>702</v>
      </c>
      <c r="H136" s="381">
        <f t="shared" si="5"/>
        <v>31</v>
      </c>
    </row>
    <row r="137" spans="1:8" x14ac:dyDescent="0.45">
      <c r="A137" s="381">
        <f t="shared" si="4"/>
        <v>32</v>
      </c>
      <c r="B137" s="384"/>
      <c r="C137" s="384"/>
      <c r="D137" s="384"/>
      <c r="E137" s="574"/>
      <c r="F137" s="575"/>
      <c r="G137" s="377"/>
      <c r="H137" s="381">
        <f t="shared" si="5"/>
        <v>32</v>
      </c>
    </row>
    <row r="138" spans="1:8" x14ac:dyDescent="0.45">
      <c r="A138" s="381">
        <f t="shared" si="4"/>
        <v>33</v>
      </c>
      <c r="B138" s="384" t="s">
        <v>112</v>
      </c>
      <c r="C138" s="384"/>
      <c r="D138" s="384"/>
      <c r="E138" s="571">
        <v>0</v>
      </c>
      <c r="F138" s="903"/>
      <c r="G138" s="386" t="s">
        <v>383</v>
      </c>
      <c r="H138" s="381">
        <f t="shared" si="5"/>
        <v>33</v>
      </c>
    </row>
    <row r="139" spans="1:8" x14ac:dyDescent="0.45">
      <c r="A139" s="381">
        <f t="shared" si="4"/>
        <v>34</v>
      </c>
      <c r="B139" s="576"/>
      <c r="C139" s="576"/>
      <c r="D139" s="576"/>
      <c r="E139" s="376"/>
      <c r="F139" s="903"/>
      <c r="G139" s="377"/>
      <c r="H139" s="381">
        <f t="shared" si="5"/>
        <v>34</v>
      </c>
    </row>
    <row r="140" spans="1:8" x14ac:dyDescent="0.45">
      <c r="A140" s="381">
        <f t="shared" si="4"/>
        <v>35</v>
      </c>
      <c r="B140" s="384" t="s">
        <v>384</v>
      </c>
      <c r="C140" s="384"/>
      <c r="D140" s="384"/>
      <c r="E140" s="539">
        <f>E163</f>
        <v>0</v>
      </c>
      <c r="F140" s="390"/>
      <c r="G140" s="386" t="s">
        <v>703</v>
      </c>
      <c r="H140" s="381">
        <f t="shared" si="5"/>
        <v>35</v>
      </c>
    </row>
    <row r="141" spans="1:8" x14ac:dyDescent="0.45">
      <c r="A141" s="381">
        <f t="shared" si="4"/>
        <v>36</v>
      </c>
      <c r="B141" s="377"/>
      <c r="C141" s="377"/>
      <c r="D141" s="377"/>
      <c r="E141" s="577"/>
      <c r="F141" s="903"/>
      <c r="G141" s="377"/>
      <c r="H141" s="381">
        <f t="shared" si="5"/>
        <v>36</v>
      </c>
    </row>
    <row r="142" spans="1:8" ht="15.75" thickBot="1" x14ac:dyDescent="0.5">
      <c r="A142" s="381">
        <f t="shared" si="4"/>
        <v>37</v>
      </c>
      <c r="B142" s="377" t="s">
        <v>385</v>
      </c>
      <c r="C142" s="377"/>
      <c r="D142" s="377"/>
      <c r="E142" s="578">
        <f>SUM(E126:E140)</f>
        <v>0.16875864326972473</v>
      </c>
      <c r="F142" s="579"/>
      <c r="G142" s="386" t="s">
        <v>704</v>
      </c>
      <c r="H142" s="381">
        <f t="shared" si="5"/>
        <v>37</v>
      </c>
    </row>
    <row r="143" spans="1:8" ht="15.75" thickTop="1" x14ac:dyDescent="0.45">
      <c r="A143" s="381">
        <f t="shared" si="4"/>
        <v>38</v>
      </c>
      <c r="B143" s="377"/>
      <c r="C143" s="377"/>
      <c r="D143" s="377"/>
      <c r="E143" s="580"/>
      <c r="F143" s="581"/>
      <c r="G143" s="386"/>
      <c r="H143" s="381">
        <f t="shared" si="5"/>
        <v>38</v>
      </c>
    </row>
    <row r="144" spans="1:8" x14ac:dyDescent="0.45">
      <c r="A144" s="381">
        <f t="shared" si="4"/>
        <v>39</v>
      </c>
      <c r="B144" s="383" t="s">
        <v>386</v>
      </c>
      <c r="C144" s="383"/>
      <c r="D144" s="383"/>
      <c r="E144" s="387"/>
      <c r="F144" s="377"/>
      <c r="G144" s="903"/>
      <c r="H144" s="381">
        <f t="shared" si="5"/>
        <v>39</v>
      </c>
    </row>
    <row r="145" spans="1:8" x14ac:dyDescent="0.45">
      <c r="A145" s="381">
        <f t="shared" si="4"/>
        <v>40</v>
      </c>
      <c r="B145" s="384" t="s">
        <v>387</v>
      </c>
      <c r="C145" s="384"/>
      <c r="D145" s="384"/>
      <c r="E145" s="582">
        <v>77430.343432499998</v>
      </c>
      <c r="F145" s="903"/>
      <c r="G145" s="386" t="s">
        <v>705</v>
      </c>
      <c r="H145" s="381">
        <f t="shared" si="5"/>
        <v>40</v>
      </c>
    </row>
    <row r="146" spans="1:8" x14ac:dyDescent="0.45">
      <c r="A146" s="381">
        <f t="shared" si="4"/>
        <v>41</v>
      </c>
      <c r="B146" s="384"/>
      <c r="C146" s="384"/>
      <c r="D146" s="384"/>
      <c r="E146" s="583"/>
      <c r="F146" s="584"/>
      <c r="G146" s="386"/>
      <c r="H146" s="381">
        <f t="shared" si="5"/>
        <v>41</v>
      </c>
    </row>
    <row r="147" spans="1:8" x14ac:dyDescent="0.45">
      <c r="A147" s="381">
        <f t="shared" si="4"/>
        <v>42</v>
      </c>
      <c r="B147" s="384" t="s">
        <v>388</v>
      </c>
      <c r="C147" s="384"/>
      <c r="D147" s="384"/>
      <c r="E147" s="582">
        <v>17870.554810000001</v>
      </c>
      <c r="F147" s="903"/>
      <c r="G147" s="386" t="s">
        <v>706</v>
      </c>
      <c r="H147" s="381">
        <f t="shared" si="5"/>
        <v>42</v>
      </c>
    </row>
    <row r="148" spans="1:8" x14ac:dyDescent="0.45">
      <c r="A148" s="381">
        <f t="shared" si="4"/>
        <v>43</v>
      </c>
      <c r="B148" s="384"/>
      <c r="C148" s="384"/>
      <c r="D148" s="384"/>
      <c r="E148" s="387"/>
      <c r="F148" s="377"/>
      <c r="G148" s="386"/>
      <c r="H148" s="381">
        <f t="shared" si="5"/>
        <v>43</v>
      </c>
    </row>
    <row r="149" spans="1:8" x14ac:dyDescent="0.45">
      <c r="A149" s="381">
        <f t="shared" si="4"/>
        <v>44</v>
      </c>
      <c r="B149" s="384" t="s">
        <v>389</v>
      </c>
      <c r="C149" s="384"/>
      <c r="D149" s="384"/>
      <c r="E149" s="585">
        <f>E111</f>
        <v>1320912.0409783619</v>
      </c>
      <c r="F149" s="586"/>
      <c r="G149" s="386" t="s">
        <v>707</v>
      </c>
      <c r="H149" s="381">
        <f t="shared" si="5"/>
        <v>44</v>
      </c>
    </row>
    <row r="150" spans="1:8" x14ac:dyDescent="0.45">
      <c r="A150" s="381">
        <f t="shared" si="4"/>
        <v>45</v>
      </c>
      <c r="B150" s="384"/>
      <c r="C150" s="384"/>
      <c r="D150" s="384"/>
      <c r="E150" s="587"/>
      <c r="F150" s="588"/>
      <c r="G150" s="414"/>
      <c r="H150" s="381">
        <f t="shared" si="5"/>
        <v>45</v>
      </c>
    </row>
    <row r="151" spans="1:8" ht="15.75" thickBot="1" x14ac:dyDescent="0.5">
      <c r="A151" s="381">
        <f t="shared" si="4"/>
        <v>46</v>
      </c>
      <c r="B151" s="377" t="s">
        <v>390</v>
      </c>
      <c r="C151" s="384"/>
      <c r="D151" s="384"/>
      <c r="E151" s="589">
        <f>(E145+E147)/E149</f>
        <v>7.2147800372773754E-2</v>
      </c>
      <c r="F151" s="590"/>
      <c r="G151" s="386" t="s">
        <v>708</v>
      </c>
      <c r="H151" s="381">
        <f t="shared" si="5"/>
        <v>46</v>
      </c>
    </row>
    <row r="152" spans="1:8" ht="15.75" thickTop="1" x14ac:dyDescent="0.45">
      <c r="A152" s="381">
        <f t="shared" si="4"/>
        <v>47</v>
      </c>
      <c r="B152" s="377"/>
      <c r="C152" s="377"/>
      <c r="D152" s="377"/>
      <c r="E152" s="591"/>
      <c r="F152" s="588"/>
      <c r="G152" s="414"/>
      <c r="H152" s="381">
        <f t="shared" si="5"/>
        <v>47</v>
      </c>
    </row>
    <row r="153" spans="1:8" x14ac:dyDescent="0.45">
      <c r="A153" s="381">
        <f t="shared" si="4"/>
        <v>48</v>
      </c>
      <c r="B153" s="383" t="s">
        <v>391</v>
      </c>
      <c r="C153" s="383"/>
      <c r="D153" s="383"/>
      <c r="E153" s="380"/>
      <c r="F153" s="378"/>
      <c r="G153" s="377"/>
      <c r="H153" s="381">
        <f t="shared" si="5"/>
        <v>48</v>
      </c>
    </row>
    <row r="154" spans="1:8" x14ac:dyDescent="0.45">
      <c r="A154" s="381">
        <f t="shared" si="4"/>
        <v>49</v>
      </c>
      <c r="B154" s="377"/>
      <c r="C154" s="377"/>
      <c r="D154" s="377"/>
      <c r="E154" s="380"/>
      <c r="F154" s="378"/>
      <c r="G154" s="377"/>
      <c r="H154" s="381">
        <f t="shared" si="5"/>
        <v>49</v>
      </c>
    </row>
    <row r="155" spans="1:8" x14ac:dyDescent="0.45">
      <c r="A155" s="381">
        <f t="shared" si="4"/>
        <v>50</v>
      </c>
      <c r="B155" s="384" t="s">
        <v>392</v>
      </c>
      <c r="C155" s="384"/>
      <c r="D155" s="384"/>
      <c r="E155" s="592">
        <v>0</v>
      </c>
      <c r="F155" s="903"/>
      <c r="G155" s="386" t="s">
        <v>709</v>
      </c>
      <c r="H155" s="381">
        <f t="shared" si="5"/>
        <v>50</v>
      </c>
    </row>
    <row r="156" spans="1:8" x14ac:dyDescent="0.45">
      <c r="A156" s="381">
        <f t="shared" si="4"/>
        <v>51</v>
      </c>
      <c r="B156" s="384"/>
      <c r="C156" s="384"/>
      <c r="D156" s="384"/>
      <c r="E156" s="593"/>
      <c r="F156" s="594"/>
      <c r="G156" s="377"/>
      <c r="H156" s="381">
        <f t="shared" si="5"/>
        <v>51</v>
      </c>
    </row>
    <row r="157" spans="1:8" x14ac:dyDescent="0.45">
      <c r="A157" s="381">
        <f t="shared" si="4"/>
        <v>52</v>
      </c>
      <c r="B157" s="384" t="s">
        <v>393</v>
      </c>
      <c r="C157" s="384"/>
      <c r="D157" s="384"/>
      <c r="E157" s="595">
        <f>'Pg9 Revised Stmt AV'!G111</f>
        <v>9.6610842896950974E-2</v>
      </c>
      <c r="F157" s="903"/>
      <c r="G157" s="386" t="s">
        <v>692</v>
      </c>
      <c r="H157" s="381">
        <f t="shared" si="5"/>
        <v>52</v>
      </c>
    </row>
    <row r="158" spans="1:8" x14ac:dyDescent="0.45">
      <c r="A158" s="381">
        <f t="shared" si="4"/>
        <v>53</v>
      </c>
      <c r="B158" s="377"/>
      <c r="C158" s="377"/>
      <c r="D158" s="377"/>
      <c r="E158" s="596"/>
      <c r="F158" s="597"/>
      <c r="G158" s="377"/>
      <c r="H158" s="381">
        <f t="shared" si="5"/>
        <v>53</v>
      </c>
    </row>
    <row r="159" spans="1:8" x14ac:dyDescent="0.45">
      <c r="A159" s="381">
        <f t="shared" si="4"/>
        <v>54</v>
      </c>
      <c r="B159" s="384" t="s">
        <v>394</v>
      </c>
      <c r="C159" s="384"/>
      <c r="D159" s="384"/>
      <c r="E159" s="598">
        <f>E155*E157</f>
        <v>0</v>
      </c>
      <c r="F159" s="599"/>
      <c r="G159" s="386" t="s">
        <v>710</v>
      </c>
      <c r="H159" s="381">
        <f t="shared" si="5"/>
        <v>54</v>
      </c>
    </row>
    <row r="160" spans="1:8" x14ac:dyDescent="0.45">
      <c r="A160" s="381">
        <f t="shared" si="4"/>
        <v>55</v>
      </c>
      <c r="B160" s="377"/>
      <c r="C160" s="377"/>
      <c r="D160" s="377"/>
      <c r="E160" s="600"/>
      <c r="F160" s="601"/>
      <c r="G160" s="377"/>
      <c r="H160" s="381">
        <f t="shared" si="5"/>
        <v>55</v>
      </c>
    </row>
    <row r="161" spans="1:8" x14ac:dyDescent="0.45">
      <c r="A161" s="381">
        <f t="shared" si="4"/>
        <v>56</v>
      </c>
      <c r="B161" s="384" t="s">
        <v>395</v>
      </c>
      <c r="C161" s="384"/>
      <c r="D161" s="384"/>
      <c r="E161" s="602">
        <f>E111</f>
        <v>1320912.0409783619</v>
      </c>
      <c r="F161" s="603"/>
      <c r="G161" s="386" t="s">
        <v>707</v>
      </c>
      <c r="H161" s="381">
        <f t="shared" si="5"/>
        <v>56</v>
      </c>
    </row>
    <row r="162" spans="1:8" x14ac:dyDescent="0.45">
      <c r="A162" s="381">
        <f t="shared" si="4"/>
        <v>57</v>
      </c>
      <c r="B162" s="377"/>
      <c r="C162" s="377"/>
      <c r="D162" s="377"/>
      <c r="E162" s="604"/>
      <c r="F162" s="605"/>
      <c r="G162" s="377"/>
      <c r="H162" s="381">
        <f t="shared" si="5"/>
        <v>57</v>
      </c>
    </row>
    <row r="163" spans="1:8" ht="15.75" thickBot="1" x14ac:dyDescent="0.5">
      <c r="A163" s="381">
        <f t="shared" si="4"/>
        <v>58</v>
      </c>
      <c r="B163" s="377" t="s">
        <v>396</v>
      </c>
      <c r="C163" s="384"/>
      <c r="D163" s="384"/>
      <c r="E163" s="433">
        <f>E159/E161</f>
        <v>0</v>
      </c>
      <c r="F163" s="413"/>
      <c r="G163" s="386" t="s">
        <v>711</v>
      </c>
      <c r="H163" s="381">
        <f t="shared" si="5"/>
        <v>58</v>
      </c>
    </row>
    <row r="164" spans="1:8" ht="15.75" thickTop="1" x14ac:dyDescent="0.45">
      <c r="A164" s="381"/>
      <c r="B164" s="377"/>
      <c r="C164" s="384"/>
      <c r="D164" s="384"/>
      <c r="E164" s="431"/>
      <c r="F164" s="413"/>
      <c r="G164" s="386"/>
      <c r="H164" s="381"/>
    </row>
    <row r="165" spans="1:8" x14ac:dyDescent="0.45">
      <c r="A165" s="381"/>
      <c r="B165" s="377"/>
      <c r="C165" s="384"/>
      <c r="D165" s="384"/>
      <c r="E165" s="431"/>
      <c r="F165" s="413"/>
      <c r="G165" s="386"/>
      <c r="H165" s="381"/>
    </row>
    <row r="166" spans="1:8" x14ac:dyDescent="0.45">
      <c r="A166" s="380"/>
      <c r="B166" s="377"/>
      <c r="C166" s="377"/>
      <c r="D166" s="377"/>
      <c r="E166" s="378"/>
      <c r="F166" s="378"/>
      <c r="G166" s="434"/>
      <c r="H166" s="202"/>
    </row>
    <row r="167" spans="1:8" ht="17.649999999999999" x14ac:dyDescent="0.45">
      <c r="A167" s="376"/>
      <c r="B167" s="606"/>
      <c r="C167" s="606"/>
      <c r="D167" s="606"/>
      <c r="E167" s="377"/>
      <c r="F167" s="377"/>
      <c r="G167" s="377"/>
      <c r="H167" s="376"/>
    </row>
    <row r="168" spans="1:8" x14ac:dyDescent="0.45">
      <c r="A168" s="376"/>
      <c r="B168" s="378"/>
      <c r="C168" s="378"/>
      <c r="D168" s="378"/>
      <c r="E168" s="378"/>
      <c r="F168" s="378"/>
      <c r="G168" s="377"/>
      <c r="H168" s="202"/>
    </row>
    <row r="169" spans="1:8" x14ac:dyDescent="0.45">
      <c r="A169" s="376"/>
      <c r="B169" s="378"/>
      <c r="C169" s="378"/>
      <c r="D169" s="378"/>
      <c r="E169" s="378"/>
      <c r="F169" s="378"/>
      <c r="G169" s="377"/>
      <c r="H169" s="202"/>
    </row>
    <row r="170" spans="1:8" x14ac:dyDescent="0.45">
      <c r="A170" s="376"/>
      <c r="B170" s="377"/>
      <c r="C170" s="377"/>
      <c r="D170" s="377"/>
      <c r="E170" s="378"/>
      <c r="F170" s="378"/>
      <c r="G170" s="377"/>
      <c r="H170" s="202"/>
    </row>
    <row r="171" spans="1:8" x14ac:dyDescent="0.45">
      <c r="A171" s="376"/>
      <c r="B171" s="377"/>
      <c r="C171" s="377"/>
      <c r="D171" s="377"/>
      <c r="E171" s="378"/>
      <c r="F171" s="378"/>
      <c r="G171" s="377"/>
      <c r="H171" s="202"/>
    </row>
    <row r="172" spans="1:8" x14ac:dyDescent="0.45">
      <c r="A172" s="376"/>
      <c r="B172" s="377"/>
      <c r="C172" s="377"/>
      <c r="D172" s="377"/>
      <c r="E172" s="378"/>
      <c r="F172" s="378"/>
      <c r="G172" s="377"/>
      <c r="H172" s="202"/>
    </row>
    <row r="173" spans="1:8" x14ac:dyDescent="0.45">
      <c r="A173" s="387"/>
    </row>
    <row r="174" spans="1:8" x14ac:dyDescent="0.45">
      <c r="A174" s="387"/>
    </row>
    <row r="175" spans="1:8" x14ac:dyDescent="0.45">
      <c r="A175" s="387"/>
    </row>
    <row r="176" spans="1:8" x14ac:dyDescent="0.45">
      <c r="A176" s="387"/>
    </row>
    <row r="177" spans="1:1" x14ac:dyDescent="0.45">
      <c r="A177" s="387"/>
    </row>
    <row r="178" spans="1:1" x14ac:dyDescent="0.45">
      <c r="A178" s="387"/>
    </row>
    <row r="179" spans="1:1" x14ac:dyDescent="0.45">
      <c r="A179" s="387"/>
    </row>
    <row r="180" spans="1:1" x14ac:dyDescent="0.45">
      <c r="A180" s="387"/>
    </row>
    <row r="181" spans="1:1" x14ac:dyDescent="0.45">
      <c r="A181" s="387"/>
    </row>
    <row r="182" spans="1:1" x14ac:dyDescent="0.45">
      <c r="A182" s="387"/>
    </row>
    <row r="183" spans="1:1" x14ac:dyDescent="0.45">
      <c r="A183" s="387"/>
    </row>
    <row r="184" spans="1:1" x14ac:dyDescent="0.45">
      <c r="A184" s="387"/>
    </row>
    <row r="185" spans="1:1" x14ac:dyDescent="0.45">
      <c r="A185" s="387"/>
    </row>
    <row r="186" spans="1:1" x14ac:dyDescent="0.45">
      <c r="A186" s="387"/>
    </row>
    <row r="187" spans="1:1" x14ac:dyDescent="0.45">
      <c r="A187" s="387"/>
    </row>
    <row r="188" spans="1:1" x14ac:dyDescent="0.45">
      <c r="A188" s="387"/>
    </row>
    <row r="189" spans="1:1" x14ac:dyDescent="0.45">
      <c r="A189" s="387"/>
    </row>
    <row r="190" spans="1:1" x14ac:dyDescent="0.45">
      <c r="A190" s="387"/>
    </row>
    <row r="191" spans="1:1" x14ac:dyDescent="0.45">
      <c r="A191" s="387"/>
    </row>
    <row r="192" spans="1:1" x14ac:dyDescent="0.45">
      <c r="A192" s="387"/>
    </row>
    <row r="193" spans="1:1" x14ac:dyDescent="0.45">
      <c r="A193" s="387"/>
    </row>
    <row r="194" spans="1:1" x14ac:dyDescent="0.45">
      <c r="A194" s="387"/>
    </row>
    <row r="195" spans="1:1" x14ac:dyDescent="0.45">
      <c r="A195" s="387"/>
    </row>
    <row r="196" spans="1:1" x14ac:dyDescent="0.45">
      <c r="A196" s="387"/>
    </row>
    <row r="197" spans="1:1" x14ac:dyDescent="0.45">
      <c r="A197" s="387"/>
    </row>
    <row r="198" spans="1:1" x14ac:dyDescent="0.45">
      <c r="A198" s="387"/>
    </row>
    <row r="199" spans="1:1" x14ac:dyDescent="0.45">
      <c r="A199" s="387"/>
    </row>
    <row r="200" spans="1:1" x14ac:dyDescent="0.45">
      <c r="A200" s="387"/>
    </row>
    <row r="201" spans="1:1" x14ac:dyDescent="0.45">
      <c r="A201" s="387"/>
    </row>
    <row r="202" spans="1:1" x14ac:dyDescent="0.45">
      <c r="A202" s="387"/>
    </row>
    <row r="203" spans="1:1" x14ac:dyDescent="0.45">
      <c r="A203" s="387"/>
    </row>
    <row r="204" spans="1:1" x14ac:dyDescent="0.45">
      <c r="A204" s="387"/>
    </row>
    <row r="205" spans="1:1" x14ac:dyDescent="0.45">
      <c r="A205" s="387"/>
    </row>
    <row r="206" spans="1:1" x14ac:dyDescent="0.45">
      <c r="A206" s="387"/>
    </row>
    <row r="207" spans="1:1" x14ac:dyDescent="0.45">
      <c r="A207" s="387"/>
    </row>
    <row r="208" spans="1:1" x14ac:dyDescent="0.45">
      <c r="A208" s="387"/>
    </row>
    <row r="209" spans="1:1" x14ac:dyDescent="0.45">
      <c r="A209" s="387"/>
    </row>
    <row r="210" spans="1:1" x14ac:dyDescent="0.45">
      <c r="A210" s="387"/>
    </row>
    <row r="211" spans="1:1" x14ac:dyDescent="0.45">
      <c r="A211" s="387"/>
    </row>
    <row r="212" spans="1:1" x14ac:dyDescent="0.45">
      <c r="A212" s="387"/>
    </row>
    <row r="213" spans="1:1" x14ac:dyDescent="0.45">
      <c r="A213" s="387"/>
    </row>
    <row r="214" spans="1:1" x14ac:dyDescent="0.45">
      <c r="A214" s="387"/>
    </row>
    <row r="215" spans="1:1" x14ac:dyDescent="0.45">
      <c r="A215" s="387"/>
    </row>
    <row r="216" spans="1:1" x14ac:dyDescent="0.45">
      <c r="A216" s="387"/>
    </row>
    <row r="217" spans="1:1" x14ac:dyDescent="0.45">
      <c r="A217" s="387"/>
    </row>
    <row r="218" spans="1:1" x14ac:dyDescent="0.45">
      <c r="A218" s="387"/>
    </row>
    <row r="219" spans="1:1" x14ac:dyDescent="0.45">
      <c r="A219" s="387"/>
    </row>
    <row r="220" spans="1:1" x14ac:dyDescent="0.45">
      <c r="A220" s="387"/>
    </row>
    <row r="221" spans="1:1" x14ac:dyDescent="0.45">
      <c r="A221" s="387"/>
    </row>
    <row r="222" spans="1:1" x14ac:dyDescent="0.45">
      <c r="A222" s="387"/>
    </row>
    <row r="223" spans="1:1" x14ac:dyDescent="0.45">
      <c r="A223" s="387"/>
    </row>
    <row r="224" spans="1:1" x14ac:dyDescent="0.45">
      <c r="A224" s="387"/>
    </row>
    <row r="225" spans="1:6" x14ac:dyDescent="0.45">
      <c r="A225" s="387"/>
    </row>
    <row r="226" spans="1:6" x14ac:dyDescent="0.45">
      <c r="A226" s="387"/>
    </row>
    <row r="227" spans="1:6" x14ac:dyDescent="0.45">
      <c r="A227" s="387"/>
    </row>
    <row r="228" spans="1:6" x14ac:dyDescent="0.45">
      <c r="A228" s="387"/>
    </row>
    <row r="229" spans="1:6" x14ac:dyDescent="0.45">
      <c r="A229" s="387"/>
    </row>
    <row r="230" spans="1:6" x14ac:dyDescent="0.45">
      <c r="A230" s="387"/>
    </row>
    <row r="231" spans="1:6" x14ac:dyDescent="0.45">
      <c r="A231" s="387"/>
    </row>
    <row r="232" spans="1:6" x14ac:dyDescent="0.45">
      <c r="A232" s="387"/>
    </row>
    <row r="233" spans="1:6" x14ac:dyDescent="0.45">
      <c r="A233" s="387"/>
    </row>
    <row r="234" spans="1:6" x14ac:dyDescent="0.45">
      <c r="A234" s="387"/>
    </row>
    <row r="235" spans="1:6" x14ac:dyDescent="0.45">
      <c r="A235" s="387"/>
    </row>
    <row r="236" spans="1:6" x14ac:dyDescent="0.45">
      <c r="A236" s="387"/>
    </row>
    <row r="237" spans="1:6" x14ac:dyDescent="0.45">
      <c r="A237" s="387"/>
      <c r="B237" s="378"/>
      <c r="C237" s="378"/>
      <c r="D237" s="378"/>
      <c r="E237" s="378"/>
      <c r="F237" s="378"/>
    </row>
    <row r="238" spans="1:6" x14ac:dyDescent="0.45">
      <c r="A238" s="387"/>
      <c r="B238" s="378"/>
      <c r="C238" s="378"/>
      <c r="D238" s="378"/>
      <c r="E238" s="378"/>
      <c r="F238" s="378"/>
    </row>
    <row r="243" spans="1:6" x14ac:dyDescent="0.45">
      <c r="A243" s="380"/>
      <c r="B243" s="378"/>
      <c r="C243" s="378"/>
      <c r="D243" s="378"/>
      <c r="E243" s="434"/>
      <c r="F243" s="434"/>
    </row>
  </sheetData>
  <mergeCells count="15">
    <mergeCell ref="B97:G97"/>
    <mergeCell ref="B98:G98"/>
    <mergeCell ref="B99:G99"/>
    <mergeCell ref="B100:G100"/>
    <mergeCell ref="B101:G101"/>
    <mergeCell ref="B46:G46"/>
    <mergeCell ref="B47:G47"/>
    <mergeCell ref="B48:G48"/>
    <mergeCell ref="B49:G49"/>
    <mergeCell ref="B50:G50"/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Roman,Bold"REVISED</oddHeader>
    <oddFooter>&amp;CPage 5.&amp;P&amp;R&amp;F</oddFooter>
  </headerFooter>
  <rowBreaks count="2" manualBreakCount="2">
    <brk id="44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2:U53"/>
  <sheetViews>
    <sheetView zoomScale="80" zoomScaleNormal="80" workbookViewId="0"/>
  </sheetViews>
  <sheetFormatPr defaultColWidth="8.73046875" defaultRowHeight="15.4" x14ac:dyDescent="0.45"/>
  <cols>
    <col min="1" max="1" width="5.06640625" style="494" customWidth="1"/>
    <col min="2" max="2" width="73.265625" style="444" customWidth="1"/>
    <col min="3" max="15" width="10.06640625" style="444" customWidth="1"/>
    <col min="16" max="16" width="1.59765625" style="444" customWidth="1"/>
    <col min="17" max="17" width="35.265625" style="444" customWidth="1"/>
    <col min="18" max="18" width="5.06640625" style="494" customWidth="1"/>
    <col min="19" max="20" width="8.73046875" style="444"/>
    <col min="21" max="21" width="9.796875" style="444" bestFit="1" customWidth="1"/>
    <col min="22" max="16384" width="8.73046875" style="444"/>
  </cols>
  <sheetData>
    <row r="2" spans="1:18" x14ac:dyDescent="0.45">
      <c r="B2" s="987" t="s">
        <v>19</v>
      </c>
      <c r="C2" s="987"/>
      <c r="D2" s="987"/>
      <c r="E2" s="987"/>
      <c r="F2" s="987"/>
      <c r="G2" s="987"/>
      <c r="H2" s="987"/>
      <c r="I2" s="987"/>
      <c r="J2" s="987"/>
      <c r="K2" s="987"/>
      <c r="L2" s="987"/>
      <c r="M2" s="987"/>
      <c r="N2" s="987"/>
      <c r="O2" s="987"/>
      <c r="P2" s="987"/>
      <c r="Q2" s="987"/>
    </row>
    <row r="3" spans="1:18" x14ac:dyDescent="0.45">
      <c r="B3" s="980" t="s">
        <v>513</v>
      </c>
      <c r="C3" s="980"/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  <c r="O3" s="980"/>
      <c r="P3" s="980"/>
      <c r="Q3" s="980"/>
      <c r="R3" s="904"/>
    </row>
    <row r="4" spans="1:18" x14ac:dyDescent="0.45">
      <c r="B4" s="980" t="s">
        <v>515</v>
      </c>
      <c r="C4" s="980"/>
      <c r="D4" s="980"/>
      <c r="E4" s="980"/>
      <c r="F4" s="980"/>
      <c r="G4" s="980"/>
      <c r="H4" s="980"/>
      <c r="I4" s="980"/>
      <c r="J4" s="980"/>
      <c r="K4" s="980"/>
      <c r="L4" s="980"/>
      <c r="M4" s="980"/>
      <c r="N4" s="980"/>
      <c r="O4" s="980"/>
      <c r="P4" s="980"/>
      <c r="Q4" s="980"/>
      <c r="R4" s="904"/>
    </row>
    <row r="5" spans="1:18" x14ac:dyDescent="0.45">
      <c r="B5" s="992" t="s">
        <v>571</v>
      </c>
      <c r="C5" s="992"/>
      <c r="D5" s="992"/>
      <c r="E5" s="992"/>
      <c r="F5" s="992"/>
      <c r="G5" s="992"/>
      <c r="H5" s="992"/>
      <c r="I5" s="992"/>
      <c r="J5" s="992"/>
      <c r="K5" s="992"/>
      <c r="L5" s="992"/>
      <c r="M5" s="992"/>
      <c r="N5" s="992"/>
      <c r="O5" s="992"/>
      <c r="P5" s="992"/>
      <c r="Q5" s="992"/>
      <c r="R5" s="607"/>
    </row>
    <row r="6" spans="1:18" x14ac:dyDescent="0.45">
      <c r="B6" s="993">
        <v>-1000</v>
      </c>
      <c r="C6" s="993"/>
      <c r="D6" s="993"/>
      <c r="E6" s="993"/>
      <c r="F6" s="993"/>
      <c r="G6" s="993"/>
      <c r="H6" s="993"/>
      <c r="I6" s="993"/>
      <c r="J6" s="993"/>
      <c r="K6" s="993"/>
      <c r="L6" s="993"/>
      <c r="M6" s="993"/>
      <c r="N6" s="993"/>
      <c r="O6" s="993"/>
      <c r="P6" s="993"/>
      <c r="Q6" s="993"/>
      <c r="R6" s="608"/>
    </row>
    <row r="7" spans="1:18" ht="15.75" thickBot="1" x14ac:dyDescent="0.5">
      <c r="A7" s="202"/>
      <c r="B7" s="378"/>
      <c r="C7" s="609"/>
      <c r="D7" s="609"/>
      <c r="E7" s="610"/>
      <c r="F7" s="610"/>
      <c r="G7" s="610"/>
      <c r="H7" s="610"/>
      <c r="I7" s="610"/>
      <c r="J7" s="610"/>
      <c r="K7" s="610"/>
      <c r="L7" s="610"/>
      <c r="M7" s="610"/>
      <c r="N7" s="609"/>
      <c r="O7" s="378"/>
      <c r="P7" s="378"/>
      <c r="Q7" s="378"/>
      <c r="R7" s="202"/>
    </row>
    <row r="8" spans="1:18" x14ac:dyDescent="0.45">
      <c r="A8" s="611"/>
      <c r="B8" s="612"/>
      <c r="C8" s="988" t="s">
        <v>722</v>
      </c>
      <c r="D8" s="989"/>
      <c r="E8" s="989"/>
      <c r="F8" s="989"/>
      <c r="G8" s="990"/>
      <c r="H8" s="988" t="s">
        <v>723</v>
      </c>
      <c r="I8" s="989"/>
      <c r="J8" s="989"/>
      <c r="K8" s="989"/>
      <c r="L8" s="989"/>
      <c r="M8" s="989"/>
      <c r="N8" s="990"/>
      <c r="O8" s="613"/>
      <c r="P8" s="612"/>
      <c r="Q8" s="612"/>
      <c r="R8" s="614"/>
    </row>
    <row r="9" spans="1:18" x14ac:dyDescent="0.45">
      <c r="A9" s="615" t="s">
        <v>2</v>
      </c>
      <c r="B9" s="609"/>
      <c r="C9" s="616" t="s">
        <v>10</v>
      </c>
      <c r="D9" s="610" t="s">
        <v>48</v>
      </c>
      <c r="E9" s="610" t="s">
        <v>175</v>
      </c>
      <c r="F9" s="610" t="s">
        <v>397</v>
      </c>
      <c r="G9" s="617" t="s">
        <v>398</v>
      </c>
      <c r="H9" s="616" t="s">
        <v>399</v>
      </c>
      <c r="I9" s="610" t="s">
        <v>400</v>
      </c>
      <c r="J9" s="610" t="s">
        <v>401</v>
      </c>
      <c r="K9" s="610" t="s">
        <v>402</v>
      </c>
      <c r="L9" s="610" t="s">
        <v>403</v>
      </c>
      <c r="M9" s="610" t="s">
        <v>404</v>
      </c>
      <c r="N9" s="617" t="s">
        <v>405</v>
      </c>
      <c r="O9" s="618" t="s">
        <v>406</v>
      </c>
      <c r="P9" s="610"/>
      <c r="Q9" s="609"/>
      <c r="R9" s="619" t="s">
        <v>2</v>
      </c>
    </row>
    <row r="10" spans="1:18" x14ac:dyDescent="0.45">
      <c r="A10" s="615" t="s">
        <v>6</v>
      </c>
      <c r="B10" s="620" t="s">
        <v>3</v>
      </c>
      <c r="C10" s="621" t="s">
        <v>724</v>
      </c>
      <c r="D10" s="622" t="s">
        <v>725</v>
      </c>
      <c r="E10" s="622" t="s">
        <v>726</v>
      </c>
      <c r="F10" s="622" t="s">
        <v>727</v>
      </c>
      <c r="G10" s="623" t="s">
        <v>728</v>
      </c>
      <c r="H10" s="621" t="s">
        <v>729</v>
      </c>
      <c r="I10" s="622" t="s">
        <v>730</v>
      </c>
      <c r="J10" s="622" t="s">
        <v>731</v>
      </c>
      <c r="K10" s="622" t="s">
        <v>732</v>
      </c>
      <c r="L10" s="622" t="s">
        <v>733</v>
      </c>
      <c r="M10" s="622" t="s">
        <v>734</v>
      </c>
      <c r="N10" s="623" t="s">
        <v>735</v>
      </c>
      <c r="O10" s="624" t="s">
        <v>9</v>
      </c>
      <c r="P10" s="620"/>
      <c r="Q10" s="620" t="s">
        <v>5</v>
      </c>
      <c r="R10" s="619" t="s">
        <v>6</v>
      </c>
    </row>
    <row r="11" spans="1:18" x14ac:dyDescent="0.45">
      <c r="A11" s="615"/>
      <c r="B11" s="625"/>
      <c r="C11" s="626"/>
      <c r="D11" s="627"/>
      <c r="E11" s="627"/>
      <c r="F11" s="627"/>
      <c r="G11" s="628"/>
      <c r="H11" s="626"/>
      <c r="I11" s="627"/>
      <c r="J11" s="627"/>
      <c r="K11" s="627"/>
      <c r="L11" s="627"/>
      <c r="M11" s="627"/>
      <c r="N11" s="629"/>
      <c r="O11" s="630"/>
      <c r="P11" s="625"/>
      <c r="Q11" s="610"/>
      <c r="R11" s="619"/>
    </row>
    <row r="12" spans="1:18" x14ac:dyDescent="0.45">
      <c r="A12" s="615">
        <v>1</v>
      </c>
      <c r="B12" s="609" t="s">
        <v>407</v>
      </c>
      <c r="C12" s="631"/>
      <c r="D12" s="632">
        <f>C43</f>
        <v>154.07558440075982</v>
      </c>
      <c r="E12" s="632">
        <f t="shared" ref="E12:N12" si="0">D43</f>
        <v>308.63563485348851</v>
      </c>
      <c r="F12" s="632">
        <f t="shared" si="0"/>
        <v>463.8185702301771</v>
      </c>
      <c r="G12" s="633">
        <f t="shared" si="0"/>
        <v>619.61797327812144</v>
      </c>
      <c r="H12" s="634">
        <f t="shared" si="0"/>
        <v>776.05588335771733</v>
      </c>
      <c r="I12" s="632">
        <f t="shared" si="0"/>
        <v>799.93555156981552</v>
      </c>
      <c r="J12" s="632">
        <f t="shared" si="0"/>
        <v>824.16387054361508</v>
      </c>
      <c r="K12" s="632">
        <f t="shared" si="0"/>
        <v>848.47613593165624</v>
      </c>
      <c r="L12" s="632">
        <f t="shared" si="0"/>
        <v>872.78710752789198</v>
      </c>
      <c r="M12" s="632">
        <f t="shared" si="0"/>
        <v>897.48348880738547</v>
      </c>
      <c r="N12" s="633">
        <f t="shared" si="0"/>
        <v>922.17758712054592</v>
      </c>
      <c r="O12" s="635"/>
      <c r="P12" s="607"/>
      <c r="Q12" s="636" t="s">
        <v>670</v>
      </c>
      <c r="R12" s="619">
        <f>A12</f>
        <v>1</v>
      </c>
    </row>
    <row r="13" spans="1:18" x14ac:dyDescent="0.45">
      <c r="A13" s="615">
        <f>A12+1</f>
        <v>2</v>
      </c>
      <c r="B13" s="609"/>
      <c r="C13" s="637"/>
      <c r="D13" s="638"/>
      <c r="E13" s="638"/>
      <c r="F13" s="638"/>
      <c r="G13" s="639"/>
      <c r="H13" s="634"/>
      <c r="I13" s="638"/>
      <c r="J13" s="638"/>
      <c r="K13" s="638"/>
      <c r="L13" s="638"/>
      <c r="M13" s="638"/>
      <c r="N13" s="639"/>
      <c r="O13" s="640"/>
      <c r="P13" s="638"/>
      <c r="Q13" s="609"/>
      <c r="R13" s="619">
        <f>R12+1</f>
        <v>2</v>
      </c>
    </row>
    <row r="14" spans="1:18" x14ac:dyDescent="0.45">
      <c r="A14" s="615">
        <f t="shared" ref="A14:A44" si="1">A13+1</f>
        <v>3</v>
      </c>
      <c r="B14" s="609" t="s">
        <v>408</v>
      </c>
      <c r="C14" s="641">
        <v>0</v>
      </c>
      <c r="D14" s="424">
        <v>0</v>
      </c>
      <c r="E14" s="424">
        <v>0</v>
      </c>
      <c r="F14" s="424">
        <v>0</v>
      </c>
      <c r="G14" s="642">
        <v>0</v>
      </c>
      <c r="H14" s="643">
        <v>214.31770150333875</v>
      </c>
      <c r="I14" s="644">
        <v>214.31770150333875</v>
      </c>
      <c r="J14" s="644">
        <v>214.31770150333875</v>
      </c>
      <c r="K14" s="644">
        <v>214.31770150333875</v>
      </c>
      <c r="L14" s="644">
        <v>214.31770150333875</v>
      </c>
      <c r="M14" s="644">
        <v>214.31770150333875</v>
      </c>
      <c r="N14" s="645">
        <v>214.31770150333875</v>
      </c>
      <c r="O14" s="646">
        <f>SUM(C14:N14)</f>
        <v>1500.2239105233716</v>
      </c>
      <c r="P14" s="632"/>
      <c r="Q14" s="636" t="s">
        <v>671</v>
      </c>
      <c r="R14" s="619">
        <f t="shared" ref="R14:R44" si="2">R13+1</f>
        <v>3</v>
      </c>
    </row>
    <row r="15" spans="1:18" x14ac:dyDescent="0.45">
      <c r="A15" s="615">
        <f t="shared" si="1"/>
        <v>4</v>
      </c>
      <c r="B15" s="609"/>
      <c r="C15" s="647"/>
      <c r="D15" s="648"/>
      <c r="E15" s="648"/>
      <c r="F15" s="648"/>
      <c r="G15" s="649"/>
      <c r="H15" s="647"/>
      <c r="I15" s="648"/>
      <c r="J15" s="648"/>
      <c r="K15" s="648"/>
      <c r="L15" s="648"/>
      <c r="M15" s="648"/>
      <c r="N15" s="650"/>
      <c r="O15" s="651"/>
      <c r="P15" s="652"/>
      <c r="Q15" s="636" t="s">
        <v>672</v>
      </c>
      <c r="R15" s="619">
        <f t="shared" si="2"/>
        <v>4</v>
      </c>
    </row>
    <row r="16" spans="1:18" ht="17.649999999999999" x14ac:dyDescent="0.45">
      <c r="A16" s="615">
        <f t="shared" si="1"/>
        <v>5</v>
      </c>
      <c r="B16" s="609" t="s">
        <v>409</v>
      </c>
      <c r="C16" s="647"/>
      <c r="D16" s="648"/>
      <c r="E16" s="648"/>
      <c r="F16" s="648"/>
      <c r="G16" s="649"/>
      <c r="H16" s="647"/>
      <c r="I16" s="648"/>
      <c r="J16" s="648"/>
      <c r="K16" s="648"/>
      <c r="L16" s="648"/>
      <c r="M16" s="648"/>
      <c r="N16" s="650"/>
      <c r="O16" s="651"/>
      <c r="P16" s="652"/>
      <c r="Q16" s="609"/>
      <c r="R16" s="619">
        <f t="shared" si="2"/>
        <v>5</v>
      </c>
    </row>
    <row r="17" spans="1:21" x14ac:dyDescent="0.45">
      <c r="A17" s="615">
        <f t="shared" si="1"/>
        <v>6</v>
      </c>
      <c r="B17" s="653" t="s">
        <v>736</v>
      </c>
      <c r="C17" s="634"/>
      <c r="D17" s="654"/>
      <c r="E17" s="654"/>
      <c r="F17" s="654"/>
      <c r="G17" s="655"/>
      <c r="H17" s="647"/>
      <c r="I17" s="648"/>
      <c r="J17" s="648"/>
      <c r="K17" s="648"/>
      <c r="L17" s="648"/>
      <c r="M17" s="648"/>
      <c r="N17" s="649"/>
      <c r="O17" s="656">
        <f>SUM(C17:G17)</f>
        <v>0</v>
      </c>
      <c r="P17" s="657"/>
      <c r="Q17" s="636" t="s">
        <v>444</v>
      </c>
      <c r="R17" s="619">
        <f t="shared" si="2"/>
        <v>6</v>
      </c>
    </row>
    <row r="18" spans="1:21" x14ac:dyDescent="0.45">
      <c r="A18" s="615">
        <f t="shared" si="1"/>
        <v>7</v>
      </c>
      <c r="B18" s="653" t="s">
        <v>737</v>
      </c>
      <c r="C18" s="658">
        <v>4.3091666666666661</v>
      </c>
      <c r="D18" s="659">
        <v>4.3091666666666661</v>
      </c>
      <c r="E18" s="659">
        <v>4.3091666666666661</v>
      </c>
      <c r="F18" s="659">
        <v>4.3091666666666661</v>
      </c>
      <c r="G18" s="660">
        <v>4.3091666666666661</v>
      </c>
      <c r="H18" s="634"/>
      <c r="I18" s="632"/>
      <c r="J18" s="632"/>
      <c r="K18" s="632"/>
      <c r="L18" s="632"/>
      <c r="M18" s="632"/>
      <c r="N18" s="633"/>
      <c r="O18" s="656">
        <f>SUM(C18:G18)</f>
        <v>21.545833333333331</v>
      </c>
      <c r="P18" s="657"/>
      <c r="Q18" s="636" t="s">
        <v>673</v>
      </c>
      <c r="R18" s="619">
        <f t="shared" si="2"/>
        <v>7</v>
      </c>
    </row>
    <row r="19" spans="1:21" x14ac:dyDescent="0.45">
      <c r="A19" s="615">
        <f t="shared" si="1"/>
        <v>8</v>
      </c>
      <c r="B19" s="661"/>
      <c r="C19" s="662"/>
      <c r="D19" s="663"/>
      <c r="E19" s="663"/>
      <c r="F19" s="663"/>
      <c r="G19" s="664"/>
      <c r="H19" s="665"/>
      <c r="I19" s="666"/>
      <c r="J19" s="666"/>
      <c r="K19" s="666"/>
      <c r="L19" s="666"/>
      <c r="M19" s="666"/>
      <c r="N19" s="667"/>
      <c r="O19" s="656"/>
      <c r="P19" s="657"/>
      <c r="Q19" s="636"/>
      <c r="R19" s="619">
        <f t="shared" si="2"/>
        <v>8</v>
      </c>
    </row>
    <row r="20" spans="1:21" x14ac:dyDescent="0.45">
      <c r="A20" s="615">
        <f t="shared" si="1"/>
        <v>9</v>
      </c>
      <c r="B20" s="653" t="s">
        <v>738</v>
      </c>
      <c r="C20" s="658">
        <v>45.783690236955351</v>
      </c>
      <c r="D20" s="668">
        <v>45.783690236955351</v>
      </c>
      <c r="E20" s="668">
        <v>45.783690236955351</v>
      </c>
      <c r="F20" s="668">
        <v>45.783690236955351</v>
      </c>
      <c r="G20" s="669">
        <v>45.783690236955351</v>
      </c>
      <c r="H20" s="665"/>
      <c r="I20" s="666"/>
      <c r="J20" s="666"/>
      <c r="K20" s="666"/>
      <c r="L20" s="666"/>
      <c r="M20" s="666"/>
      <c r="N20" s="667"/>
      <c r="O20" s="670">
        <f>SUM(C20:G20)</f>
        <v>228.91845118477676</v>
      </c>
      <c r="P20" s="657"/>
      <c r="Q20" s="636" t="s">
        <v>674</v>
      </c>
      <c r="R20" s="619">
        <f t="shared" si="2"/>
        <v>9</v>
      </c>
    </row>
    <row r="21" spans="1:21" x14ac:dyDescent="0.45">
      <c r="A21" s="615">
        <f t="shared" si="1"/>
        <v>10</v>
      </c>
      <c r="B21" s="653" t="s">
        <v>739</v>
      </c>
      <c r="C21" s="647"/>
      <c r="D21" s="648"/>
      <c r="E21" s="648"/>
      <c r="F21" s="648"/>
      <c r="G21" s="649"/>
      <c r="H21" s="671">
        <v>3.2130000000000001</v>
      </c>
      <c r="I21" s="659">
        <v>3.2130000000000001</v>
      </c>
      <c r="J21" s="659">
        <v>3.2130000000000001</v>
      </c>
      <c r="K21" s="659">
        <v>3.2130000000000001</v>
      </c>
      <c r="L21" s="659">
        <v>3.2130000000000001</v>
      </c>
      <c r="M21" s="659">
        <v>3.2130000000000001</v>
      </c>
      <c r="N21" s="660">
        <v>3.2130000000000001</v>
      </c>
      <c r="O21" s="670">
        <f>SUM(H21:N21)</f>
        <v>22.491000000000003</v>
      </c>
      <c r="P21" s="657"/>
      <c r="Q21" s="636" t="s">
        <v>675</v>
      </c>
      <c r="R21" s="619">
        <f t="shared" si="2"/>
        <v>10</v>
      </c>
    </row>
    <row r="22" spans="1:21" x14ac:dyDescent="0.45">
      <c r="A22" s="615">
        <f t="shared" si="1"/>
        <v>11</v>
      </c>
      <c r="B22" s="661"/>
      <c r="C22" s="647"/>
      <c r="D22" s="648"/>
      <c r="E22" s="648"/>
      <c r="F22" s="648"/>
      <c r="G22" s="649"/>
      <c r="H22" s="662"/>
      <c r="I22" s="632"/>
      <c r="J22" s="632"/>
      <c r="K22" s="632"/>
      <c r="L22" s="632"/>
      <c r="M22" s="632"/>
      <c r="N22" s="633"/>
      <c r="O22" s="670"/>
      <c r="P22" s="657"/>
      <c r="Q22" s="636"/>
      <c r="R22" s="619">
        <f t="shared" si="2"/>
        <v>11</v>
      </c>
    </row>
    <row r="23" spans="1:21" x14ac:dyDescent="0.45">
      <c r="A23" s="615">
        <f t="shared" si="1"/>
        <v>12</v>
      </c>
      <c r="B23" s="653" t="s">
        <v>740</v>
      </c>
      <c r="C23" s="647"/>
      <c r="D23" s="648"/>
      <c r="E23" s="648"/>
      <c r="F23" s="648"/>
      <c r="G23" s="649"/>
      <c r="H23" s="672">
        <v>-114.735</v>
      </c>
      <c r="I23" s="659">
        <v>-114.735</v>
      </c>
      <c r="J23" s="659">
        <v>-114.735</v>
      </c>
      <c r="K23" s="659">
        <v>-114.735</v>
      </c>
      <c r="L23" s="659">
        <v>-114.735</v>
      </c>
      <c r="M23" s="659">
        <v>-114.735</v>
      </c>
      <c r="N23" s="660">
        <v>-114.735</v>
      </c>
      <c r="O23" s="670">
        <f>SUM(H23:N23)</f>
        <v>-803.14499999999998</v>
      </c>
      <c r="P23" s="657"/>
      <c r="Q23" s="636" t="s">
        <v>676</v>
      </c>
      <c r="R23" s="619">
        <f t="shared" si="2"/>
        <v>12</v>
      </c>
    </row>
    <row r="24" spans="1:21" x14ac:dyDescent="0.45">
      <c r="A24" s="615">
        <f t="shared" si="1"/>
        <v>13</v>
      </c>
      <c r="B24" s="653" t="s">
        <v>741</v>
      </c>
      <c r="C24" s="647"/>
      <c r="D24" s="648"/>
      <c r="E24" s="648"/>
      <c r="F24" s="648"/>
      <c r="G24" s="648"/>
      <c r="H24" s="647"/>
      <c r="I24" s="648"/>
      <c r="J24" s="648"/>
      <c r="K24" s="673"/>
      <c r="L24" s="648"/>
      <c r="M24" s="648"/>
      <c r="N24" s="674"/>
      <c r="O24" s="675">
        <f>SUM(C24:N24)</f>
        <v>0</v>
      </c>
      <c r="P24" s="676"/>
      <c r="Q24" s="636" t="s">
        <v>444</v>
      </c>
      <c r="R24" s="619">
        <f t="shared" si="2"/>
        <v>13</v>
      </c>
    </row>
    <row r="25" spans="1:21" x14ac:dyDescent="0.45">
      <c r="A25" s="615">
        <f t="shared" si="1"/>
        <v>14</v>
      </c>
      <c r="B25" s="653"/>
      <c r="C25" s="647"/>
      <c r="D25" s="648"/>
      <c r="E25" s="648"/>
      <c r="F25" s="648"/>
      <c r="G25" s="648"/>
      <c r="H25" s="647"/>
      <c r="I25" s="648"/>
      <c r="J25" s="648"/>
      <c r="K25" s="673"/>
      <c r="L25" s="648"/>
      <c r="M25" s="648"/>
      <c r="N25" s="674"/>
      <c r="O25" s="675"/>
      <c r="P25" s="676"/>
      <c r="Q25" s="636"/>
      <c r="R25" s="619">
        <f t="shared" si="2"/>
        <v>14</v>
      </c>
    </row>
    <row r="26" spans="1:21" x14ac:dyDescent="0.45">
      <c r="A26" s="615">
        <f t="shared" si="1"/>
        <v>15</v>
      </c>
      <c r="B26" s="653" t="s">
        <v>410</v>
      </c>
      <c r="C26" s="677"/>
      <c r="D26" s="648"/>
      <c r="E26" s="648"/>
      <c r="F26" s="648"/>
      <c r="G26" s="678"/>
      <c r="H26" s="679">
        <v>80.109298496661268</v>
      </c>
      <c r="I26" s="659">
        <v>80.109298496661268</v>
      </c>
      <c r="J26" s="659">
        <v>80.109298496661268</v>
      </c>
      <c r="K26" s="659">
        <v>80.109298496661268</v>
      </c>
      <c r="L26" s="659">
        <v>80.109298496661268</v>
      </c>
      <c r="M26" s="659">
        <v>80.109298496661268</v>
      </c>
      <c r="N26" s="659">
        <v>80.109298496661268</v>
      </c>
      <c r="O26" s="680">
        <f>SUM(H26:N26)</f>
        <v>560.76508947662887</v>
      </c>
      <c r="P26" s="681"/>
      <c r="Q26" s="636" t="s">
        <v>677</v>
      </c>
      <c r="R26" s="619">
        <f t="shared" si="2"/>
        <v>15</v>
      </c>
    </row>
    <row r="27" spans="1:21" x14ac:dyDescent="0.45">
      <c r="A27" s="615">
        <f t="shared" si="1"/>
        <v>16</v>
      </c>
      <c r="B27" s="609" t="s">
        <v>411</v>
      </c>
      <c r="C27" s="682">
        <f t="shared" ref="C27:N27" si="3">SUM(C17:C26)</f>
        <v>50.092856903622021</v>
      </c>
      <c r="D27" s="683">
        <f t="shared" si="3"/>
        <v>50.092856903622021</v>
      </c>
      <c r="E27" s="683">
        <f t="shared" si="3"/>
        <v>50.092856903622021</v>
      </c>
      <c r="F27" s="683">
        <f t="shared" si="3"/>
        <v>50.092856903622021</v>
      </c>
      <c r="G27" s="916">
        <f t="shared" si="3"/>
        <v>50.092856903622021</v>
      </c>
      <c r="H27" s="682">
        <f t="shared" si="3"/>
        <v>-31.412701503338738</v>
      </c>
      <c r="I27" s="683">
        <f t="shared" si="3"/>
        <v>-31.412701503338738</v>
      </c>
      <c r="J27" s="683">
        <f t="shared" si="3"/>
        <v>-31.412701503338738</v>
      </c>
      <c r="K27" s="683">
        <f t="shared" si="3"/>
        <v>-31.412701503338738</v>
      </c>
      <c r="L27" s="683">
        <f t="shared" si="3"/>
        <v>-31.412701503338738</v>
      </c>
      <c r="M27" s="683">
        <f t="shared" si="3"/>
        <v>-31.412701503338738</v>
      </c>
      <c r="N27" s="916">
        <f t="shared" si="3"/>
        <v>-31.412701503338738</v>
      </c>
      <c r="O27" s="684">
        <f>SUM(C27:N27)</f>
        <v>30.575373994738982</v>
      </c>
      <c r="P27" s="632"/>
      <c r="Q27" s="636" t="s">
        <v>678</v>
      </c>
      <c r="R27" s="619">
        <f t="shared" si="2"/>
        <v>16</v>
      </c>
    </row>
    <row r="28" spans="1:21" x14ac:dyDescent="0.45">
      <c r="A28" s="615">
        <f t="shared" si="1"/>
        <v>17</v>
      </c>
      <c r="B28" s="685"/>
      <c r="C28" s="647"/>
      <c r="D28" s="648"/>
      <c r="E28" s="648"/>
      <c r="F28" s="648"/>
      <c r="G28" s="649"/>
      <c r="H28" s="647"/>
      <c r="I28" s="648"/>
      <c r="J28" s="648"/>
      <c r="K28" s="648"/>
      <c r="L28" s="673"/>
      <c r="M28" s="648"/>
      <c r="N28" s="650"/>
      <c r="O28" s="651"/>
      <c r="P28" s="652"/>
      <c r="Q28" s="609"/>
      <c r="R28" s="619">
        <f t="shared" si="2"/>
        <v>17</v>
      </c>
    </row>
    <row r="29" spans="1:21" x14ac:dyDescent="0.45">
      <c r="A29" s="615">
        <f t="shared" si="1"/>
        <v>18</v>
      </c>
      <c r="B29" s="609" t="s">
        <v>412</v>
      </c>
      <c r="C29" s="686">
        <f t="shared" ref="C29:N29" si="4">C14+C27</f>
        <v>50.092856903622021</v>
      </c>
      <c r="D29" s="687">
        <f t="shared" si="4"/>
        <v>50.092856903622021</v>
      </c>
      <c r="E29" s="687">
        <f t="shared" si="4"/>
        <v>50.092856903622021</v>
      </c>
      <c r="F29" s="687">
        <f t="shared" si="4"/>
        <v>50.092856903622021</v>
      </c>
      <c r="G29" s="688">
        <f t="shared" si="4"/>
        <v>50.092856903622021</v>
      </c>
      <c r="H29" s="686">
        <f t="shared" si="4"/>
        <v>182.90500000000003</v>
      </c>
      <c r="I29" s="687">
        <f t="shared" si="4"/>
        <v>182.90500000000003</v>
      </c>
      <c r="J29" s="687">
        <f t="shared" si="4"/>
        <v>182.90500000000003</v>
      </c>
      <c r="K29" s="687">
        <f t="shared" si="4"/>
        <v>182.90500000000003</v>
      </c>
      <c r="L29" s="687">
        <f t="shared" si="4"/>
        <v>182.90500000000003</v>
      </c>
      <c r="M29" s="687">
        <f t="shared" si="4"/>
        <v>182.90500000000003</v>
      </c>
      <c r="N29" s="688">
        <f t="shared" si="4"/>
        <v>182.90500000000003</v>
      </c>
      <c r="O29" s="689">
        <f>SUM(C29:N29)</f>
        <v>1530.79928451811</v>
      </c>
      <c r="P29" s="687"/>
      <c r="Q29" s="690" t="s">
        <v>679</v>
      </c>
      <c r="R29" s="619">
        <f t="shared" si="2"/>
        <v>18</v>
      </c>
    </row>
    <row r="30" spans="1:21" x14ac:dyDescent="0.45">
      <c r="A30" s="615">
        <f t="shared" si="1"/>
        <v>19</v>
      </c>
      <c r="B30" s="609"/>
      <c r="C30" s="691"/>
      <c r="D30" s="692"/>
      <c r="E30" s="692"/>
      <c r="F30" s="692"/>
      <c r="G30" s="693"/>
      <c r="H30" s="691"/>
      <c r="I30" s="692"/>
      <c r="J30" s="692"/>
      <c r="K30" s="692"/>
      <c r="L30" s="692"/>
      <c r="M30" s="692"/>
      <c r="N30" s="693"/>
      <c r="O30" s="694"/>
      <c r="P30" s="695"/>
      <c r="Q30" s="609"/>
      <c r="R30" s="619">
        <f t="shared" si="2"/>
        <v>19</v>
      </c>
    </row>
    <row r="31" spans="1:21" ht="15.75" x14ac:dyDescent="0.5">
      <c r="A31" s="615">
        <f t="shared" si="1"/>
        <v>20</v>
      </c>
      <c r="B31" s="609" t="s">
        <v>413</v>
      </c>
      <c r="C31" s="696">
        <f>'Pg6.1 Rev C2 Atchmnt 3-Sec4b '!$D$24</f>
        <v>203.89160356039963</v>
      </c>
      <c r="D31" s="425">
        <f>'Pg6.1 Rev C2 Atchmnt 3-Sec4b '!$D$24</f>
        <v>203.89160356039963</v>
      </c>
      <c r="E31" s="425">
        <f>'Pg6.1 Rev C2 Atchmnt 3-Sec4b '!$D$24</f>
        <v>203.89160356039963</v>
      </c>
      <c r="F31" s="425">
        <f>'Pg6.1 Rev C2 Atchmnt 3-Sec4b '!$D$24</f>
        <v>203.89160356039963</v>
      </c>
      <c r="G31" s="697">
        <f>'Pg6.1 Rev C2 Atchmnt 3-Sec4b '!$D$24</f>
        <v>203.89160356039963</v>
      </c>
      <c r="H31" s="696">
        <f>'Pg6.1 Rev C2 Atchmnt 3-Sec4b '!$D$24</f>
        <v>203.89160356039963</v>
      </c>
      <c r="I31" s="425">
        <f>'Pg6.1 Rev C2 Atchmnt 3-Sec4b '!$D$24</f>
        <v>203.89160356039963</v>
      </c>
      <c r="J31" s="425">
        <f>'Pg6.1 Rev C2 Atchmnt 3-Sec4b '!$D$24</f>
        <v>203.89160356039963</v>
      </c>
      <c r="K31" s="425">
        <f>'Pg6.1 Rev C2 Atchmnt 3-Sec4b '!$D$24</f>
        <v>203.89160356039963</v>
      </c>
      <c r="L31" s="425">
        <f>'Pg6.1 Rev C2 Atchmnt 3-Sec4b '!$D$24</f>
        <v>203.89160356039963</v>
      </c>
      <c r="M31" s="425">
        <f>'Pg6.1 Rev C2 Atchmnt 3-Sec4b '!$D$24</f>
        <v>203.89160356039963</v>
      </c>
      <c r="N31" s="697">
        <f>'Pg6.1 Rev C2 Atchmnt 3-Sec4b '!$D$24</f>
        <v>203.89160356039963</v>
      </c>
      <c r="O31" s="698">
        <f>SUM(C31:N31)</f>
        <v>2446.699242724796</v>
      </c>
      <c r="P31" s="26" t="s">
        <v>15</v>
      </c>
      <c r="Q31" s="636" t="s">
        <v>680</v>
      </c>
      <c r="R31" s="619">
        <f t="shared" si="2"/>
        <v>20</v>
      </c>
      <c r="U31" s="699"/>
    </row>
    <row r="32" spans="1:21" x14ac:dyDescent="0.45">
      <c r="A32" s="615">
        <f t="shared" si="1"/>
        <v>21</v>
      </c>
      <c r="B32" s="609"/>
      <c r="C32" s="917"/>
      <c r="D32" s="700"/>
      <c r="E32" s="701"/>
      <c r="F32" s="700"/>
      <c r="G32" s="702"/>
      <c r="H32" s="918"/>
      <c r="I32" s="701"/>
      <c r="J32" s="700"/>
      <c r="K32" s="701"/>
      <c r="L32" s="700"/>
      <c r="M32" s="701"/>
      <c r="N32" s="703"/>
      <c r="O32" s="704"/>
      <c r="P32" s="695"/>
      <c r="Q32" s="609"/>
      <c r="R32" s="619">
        <f t="shared" si="2"/>
        <v>21</v>
      </c>
    </row>
    <row r="33" spans="1:18" ht="16.149999999999999" thickBot="1" x14ac:dyDescent="0.55000000000000004">
      <c r="A33" s="615">
        <f t="shared" si="1"/>
        <v>22</v>
      </c>
      <c r="B33" s="609" t="s">
        <v>414</v>
      </c>
      <c r="C33" s="705">
        <f>C31-C29</f>
        <v>153.79874665677761</v>
      </c>
      <c r="D33" s="706">
        <f t="shared" ref="D33:N33" si="5">D31-D29</f>
        <v>153.79874665677761</v>
      </c>
      <c r="E33" s="706">
        <f t="shared" si="5"/>
        <v>153.79874665677761</v>
      </c>
      <c r="F33" s="706">
        <f t="shared" si="5"/>
        <v>153.79874665677761</v>
      </c>
      <c r="G33" s="707">
        <f t="shared" si="5"/>
        <v>153.79874665677761</v>
      </c>
      <c r="H33" s="705">
        <f t="shared" si="5"/>
        <v>20.986603560399601</v>
      </c>
      <c r="I33" s="706">
        <f t="shared" si="5"/>
        <v>20.986603560399601</v>
      </c>
      <c r="J33" s="706">
        <f t="shared" si="5"/>
        <v>20.986603560399601</v>
      </c>
      <c r="K33" s="706">
        <f t="shared" si="5"/>
        <v>20.986603560399601</v>
      </c>
      <c r="L33" s="706">
        <f t="shared" si="5"/>
        <v>20.986603560399601</v>
      </c>
      <c r="M33" s="706">
        <f t="shared" si="5"/>
        <v>20.986603560399601</v>
      </c>
      <c r="N33" s="707">
        <f t="shared" si="5"/>
        <v>20.986603560399601</v>
      </c>
      <c r="O33" s="708">
        <f>O31-O29</f>
        <v>915.89995820668605</v>
      </c>
      <c r="P33" s="26" t="s">
        <v>15</v>
      </c>
      <c r="Q33" s="636" t="s">
        <v>681</v>
      </c>
      <c r="R33" s="619">
        <f t="shared" si="2"/>
        <v>22</v>
      </c>
    </row>
    <row r="34" spans="1:18" ht="16.149999999999999" thickTop="1" thickBot="1" x14ac:dyDescent="0.5">
      <c r="A34" s="615">
        <f t="shared" si="1"/>
        <v>23</v>
      </c>
      <c r="B34" s="609"/>
      <c r="C34" s="709"/>
      <c r="D34" s="609"/>
      <c r="E34" s="609"/>
      <c r="F34" s="609"/>
      <c r="G34" s="629"/>
      <c r="H34" s="709"/>
      <c r="I34" s="609"/>
      <c r="J34" s="609"/>
      <c r="K34" s="609"/>
      <c r="L34" s="609"/>
      <c r="M34" s="609"/>
      <c r="N34" s="629"/>
      <c r="O34" s="710"/>
      <c r="P34" s="711"/>
      <c r="Q34" s="609"/>
      <c r="R34" s="619">
        <f t="shared" si="2"/>
        <v>23</v>
      </c>
    </row>
    <row r="35" spans="1:18" x14ac:dyDescent="0.45">
      <c r="A35" s="615">
        <f t="shared" si="1"/>
        <v>24</v>
      </c>
      <c r="B35" s="712"/>
      <c r="C35" s="713"/>
      <c r="D35" s="612"/>
      <c r="E35" s="612"/>
      <c r="F35" s="612"/>
      <c r="G35" s="714"/>
      <c r="H35" s="713"/>
      <c r="I35" s="612"/>
      <c r="J35" s="612"/>
      <c r="K35" s="612"/>
      <c r="L35" s="612"/>
      <c r="M35" s="612"/>
      <c r="N35" s="714"/>
      <c r="O35" s="715"/>
      <c r="P35" s="716"/>
      <c r="Q35" s="717"/>
      <c r="R35" s="619">
        <f t="shared" si="2"/>
        <v>24</v>
      </c>
    </row>
    <row r="36" spans="1:18" x14ac:dyDescent="0.45">
      <c r="A36" s="615">
        <f t="shared" si="1"/>
        <v>25</v>
      </c>
      <c r="B36" s="609" t="s">
        <v>415</v>
      </c>
      <c r="C36" s="709"/>
      <c r="D36" s="609"/>
      <c r="E36" s="609"/>
      <c r="F36" s="609"/>
      <c r="G36" s="629"/>
      <c r="H36" s="709"/>
      <c r="I36" s="609"/>
      <c r="J36" s="609"/>
      <c r="K36" s="609"/>
      <c r="L36" s="609"/>
      <c r="M36" s="609"/>
      <c r="N36" s="629"/>
      <c r="O36" s="710"/>
      <c r="P36" s="711"/>
      <c r="Q36" s="609"/>
      <c r="R36" s="619">
        <f t="shared" si="2"/>
        <v>25</v>
      </c>
    </row>
    <row r="37" spans="1:18" ht="17.649999999999999" x14ac:dyDescent="0.45">
      <c r="A37" s="615">
        <f t="shared" si="1"/>
        <v>26</v>
      </c>
      <c r="B37" s="653" t="s">
        <v>416</v>
      </c>
      <c r="C37" s="718">
        <v>0</v>
      </c>
      <c r="D37" s="453">
        <v>0</v>
      </c>
      <c r="E37" s="453">
        <v>0</v>
      </c>
      <c r="F37" s="453">
        <f>E43</f>
        <v>463.8185702301771</v>
      </c>
      <c r="G37" s="719">
        <f>E43</f>
        <v>463.8185702301771</v>
      </c>
      <c r="H37" s="718">
        <f>E43</f>
        <v>463.8185702301771</v>
      </c>
      <c r="I37" s="453">
        <f>H43</f>
        <v>799.93555156981552</v>
      </c>
      <c r="J37" s="453">
        <f>H43</f>
        <v>799.93555156981552</v>
      </c>
      <c r="K37" s="453">
        <f>H43</f>
        <v>799.93555156981552</v>
      </c>
      <c r="L37" s="453">
        <f>K43</f>
        <v>872.78710752789198</v>
      </c>
      <c r="M37" s="453">
        <f>K43</f>
        <v>872.78710752789198</v>
      </c>
      <c r="N37" s="719">
        <f>K43</f>
        <v>872.78710752789198</v>
      </c>
      <c r="O37" s="710"/>
      <c r="P37" s="711"/>
      <c r="Q37" s="636" t="s">
        <v>417</v>
      </c>
      <c r="R37" s="619">
        <f t="shared" si="2"/>
        <v>26</v>
      </c>
    </row>
    <row r="38" spans="1:18" x14ac:dyDescent="0.45">
      <c r="A38" s="615">
        <f t="shared" si="1"/>
        <v>27</v>
      </c>
      <c r="B38" s="653" t="s">
        <v>418</v>
      </c>
      <c r="C38" s="720">
        <f>C33/2</f>
        <v>76.899373328388805</v>
      </c>
      <c r="D38" s="721">
        <f>C33+(D33/2)</f>
        <v>230.69811998516641</v>
      </c>
      <c r="E38" s="721">
        <f>C33+D33+(E33/2)</f>
        <v>384.49686664194405</v>
      </c>
      <c r="F38" s="721">
        <f>F33/2</f>
        <v>76.899373328388805</v>
      </c>
      <c r="G38" s="722">
        <f>F33+(G33/2)</f>
        <v>230.69811998516641</v>
      </c>
      <c r="H38" s="720">
        <f>F33+G33+(H33/2)</f>
        <v>318.09079509375499</v>
      </c>
      <c r="I38" s="723">
        <f>I33/2</f>
        <v>10.493301780199801</v>
      </c>
      <c r="J38" s="723">
        <f>I33+(J33/2)</f>
        <v>31.479905340599402</v>
      </c>
      <c r="K38" s="723">
        <f>I33+J33+(K33/2)</f>
        <v>52.466508900999003</v>
      </c>
      <c r="L38" s="723">
        <f>L33/2</f>
        <v>10.493301780199801</v>
      </c>
      <c r="M38" s="723">
        <f>L33+(M33/2)</f>
        <v>31.479905340599402</v>
      </c>
      <c r="N38" s="722">
        <f>L33+M33+(N33/2)</f>
        <v>52.466508900999003</v>
      </c>
      <c r="O38" s="710"/>
      <c r="P38" s="711"/>
      <c r="Q38" s="636" t="s">
        <v>419</v>
      </c>
      <c r="R38" s="619">
        <f t="shared" si="2"/>
        <v>27</v>
      </c>
    </row>
    <row r="39" spans="1:18" x14ac:dyDescent="0.45">
      <c r="A39" s="615">
        <f t="shared" si="1"/>
        <v>28</v>
      </c>
      <c r="B39" s="653" t="s">
        <v>420</v>
      </c>
      <c r="C39" s="919">
        <f>SUM(C37:C38)</f>
        <v>76.899373328388805</v>
      </c>
      <c r="D39" s="724">
        <f t="shared" ref="D39:I39" si="6">SUM(D37:D38)</f>
        <v>230.69811998516641</v>
      </c>
      <c r="E39" s="724">
        <f t="shared" si="6"/>
        <v>384.49686664194405</v>
      </c>
      <c r="F39" s="724">
        <f t="shared" si="6"/>
        <v>540.71794355856593</v>
      </c>
      <c r="G39" s="725">
        <f t="shared" si="6"/>
        <v>694.51669021534349</v>
      </c>
      <c r="H39" s="919">
        <f t="shared" si="6"/>
        <v>781.90936532393209</v>
      </c>
      <c r="I39" s="724">
        <f t="shared" si="6"/>
        <v>810.42885335001529</v>
      </c>
      <c r="J39" s="724">
        <f>SUM(J37:J38)</f>
        <v>831.41545691041495</v>
      </c>
      <c r="K39" s="724">
        <f>SUM(K37:K38)</f>
        <v>852.40206047081449</v>
      </c>
      <c r="L39" s="724">
        <f>SUM(L37:L38)</f>
        <v>883.28040930809175</v>
      </c>
      <c r="M39" s="724">
        <f>SUM(M37:M38)</f>
        <v>904.26701286849141</v>
      </c>
      <c r="N39" s="725">
        <f>SUM(N37:N38)</f>
        <v>925.25361642889095</v>
      </c>
      <c r="O39" s="710"/>
      <c r="P39" s="711"/>
      <c r="Q39" s="636" t="str">
        <f>"Line "&amp;A37&amp;" + Line "&amp;A38</f>
        <v>Line 26 + Line 27</v>
      </c>
      <c r="R39" s="619">
        <f t="shared" si="2"/>
        <v>28</v>
      </c>
    </row>
    <row r="40" spans="1:18" x14ac:dyDescent="0.45">
      <c r="A40" s="615">
        <f t="shared" si="1"/>
        <v>29</v>
      </c>
      <c r="B40" s="653" t="s">
        <v>421</v>
      </c>
      <c r="C40" s="726">
        <v>3.5999999999999999E-3</v>
      </c>
      <c r="D40" s="727">
        <v>3.3E-3</v>
      </c>
      <c r="E40" s="728">
        <v>3.5999999999999999E-3</v>
      </c>
      <c r="F40" s="728">
        <v>3.7000000000000002E-3</v>
      </c>
      <c r="G40" s="729">
        <v>3.8E-3</v>
      </c>
      <c r="H40" s="726">
        <v>3.7000000000000002E-3</v>
      </c>
      <c r="I40" s="728">
        <v>4.0000000000000001E-3</v>
      </c>
      <c r="J40" s="728">
        <v>4.0000000000000001E-3</v>
      </c>
      <c r="K40" s="728">
        <v>3.8999999999999998E-3</v>
      </c>
      <c r="L40" s="728">
        <v>4.1999999999999997E-3</v>
      </c>
      <c r="M40" s="728">
        <v>4.1000000000000003E-3</v>
      </c>
      <c r="N40" s="730">
        <v>4.1999999999999997E-3</v>
      </c>
      <c r="O40" s="710"/>
      <c r="P40" s="711"/>
      <c r="Q40" s="636" t="s">
        <v>422</v>
      </c>
      <c r="R40" s="619">
        <f t="shared" si="2"/>
        <v>29</v>
      </c>
    </row>
    <row r="41" spans="1:18" x14ac:dyDescent="0.45">
      <c r="A41" s="615">
        <f t="shared" si="1"/>
        <v>30</v>
      </c>
      <c r="B41" s="653" t="s">
        <v>423</v>
      </c>
      <c r="C41" s="731">
        <f>C39*C40</f>
        <v>0.27683774398219968</v>
      </c>
      <c r="D41" s="732">
        <f t="shared" ref="D41:I41" si="7">D39*D40</f>
        <v>0.76130379595104913</v>
      </c>
      <c r="E41" s="732">
        <f t="shared" si="7"/>
        <v>1.3841887199109986</v>
      </c>
      <c r="F41" s="732">
        <f t="shared" si="7"/>
        <v>2.0006563911666939</v>
      </c>
      <c r="G41" s="920">
        <f t="shared" si="7"/>
        <v>2.6391634228183052</v>
      </c>
      <c r="H41" s="731">
        <f t="shared" si="7"/>
        <v>2.8930646516985488</v>
      </c>
      <c r="I41" s="732">
        <f t="shared" si="7"/>
        <v>3.2417154134000614</v>
      </c>
      <c r="J41" s="732">
        <f>J39*J40</f>
        <v>3.3256618276416599</v>
      </c>
      <c r="K41" s="732">
        <f>K39*K40</f>
        <v>3.3243680358361765</v>
      </c>
      <c r="L41" s="732">
        <f>L39*L40</f>
        <v>3.7097777190939851</v>
      </c>
      <c r="M41" s="732">
        <f>M39*M40</f>
        <v>3.7074947527608151</v>
      </c>
      <c r="N41" s="920">
        <f>N39*N40</f>
        <v>3.8860651890013416</v>
      </c>
      <c r="O41" s="733">
        <f>SUM(C41:N41)</f>
        <v>31.150297663261835</v>
      </c>
      <c r="P41" s="453"/>
      <c r="Q41" s="636" t="str">
        <f>"Line "&amp;A39&amp;" x Line "&amp;A40</f>
        <v>Line 28 x Line 29</v>
      </c>
      <c r="R41" s="619">
        <f t="shared" si="2"/>
        <v>30</v>
      </c>
    </row>
    <row r="42" spans="1:18" x14ac:dyDescent="0.45">
      <c r="A42" s="615">
        <f t="shared" si="1"/>
        <v>31</v>
      </c>
      <c r="B42" s="609"/>
      <c r="C42" s="709"/>
      <c r="D42" s="609"/>
      <c r="E42" s="609"/>
      <c r="F42" s="609"/>
      <c r="G42" s="629"/>
      <c r="H42" s="709"/>
      <c r="I42" s="609"/>
      <c r="J42" s="609"/>
      <c r="K42" s="609"/>
      <c r="L42" s="609"/>
      <c r="M42" s="609"/>
      <c r="N42" s="629"/>
      <c r="O42" s="710"/>
      <c r="P42" s="711"/>
      <c r="Q42" s="609"/>
      <c r="R42" s="619">
        <f t="shared" si="2"/>
        <v>31</v>
      </c>
    </row>
    <row r="43" spans="1:18" ht="16.149999999999999" thickBot="1" x14ac:dyDescent="0.55000000000000004">
      <c r="A43" s="615">
        <f t="shared" si="1"/>
        <v>32</v>
      </c>
      <c r="B43" s="609" t="s">
        <v>424</v>
      </c>
      <c r="C43" s="734">
        <f t="shared" ref="C43:N43" si="8">C12+C33+C41</f>
        <v>154.07558440075982</v>
      </c>
      <c r="D43" s="735">
        <f t="shared" si="8"/>
        <v>308.63563485348851</v>
      </c>
      <c r="E43" s="735">
        <f t="shared" si="8"/>
        <v>463.8185702301771</v>
      </c>
      <c r="F43" s="735">
        <f t="shared" si="8"/>
        <v>619.61797327812144</v>
      </c>
      <c r="G43" s="736">
        <f t="shared" si="8"/>
        <v>776.05588335771733</v>
      </c>
      <c r="H43" s="734">
        <f t="shared" si="8"/>
        <v>799.93555156981552</v>
      </c>
      <c r="I43" s="735">
        <f t="shared" si="8"/>
        <v>824.16387054361508</v>
      </c>
      <c r="J43" s="735">
        <f t="shared" si="8"/>
        <v>848.47613593165624</v>
      </c>
      <c r="K43" s="735">
        <f t="shared" si="8"/>
        <v>872.78710752789198</v>
      </c>
      <c r="L43" s="735">
        <f t="shared" si="8"/>
        <v>897.48348880738547</v>
      </c>
      <c r="M43" s="735">
        <f t="shared" si="8"/>
        <v>922.17758712054592</v>
      </c>
      <c r="N43" s="736">
        <f t="shared" si="8"/>
        <v>947.0502558699468</v>
      </c>
      <c r="O43" s="737">
        <f>O33+O41</f>
        <v>947.05025586994793</v>
      </c>
      <c r="P43" s="26" t="s">
        <v>15</v>
      </c>
      <c r="Q43" s="636" t="str">
        <f>"Sum Lines "&amp;A12&amp;", "&amp;A33&amp;", "&amp;A41</f>
        <v>Sum Lines 1, 22, 30</v>
      </c>
      <c r="R43" s="619">
        <f t="shared" si="2"/>
        <v>32</v>
      </c>
    </row>
    <row r="44" spans="1:18" ht="16.149999999999999" thickTop="1" thickBot="1" x14ac:dyDescent="0.5">
      <c r="A44" s="615">
        <f t="shared" si="1"/>
        <v>33</v>
      </c>
      <c r="B44" s="738"/>
      <c r="C44" s="739"/>
      <c r="D44" s="738"/>
      <c r="E44" s="738"/>
      <c r="F44" s="738"/>
      <c r="G44" s="740"/>
      <c r="H44" s="739"/>
      <c r="I44" s="738"/>
      <c r="J44" s="738"/>
      <c r="K44" s="738"/>
      <c r="L44" s="738"/>
      <c r="M44" s="738"/>
      <c r="N44" s="740"/>
      <c r="O44" s="741"/>
      <c r="P44" s="738"/>
      <c r="Q44" s="738"/>
      <c r="R44" s="619">
        <f t="shared" si="2"/>
        <v>33</v>
      </c>
    </row>
    <row r="45" spans="1:18" x14ac:dyDescent="0.45">
      <c r="A45" s="607"/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202"/>
    </row>
    <row r="46" spans="1:18" ht="15.75" x14ac:dyDescent="0.5">
      <c r="A46" s="26" t="s">
        <v>15</v>
      </c>
      <c r="B46" s="23" t="s">
        <v>332</v>
      </c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202"/>
    </row>
    <row r="47" spans="1:18" ht="17.25" x14ac:dyDescent="0.45">
      <c r="A47" s="742">
        <v>1</v>
      </c>
      <c r="B47" s="653" t="s">
        <v>425</v>
      </c>
      <c r="C47" s="609"/>
      <c r="D47" s="609"/>
      <c r="E47" s="609"/>
      <c r="F47" s="609"/>
      <c r="G47" s="609"/>
      <c r="H47" s="609"/>
      <c r="I47" s="609"/>
      <c r="J47" s="609"/>
      <c r="K47" s="609"/>
      <c r="L47" s="609"/>
      <c r="M47" s="609"/>
      <c r="N47" s="609"/>
      <c r="O47" s="991"/>
      <c r="P47" s="991"/>
      <c r="Q47" s="991"/>
      <c r="R47" s="202"/>
    </row>
    <row r="48" spans="1:18" ht="17.25" x14ac:dyDescent="0.45">
      <c r="A48" s="742">
        <v>2</v>
      </c>
      <c r="B48" s="653" t="s">
        <v>426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202"/>
    </row>
    <row r="49" spans="1:7" x14ac:dyDescent="0.45">
      <c r="A49" s="202"/>
      <c r="B49" s="653" t="str">
        <f>"a) 1st Month of Quarter = Column a, Line "&amp;A33&amp;" Divided by 2."</f>
        <v>a) 1st Month of Quarter = Column a, Line 22 Divided by 2.</v>
      </c>
      <c r="C49" s="378"/>
      <c r="D49" s="378"/>
      <c r="E49" s="378"/>
      <c r="F49" s="378"/>
      <c r="G49" s="378"/>
    </row>
    <row r="50" spans="1:7" x14ac:dyDescent="0.45">
      <c r="A50" s="202"/>
      <c r="B50" s="653" t="str">
        <f>"b) 2nd Month of Quarter = Column a, Line "&amp;A33&amp;" + (Column b, Line "&amp;A33&amp;" Divided by 2)."</f>
        <v>b) 2nd Month of Quarter = Column a, Line 22 + (Column b, Line 22 Divided by 2).</v>
      </c>
      <c r="C50" s="378"/>
      <c r="D50" s="378"/>
      <c r="E50" s="378"/>
      <c r="F50" s="378"/>
      <c r="G50" s="743"/>
    </row>
    <row r="51" spans="1:7" x14ac:dyDescent="0.45">
      <c r="A51" s="202"/>
      <c r="B51" s="653" t="str">
        <f>"c) 3rd Month of Quarter = Column a, Line "&amp;A33&amp;" + Column b, Line "&amp;A33&amp;" + (Column c, Line "&amp;A33&amp;" Divided by 2)."</f>
        <v>c) 3rd Month of Quarter = Column a, Line 22 + Column b, Line 22 + (Column c, Line 22 Divided by 2).</v>
      </c>
      <c r="C51" s="378"/>
      <c r="D51" s="378"/>
      <c r="E51" s="378"/>
      <c r="F51" s="378"/>
      <c r="G51" s="744"/>
    </row>
    <row r="52" spans="1:7" x14ac:dyDescent="0.45">
      <c r="A52" s="202"/>
      <c r="B52" s="653" t="s">
        <v>427</v>
      </c>
      <c r="C52" s="378"/>
      <c r="D52" s="378"/>
      <c r="E52" s="378"/>
      <c r="F52" s="378"/>
      <c r="G52" s="745"/>
    </row>
    <row r="53" spans="1:7" ht="17.25" x14ac:dyDescent="0.45">
      <c r="A53" s="742">
        <v>3</v>
      </c>
      <c r="B53" s="653" t="s">
        <v>428</v>
      </c>
      <c r="C53" s="378"/>
      <c r="D53" s="378"/>
      <c r="E53" s="378"/>
      <c r="F53" s="378"/>
      <c r="G53" s="378"/>
    </row>
  </sheetData>
  <mergeCells count="8">
    <mergeCell ref="B2:Q2"/>
    <mergeCell ref="C8:G8"/>
    <mergeCell ref="H8:N8"/>
    <mergeCell ref="O47:Q47"/>
    <mergeCell ref="B3:Q3"/>
    <mergeCell ref="B4:Q4"/>
    <mergeCell ref="B5:Q5"/>
    <mergeCell ref="B6:Q6"/>
  </mergeCells>
  <printOptions horizontalCentered="1"/>
  <pageMargins left="0.25" right="0.25" top="0.5" bottom="0.5" header="0.4" footer="0.25"/>
  <pageSetup scale="53" orientation="landscape" r:id="rId1"/>
  <headerFooter scaleWithDoc="0" alignWithMargins="0">
    <oddHeader>&amp;C&amp;"Times New Roman,Bold"&amp;10REVISED</oddHeader>
    <oddFooter>&amp;CPage 6&amp;R&amp;F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E6E3-E2C7-4FB1-975B-6EAFB5081E76}">
  <sheetPr>
    <pageSetUpPr fitToPage="1"/>
  </sheetPr>
  <dimension ref="A1:J28"/>
  <sheetViews>
    <sheetView zoomScale="80" zoomScaleNormal="80" workbookViewId="0"/>
  </sheetViews>
  <sheetFormatPr defaultColWidth="8.73046875" defaultRowHeight="15.4" x14ac:dyDescent="0.45"/>
  <cols>
    <col min="1" max="1" width="5.06640625" style="494" customWidth="1"/>
    <col min="2" max="2" width="79.59765625" style="444" customWidth="1"/>
    <col min="3" max="3" width="1.59765625" style="444" customWidth="1"/>
    <col min="4" max="4" width="16.796875" style="444" customWidth="1"/>
    <col min="5" max="5" width="1.59765625" style="444" customWidth="1"/>
    <col min="6" max="6" width="40.265625" style="444" customWidth="1"/>
    <col min="7" max="7" width="5.06640625" style="494" customWidth="1"/>
    <col min="8" max="16384" width="8.73046875" style="444"/>
  </cols>
  <sheetData>
    <row r="1" spans="1:10" x14ac:dyDescent="0.45">
      <c r="F1" s="497"/>
    </row>
    <row r="2" spans="1:10" x14ac:dyDescent="0.45">
      <c r="B2" s="987" t="s">
        <v>19</v>
      </c>
      <c r="C2" s="987"/>
      <c r="D2" s="987"/>
      <c r="E2" s="987"/>
      <c r="F2" s="987"/>
    </row>
    <row r="3" spans="1:10" x14ac:dyDescent="0.45">
      <c r="A3" s="202"/>
      <c r="B3" s="994" t="s">
        <v>513</v>
      </c>
      <c r="C3" s="994"/>
      <c r="D3" s="994"/>
      <c r="E3" s="994"/>
      <c r="F3" s="994"/>
      <c r="G3" s="202"/>
    </row>
    <row r="4" spans="1:10" x14ac:dyDescent="0.45">
      <c r="A4" s="202"/>
      <c r="B4" s="994" t="s">
        <v>516</v>
      </c>
      <c r="C4" s="994"/>
      <c r="D4" s="994"/>
      <c r="E4" s="994"/>
      <c r="F4" s="994"/>
      <c r="G4" s="202"/>
    </row>
    <row r="5" spans="1:10" x14ac:dyDescent="0.45">
      <c r="A5" s="202"/>
      <c r="B5" s="994" t="s">
        <v>661</v>
      </c>
      <c r="C5" s="994"/>
      <c r="D5" s="994"/>
      <c r="E5" s="994"/>
      <c r="F5" s="994"/>
      <c r="G5" s="202"/>
    </row>
    <row r="6" spans="1:10" x14ac:dyDescent="0.45">
      <c r="A6" s="202"/>
      <c r="B6" s="995">
        <v>-1000</v>
      </c>
      <c r="C6" s="995"/>
      <c r="D6" s="995"/>
      <c r="E6" s="995"/>
      <c r="F6" s="995"/>
      <c r="G6" s="202"/>
    </row>
    <row r="8" spans="1:10" x14ac:dyDescent="0.45">
      <c r="A8" s="746" t="s">
        <v>2</v>
      </c>
      <c r="B8" s="747"/>
      <c r="C8" s="747"/>
      <c r="D8" s="378"/>
      <c r="E8" s="378"/>
      <c r="F8" s="378"/>
      <c r="G8" s="746" t="s">
        <v>2</v>
      </c>
    </row>
    <row r="9" spans="1:10" ht="17.649999999999999" x14ac:dyDescent="0.45">
      <c r="A9" s="746" t="s">
        <v>6</v>
      </c>
      <c r="B9" s="748" t="s">
        <v>3</v>
      </c>
      <c r="C9" s="747"/>
      <c r="D9" s="748" t="s">
        <v>4</v>
      </c>
      <c r="E9" s="505"/>
      <c r="F9" s="748" t="s">
        <v>429</v>
      </c>
      <c r="G9" s="746" t="s">
        <v>6</v>
      </c>
    </row>
    <row r="10" spans="1:10" x14ac:dyDescent="0.45">
      <c r="A10" s="746"/>
      <c r="B10" s="749"/>
      <c r="C10" s="747"/>
      <c r="D10" s="750"/>
      <c r="E10" s="747"/>
      <c r="F10" s="747"/>
      <c r="G10" s="746"/>
    </row>
    <row r="11" spans="1:10" x14ac:dyDescent="0.45">
      <c r="A11" s="746">
        <v>1</v>
      </c>
      <c r="B11" s="751" t="s">
        <v>430</v>
      </c>
      <c r="C11" s="751"/>
      <c r="D11" s="632">
        <v>62.686206847943446</v>
      </c>
      <c r="E11" s="747"/>
      <c r="F11" s="505" t="s">
        <v>662</v>
      </c>
      <c r="G11" s="746">
        <f>A11</f>
        <v>1</v>
      </c>
    </row>
    <row r="12" spans="1:10" x14ac:dyDescent="0.45">
      <c r="A12" s="746">
        <f>A11+1</f>
        <v>2</v>
      </c>
      <c r="B12" s="752"/>
      <c r="C12" s="751"/>
      <c r="D12" s="753"/>
      <c r="E12" s="754"/>
      <c r="F12" s="505"/>
      <c r="G12" s="746">
        <f>G11+1</f>
        <v>2</v>
      </c>
    </row>
    <row r="13" spans="1:10" ht="15.75" x14ac:dyDescent="0.5">
      <c r="A13" s="746">
        <f t="shared" ref="A13:A24" si="0">A12+1</f>
        <v>3</v>
      </c>
      <c r="B13" s="751" t="s">
        <v>431</v>
      </c>
      <c r="C13" s="751"/>
      <c r="D13" s="755">
        <f>'Pg5 Rev B1.Atchmnt 2 BK2 NonDir'!E41</f>
        <v>1597.4021560166998</v>
      </c>
      <c r="E13" s="26" t="s">
        <v>15</v>
      </c>
      <c r="F13" s="505" t="s">
        <v>663</v>
      </c>
      <c r="G13" s="746">
        <f t="shared" ref="G13:G24" si="1">G12+1</f>
        <v>3</v>
      </c>
    </row>
    <row r="14" spans="1:10" x14ac:dyDescent="0.45">
      <c r="A14" s="746">
        <f t="shared" si="0"/>
        <v>4</v>
      </c>
      <c r="B14" s="752"/>
      <c r="C14" s="751"/>
      <c r="D14" s="753"/>
      <c r="E14" s="754"/>
      <c r="F14" s="505"/>
      <c r="G14" s="746">
        <f t="shared" si="1"/>
        <v>4</v>
      </c>
    </row>
    <row r="15" spans="1:10" x14ac:dyDescent="0.45">
      <c r="A15" s="746">
        <f t="shared" si="0"/>
        <v>5</v>
      </c>
      <c r="B15" s="751" t="s">
        <v>432</v>
      </c>
      <c r="C15" s="751"/>
      <c r="D15" s="753"/>
      <c r="E15" s="754"/>
      <c r="F15" s="505"/>
      <c r="G15" s="746">
        <f t="shared" si="1"/>
        <v>5</v>
      </c>
    </row>
    <row r="16" spans="1:10" x14ac:dyDescent="0.45">
      <c r="A16" s="746">
        <f t="shared" si="0"/>
        <v>6</v>
      </c>
      <c r="B16" s="752" t="s">
        <v>433</v>
      </c>
      <c r="C16" s="752"/>
      <c r="D16" s="657">
        <v>70.550923619020793</v>
      </c>
      <c r="E16" s="747"/>
      <c r="F16" s="505" t="s">
        <v>664</v>
      </c>
      <c r="G16" s="746">
        <f t="shared" si="1"/>
        <v>6</v>
      </c>
      <c r="J16" s="500"/>
    </row>
    <row r="17" spans="1:7" x14ac:dyDescent="0.45">
      <c r="A17" s="746">
        <f t="shared" si="0"/>
        <v>7</v>
      </c>
      <c r="B17" s="752" t="s">
        <v>434</v>
      </c>
      <c r="C17" s="752"/>
      <c r="D17" s="657">
        <v>639.38199970667574</v>
      </c>
      <c r="E17" s="747"/>
      <c r="F17" s="505" t="s">
        <v>665</v>
      </c>
      <c r="G17" s="746">
        <f t="shared" si="1"/>
        <v>7</v>
      </c>
    </row>
    <row r="18" spans="1:7" x14ac:dyDescent="0.45">
      <c r="A18" s="746">
        <f t="shared" si="0"/>
        <v>8</v>
      </c>
      <c r="B18" s="752" t="s">
        <v>435</v>
      </c>
      <c r="C18" s="752"/>
      <c r="D18" s="657">
        <v>76.67795653445603</v>
      </c>
      <c r="E18" s="747"/>
      <c r="F18" s="505" t="s">
        <v>666</v>
      </c>
      <c r="G18" s="746">
        <f t="shared" si="1"/>
        <v>8</v>
      </c>
    </row>
    <row r="19" spans="1:7" x14ac:dyDescent="0.45">
      <c r="A19" s="746">
        <f t="shared" si="0"/>
        <v>9</v>
      </c>
      <c r="B19" s="752" t="s">
        <v>436</v>
      </c>
      <c r="C19" s="752"/>
      <c r="D19" s="753"/>
      <c r="E19" s="754"/>
      <c r="F19" s="505"/>
      <c r="G19" s="746">
        <f t="shared" si="1"/>
        <v>9</v>
      </c>
    </row>
    <row r="20" spans="1:7" x14ac:dyDescent="0.45">
      <c r="A20" s="746">
        <f t="shared" si="0"/>
        <v>10</v>
      </c>
      <c r="B20" s="752" t="s">
        <v>437</v>
      </c>
      <c r="C20" s="752"/>
      <c r="D20" s="367">
        <v>0</v>
      </c>
      <c r="E20" s="747"/>
      <c r="F20" s="505" t="s">
        <v>667</v>
      </c>
      <c r="G20" s="746">
        <f t="shared" si="1"/>
        <v>10</v>
      </c>
    </row>
    <row r="21" spans="1:7" x14ac:dyDescent="0.45">
      <c r="A21" s="746">
        <f t="shared" si="0"/>
        <v>11</v>
      </c>
      <c r="B21" s="751"/>
      <c r="C21" s="751"/>
      <c r="D21" s="753"/>
      <c r="E21" s="747"/>
      <c r="F21" s="505"/>
      <c r="G21" s="746">
        <f t="shared" si="1"/>
        <v>11</v>
      </c>
    </row>
    <row r="22" spans="1:7" ht="15.75" thickBot="1" x14ac:dyDescent="0.5">
      <c r="A22" s="746">
        <f t="shared" si="0"/>
        <v>12</v>
      </c>
      <c r="B22" s="751" t="s">
        <v>438</v>
      </c>
      <c r="C22" s="751"/>
      <c r="D22" s="756">
        <f>SUM(D11:D20)</f>
        <v>2446.6992427247956</v>
      </c>
      <c r="E22" s="757"/>
      <c r="F22" s="505" t="s">
        <v>668</v>
      </c>
      <c r="G22" s="746">
        <f t="shared" si="1"/>
        <v>12</v>
      </c>
    </row>
    <row r="23" spans="1:7" ht="15.75" thickTop="1" x14ac:dyDescent="0.45">
      <c r="A23" s="746">
        <f t="shared" si="0"/>
        <v>13</v>
      </c>
      <c r="B23" s="752"/>
      <c r="C23" s="751"/>
      <c r="D23" s="758"/>
      <c r="E23" s="759"/>
      <c r="F23" s="505"/>
      <c r="G23" s="746">
        <f t="shared" si="1"/>
        <v>13</v>
      </c>
    </row>
    <row r="24" spans="1:7" ht="16.149999999999999" thickBot="1" x14ac:dyDescent="0.55000000000000004">
      <c r="A24" s="746">
        <f t="shared" si="0"/>
        <v>14</v>
      </c>
      <c r="B24" s="752" t="s">
        <v>439</v>
      </c>
      <c r="C24" s="751"/>
      <c r="D24" s="706">
        <f>D22/12</f>
        <v>203.89160356039963</v>
      </c>
      <c r="E24" s="26" t="s">
        <v>15</v>
      </c>
      <c r="F24" s="505" t="s">
        <v>669</v>
      </c>
      <c r="G24" s="746">
        <f t="shared" si="1"/>
        <v>14</v>
      </c>
    </row>
    <row r="25" spans="1:7" ht="15.75" thickTop="1" x14ac:dyDescent="0.45">
      <c r="A25" s="746"/>
      <c r="B25" s="751"/>
      <c r="C25" s="751"/>
      <c r="D25" s="751"/>
      <c r="E25" s="751"/>
      <c r="F25" s="747"/>
      <c r="G25" s="746"/>
    </row>
    <row r="26" spans="1:7" ht="15.75" x14ac:dyDescent="0.5">
      <c r="A26" s="26" t="s">
        <v>15</v>
      </c>
      <c r="B26" s="23" t="s">
        <v>332</v>
      </c>
      <c r="C26" s="751"/>
      <c r="D26" s="751"/>
      <c r="E26" s="751"/>
      <c r="F26" s="751"/>
      <c r="G26" s="746"/>
    </row>
    <row r="27" spans="1:7" ht="17.25" x14ac:dyDescent="0.45">
      <c r="A27" s="760">
        <v>1</v>
      </c>
      <c r="B27" s="752" t="s">
        <v>742</v>
      </c>
      <c r="C27" s="752"/>
      <c r="D27" s="751"/>
      <c r="E27" s="751"/>
      <c r="F27" s="751"/>
      <c r="G27" s="761"/>
    </row>
    <row r="28" spans="1:7" x14ac:dyDescent="0.45">
      <c r="A28" s="761"/>
      <c r="B28" s="378"/>
      <c r="C28" s="378"/>
      <c r="D28" s="751"/>
      <c r="E28" s="751"/>
      <c r="F28" s="751"/>
      <c r="G28" s="761"/>
    </row>
  </sheetData>
  <mergeCells count="5">
    <mergeCell ref="B3:F3"/>
    <mergeCell ref="B4:F4"/>
    <mergeCell ref="B5:F5"/>
    <mergeCell ref="B6:F6"/>
    <mergeCell ref="B2:F2"/>
  </mergeCells>
  <printOptions horizontalCentered="1"/>
  <pageMargins left="0.25" right="0.25" top="0.5" bottom="0.5" header="0.35" footer="0.25"/>
  <pageSetup scale="67" orientation="portrait" r:id="rId1"/>
  <headerFooter scaleWithDoc="0" alignWithMargins="0">
    <oddHeader>&amp;C&amp;"Times New Roman,Bold"REVISED</oddHeader>
    <oddFooter>&amp;CPage 6.1&amp;R&amp;F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K72"/>
  <sheetViews>
    <sheetView zoomScale="80" zoomScaleNormal="80" workbookViewId="0"/>
  </sheetViews>
  <sheetFormatPr defaultColWidth="8.796875" defaultRowHeight="15.4" x14ac:dyDescent="0.45"/>
  <cols>
    <col min="1" max="1" width="5.265625" style="38" bestFit="1" customWidth="1"/>
    <col min="2" max="2" width="23.796875" style="38" hidden="1" customWidth="1"/>
    <col min="3" max="3" width="80.59765625" style="39" customWidth="1"/>
    <col min="4" max="4" width="21.06640625" style="39" customWidth="1"/>
    <col min="5" max="5" width="1.59765625" style="39" customWidth="1"/>
    <col min="6" max="6" width="16.796875" style="39" customWidth="1"/>
    <col min="7" max="7" width="1.59765625" style="39" customWidth="1"/>
    <col min="8" max="8" width="53.796875" style="39" customWidth="1"/>
    <col min="9" max="9" width="5.06640625" style="39" customWidth="1"/>
    <col min="10" max="10" width="8.796875" style="39"/>
    <col min="11" max="11" width="20.33203125" style="39" bestFit="1" customWidth="1"/>
    <col min="12" max="16384" width="8.796875" style="39"/>
  </cols>
  <sheetData>
    <row r="1" spans="1:9" x14ac:dyDescent="0.45">
      <c r="H1" s="762"/>
      <c r="I1" s="38"/>
    </row>
    <row r="2" spans="1:9" x14ac:dyDescent="0.45">
      <c r="C2" s="996" t="s">
        <v>19</v>
      </c>
      <c r="D2" s="996"/>
      <c r="E2" s="996"/>
      <c r="F2" s="996"/>
      <c r="G2" s="996"/>
      <c r="H2" s="996"/>
      <c r="I2" s="38"/>
    </row>
    <row r="3" spans="1:9" x14ac:dyDescent="0.45">
      <c r="C3" s="996" t="s">
        <v>440</v>
      </c>
      <c r="D3" s="996"/>
      <c r="E3" s="996"/>
      <c r="F3" s="996"/>
      <c r="G3" s="996"/>
      <c r="H3" s="996"/>
      <c r="I3" s="38"/>
    </row>
    <row r="4" spans="1:9" x14ac:dyDescent="0.45">
      <c r="C4" s="996" t="s">
        <v>20</v>
      </c>
      <c r="D4" s="996"/>
      <c r="E4" s="996"/>
      <c r="F4" s="996"/>
      <c r="G4" s="996"/>
      <c r="H4" s="996"/>
      <c r="I4" s="38"/>
    </row>
    <row r="5" spans="1:9" x14ac:dyDescent="0.45">
      <c r="C5" s="997" t="s">
        <v>569</v>
      </c>
      <c r="D5" s="997"/>
      <c r="E5" s="997"/>
      <c r="F5" s="997"/>
      <c r="G5" s="997"/>
      <c r="H5" s="997"/>
      <c r="I5" s="38"/>
    </row>
    <row r="6" spans="1:9" x14ac:dyDescent="0.45">
      <c r="C6" s="998" t="s">
        <v>1</v>
      </c>
      <c r="D6" s="999"/>
      <c r="E6" s="999"/>
      <c r="F6" s="999"/>
      <c r="G6" s="999"/>
      <c r="H6" s="999"/>
      <c r="I6" s="38"/>
    </row>
    <row r="7" spans="1:9" x14ac:dyDescent="0.45">
      <c r="C7" s="38"/>
      <c r="D7" s="38"/>
      <c r="E7" s="38"/>
      <c r="F7" s="41"/>
      <c r="G7" s="41"/>
      <c r="H7" s="38"/>
      <c r="I7" s="38"/>
    </row>
    <row r="8" spans="1:9" x14ac:dyDescent="0.45">
      <c r="A8" s="38" t="s">
        <v>2</v>
      </c>
      <c r="C8" s="372"/>
      <c r="D8" s="38" t="s">
        <v>21</v>
      </c>
      <c r="E8" s="372"/>
      <c r="F8" s="42"/>
      <c r="G8" s="42"/>
      <c r="H8" s="38"/>
      <c r="I8" s="38" t="s">
        <v>2</v>
      </c>
    </row>
    <row r="9" spans="1:9" x14ac:dyDescent="0.45">
      <c r="A9" s="38" t="s">
        <v>6</v>
      </c>
      <c r="B9" s="295" t="s">
        <v>441</v>
      </c>
      <c r="D9" s="295" t="s">
        <v>22</v>
      </c>
      <c r="E9" s="372"/>
      <c r="F9" s="296" t="s">
        <v>4</v>
      </c>
      <c r="G9" s="42"/>
      <c r="H9" s="295" t="s">
        <v>5</v>
      </c>
      <c r="I9" s="38" t="s">
        <v>6</v>
      </c>
    </row>
    <row r="10" spans="1:9" x14ac:dyDescent="0.45">
      <c r="D10" s="372"/>
      <c r="E10" s="372"/>
      <c r="F10" s="42"/>
      <c r="G10" s="42"/>
      <c r="H10" s="38"/>
      <c r="I10" s="38"/>
    </row>
    <row r="11" spans="1:9" x14ac:dyDescent="0.45">
      <c r="A11" s="38">
        <v>1</v>
      </c>
      <c r="C11" s="297" t="s">
        <v>226</v>
      </c>
      <c r="D11" s="372"/>
      <c r="E11" s="372"/>
      <c r="F11" s="42"/>
      <c r="G11" s="42"/>
      <c r="H11" s="38"/>
      <c r="I11" s="38">
        <f>A11</f>
        <v>1</v>
      </c>
    </row>
    <row r="12" spans="1:9" x14ac:dyDescent="0.45">
      <c r="A12" s="38">
        <f>+A11+1</f>
        <v>2</v>
      </c>
      <c r="B12" s="45" t="s">
        <v>442</v>
      </c>
      <c r="C12" s="298" t="s">
        <v>227</v>
      </c>
      <c r="D12" s="372"/>
      <c r="E12" s="372"/>
      <c r="F12" s="44">
        <v>122.61631000000004</v>
      </c>
      <c r="G12" s="42"/>
      <c r="H12" s="38" t="s">
        <v>572</v>
      </c>
      <c r="I12" s="38">
        <f>I11+1</f>
        <v>2</v>
      </c>
    </row>
    <row r="13" spans="1:9" x14ac:dyDescent="0.45">
      <c r="A13" s="38">
        <f t="shared" ref="A13:A68" si="0">+A12+1</f>
        <v>3</v>
      </c>
      <c r="D13" s="372"/>
      <c r="E13" s="372"/>
      <c r="F13" s="42"/>
      <c r="G13" s="42"/>
      <c r="H13" s="38"/>
      <c r="I13" s="38">
        <f t="shared" ref="I13:I68" si="1">I12+1</f>
        <v>3</v>
      </c>
    </row>
    <row r="14" spans="1:9" x14ac:dyDescent="0.45">
      <c r="A14" s="38">
        <f t="shared" si="0"/>
        <v>4</v>
      </c>
      <c r="C14" s="297" t="s">
        <v>228</v>
      </c>
      <c r="H14" s="38"/>
      <c r="I14" s="38">
        <f t="shared" si="1"/>
        <v>4</v>
      </c>
    </row>
    <row r="15" spans="1:9" x14ac:dyDescent="0.45">
      <c r="A15" s="38">
        <f t="shared" si="0"/>
        <v>5</v>
      </c>
      <c r="C15" s="19" t="s">
        <v>229</v>
      </c>
      <c r="D15" s="38"/>
      <c r="F15" s="44">
        <f>'Pg7.1 Revised AH-2'!D47</f>
        <v>89266.053619999991</v>
      </c>
      <c r="H15" s="38" t="s">
        <v>573</v>
      </c>
      <c r="I15" s="38">
        <f t="shared" si="1"/>
        <v>5</v>
      </c>
    </row>
    <row r="16" spans="1:9" x14ac:dyDescent="0.45">
      <c r="A16" s="38">
        <f t="shared" si="0"/>
        <v>6</v>
      </c>
      <c r="C16" s="19" t="s">
        <v>23</v>
      </c>
      <c r="F16" s="46"/>
      <c r="H16" s="38"/>
      <c r="I16" s="38">
        <f t="shared" si="1"/>
        <v>6</v>
      </c>
    </row>
    <row r="17" spans="1:9" x14ac:dyDescent="0.45">
      <c r="A17" s="38">
        <f t="shared" si="0"/>
        <v>7</v>
      </c>
      <c r="C17" s="19" t="s">
        <v>230</v>
      </c>
      <c r="D17" s="763"/>
      <c r="F17" s="47">
        <f>-'Pg7.1 Revised AH-2'!E51</f>
        <v>-5877.8884600000001</v>
      </c>
      <c r="H17" s="38" t="s">
        <v>574</v>
      </c>
      <c r="I17" s="38">
        <f t="shared" si="1"/>
        <v>7</v>
      </c>
    </row>
    <row r="18" spans="1:9" x14ac:dyDescent="0.45">
      <c r="A18" s="38">
        <f t="shared" si="0"/>
        <v>8</v>
      </c>
      <c r="C18" s="19" t="s">
        <v>231</v>
      </c>
      <c r="F18" s="47">
        <f>-'Pg7.1 Revised AH-2'!E52</f>
        <v>-2718.2313100000001</v>
      </c>
      <c r="H18" s="38" t="s">
        <v>575</v>
      </c>
      <c r="I18" s="38">
        <f t="shared" si="1"/>
        <v>8</v>
      </c>
    </row>
    <row r="19" spans="1:9" x14ac:dyDescent="0.45">
      <c r="A19" s="38">
        <f t="shared" si="0"/>
        <v>9</v>
      </c>
      <c r="C19" s="298" t="s">
        <v>232</v>
      </c>
      <c r="F19" s="47">
        <f>-'Pg7.1 Revised AH-2'!E53</f>
        <v>-8343</v>
      </c>
      <c r="H19" s="38" t="s">
        <v>576</v>
      </c>
      <c r="I19" s="38">
        <f t="shared" si="1"/>
        <v>9</v>
      </c>
    </row>
    <row r="20" spans="1:9" x14ac:dyDescent="0.45">
      <c r="A20" s="38">
        <f t="shared" si="0"/>
        <v>10</v>
      </c>
      <c r="C20" s="298" t="s">
        <v>443</v>
      </c>
      <c r="F20" s="47">
        <f>-'Pg7.1 Revised AH-2'!E54</f>
        <v>0</v>
      </c>
      <c r="H20" s="38" t="s">
        <v>577</v>
      </c>
      <c r="I20" s="38">
        <f t="shared" si="1"/>
        <v>10</v>
      </c>
    </row>
    <row r="21" spans="1:9" x14ac:dyDescent="0.45">
      <c r="A21" s="38">
        <f t="shared" si="0"/>
        <v>11</v>
      </c>
      <c r="C21" s="19" t="s">
        <v>233</v>
      </c>
      <c r="F21" s="47">
        <f>-'Pg7.1 Revised AH-2'!E55</f>
        <v>0</v>
      </c>
      <c r="H21" s="38" t="s">
        <v>578</v>
      </c>
      <c r="I21" s="38">
        <f t="shared" si="1"/>
        <v>11</v>
      </c>
    </row>
    <row r="22" spans="1:9" x14ac:dyDescent="0.45">
      <c r="A22" s="38">
        <f t="shared" si="0"/>
        <v>12</v>
      </c>
      <c r="C22" s="19" t="s">
        <v>234</v>
      </c>
      <c r="F22" s="47">
        <f>-'Pg7.1 Revised AH-2'!E61</f>
        <v>-3045.7638999999999</v>
      </c>
      <c r="H22" s="38" t="s">
        <v>579</v>
      </c>
      <c r="I22" s="38">
        <f t="shared" si="1"/>
        <v>12</v>
      </c>
    </row>
    <row r="23" spans="1:9" x14ac:dyDescent="0.45">
      <c r="A23" s="38">
        <f t="shared" si="0"/>
        <v>13</v>
      </c>
      <c r="C23" s="298" t="s">
        <v>235</v>
      </c>
      <c r="F23" s="47">
        <f>-'Pg7.1 Revised AH-2'!E62</f>
        <v>-14934.723</v>
      </c>
      <c r="H23" s="38" t="s">
        <v>580</v>
      </c>
      <c r="I23" s="38">
        <f t="shared" si="1"/>
        <v>13</v>
      </c>
    </row>
    <row r="24" spans="1:9" x14ac:dyDescent="0.45">
      <c r="A24" s="38">
        <f t="shared" si="0"/>
        <v>14</v>
      </c>
      <c r="C24" s="298" t="s">
        <v>236</v>
      </c>
      <c r="F24" s="47">
        <f>-'Pg7.1 Revised AH-2'!E63</f>
        <v>-14791.550999999999</v>
      </c>
      <c r="H24" s="38" t="s">
        <v>581</v>
      </c>
      <c r="I24" s="38">
        <f t="shared" si="1"/>
        <v>14</v>
      </c>
    </row>
    <row r="25" spans="1:9" x14ac:dyDescent="0.45">
      <c r="A25" s="38">
        <f t="shared" si="0"/>
        <v>15</v>
      </c>
      <c r="C25" s="298" t="s">
        <v>237</v>
      </c>
      <c r="F25" s="47">
        <f>-'Pg7.1 Revised AH-2'!E64</f>
        <v>-671.30499999999995</v>
      </c>
      <c r="H25" s="38" t="s">
        <v>582</v>
      </c>
      <c r="I25" s="38">
        <f t="shared" si="1"/>
        <v>15</v>
      </c>
    </row>
    <row r="26" spans="1:9" x14ac:dyDescent="0.45">
      <c r="A26" s="38">
        <f t="shared" si="0"/>
        <v>16</v>
      </c>
      <c r="C26" s="19" t="s">
        <v>238</v>
      </c>
      <c r="F26" s="47">
        <v>0</v>
      </c>
      <c r="H26" s="38" t="s">
        <v>444</v>
      </c>
      <c r="I26" s="38">
        <f t="shared" si="1"/>
        <v>16</v>
      </c>
    </row>
    <row r="27" spans="1:9" ht="15.75" x14ac:dyDescent="0.5">
      <c r="A27" s="38">
        <f t="shared" si="0"/>
        <v>17</v>
      </c>
      <c r="C27" s="19" t="s">
        <v>239</v>
      </c>
      <c r="F27" s="764">
        <f>'Pg7.1 Revised AH-2'!H47</f>
        <v>-543.57100000000003</v>
      </c>
      <c r="G27" s="26" t="s">
        <v>15</v>
      </c>
      <c r="H27" s="38" t="s">
        <v>445</v>
      </c>
      <c r="I27" s="38">
        <f t="shared" si="1"/>
        <v>17</v>
      </c>
    </row>
    <row r="28" spans="1:9" ht="15.75" x14ac:dyDescent="0.5">
      <c r="A28" s="38">
        <f t="shared" si="0"/>
        <v>18</v>
      </c>
      <c r="C28" s="19" t="s">
        <v>240</v>
      </c>
      <c r="F28" s="48">
        <f>SUM(F15:F27)</f>
        <v>38340.01994999998</v>
      </c>
      <c r="G28" s="26" t="s">
        <v>15</v>
      </c>
      <c r="H28" s="33" t="s">
        <v>583</v>
      </c>
      <c r="I28" s="38">
        <f t="shared" si="1"/>
        <v>18</v>
      </c>
    </row>
    <row r="29" spans="1:9" x14ac:dyDescent="0.45">
      <c r="A29" s="38">
        <f t="shared" si="0"/>
        <v>19</v>
      </c>
      <c r="F29" s="37"/>
      <c r="I29" s="38">
        <f t="shared" si="1"/>
        <v>19</v>
      </c>
    </row>
    <row r="30" spans="1:9" x14ac:dyDescent="0.45">
      <c r="A30" s="38">
        <f t="shared" si="0"/>
        <v>20</v>
      </c>
      <c r="C30" s="299" t="s">
        <v>241</v>
      </c>
      <c r="F30" s="49"/>
      <c r="H30" s="38"/>
      <c r="I30" s="38">
        <f t="shared" si="1"/>
        <v>20</v>
      </c>
    </row>
    <row r="31" spans="1:9" x14ac:dyDescent="0.45">
      <c r="A31" s="38">
        <f t="shared" si="0"/>
        <v>21</v>
      </c>
      <c r="C31" s="25" t="s">
        <v>242</v>
      </c>
      <c r="D31" s="38"/>
      <c r="F31" s="44">
        <f>'Pg7.2 Revised AH-3'!D30</f>
        <v>478358.91339000006</v>
      </c>
      <c r="H31" s="38" t="s">
        <v>584</v>
      </c>
      <c r="I31" s="38">
        <f t="shared" si="1"/>
        <v>21</v>
      </c>
    </row>
    <row r="32" spans="1:9" x14ac:dyDescent="0.45">
      <c r="A32" s="38">
        <f t="shared" si="0"/>
        <v>22</v>
      </c>
      <c r="C32" s="25" t="s">
        <v>24</v>
      </c>
      <c r="F32" s="49" t="s">
        <v>11</v>
      </c>
      <c r="H32" s="38"/>
      <c r="I32" s="38">
        <f t="shared" si="1"/>
        <v>22</v>
      </c>
    </row>
    <row r="33" spans="1:11" x14ac:dyDescent="0.45">
      <c r="A33" s="38">
        <f t="shared" si="0"/>
        <v>23</v>
      </c>
      <c r="C33" s="222" t="s">
        <v>446</v>
      </c>
      <c r="F33" s="47">
        <f>-'Pg7.2 Revised AH-3'!D37</f>
        <v>0</v>
      </c>
      <c r="H33" s="38" t="s">
        <v>585</v>
      </c>
      <c r="I33" s="38">
        <f t="shared" si="1"/>
        <v>23</v>
      </c>
      <c r="J33" s="765"/>
      <c r="K33" s="51"/>
    </row>
    <row r="34" spans="1:11" ht="15.7" customHeight="1" x14ac:dyDescent="0.45">
      <c r="A34" s="38">
        <f t="shared" si="0"/>
        <v>24</v>
      </c>
      <c r="C34" s="141" t="s">
        <v>127</v>
      </c>
      <c r="F34" s="47">
        <f>-'Pg7.2 Revised AH-3'!D41</f>
        <v>0</v>
      </c>
      <c r="H34" s="38" t="s">
        <v>586</v>
      </c>
      <c r="I34" s="38">
        <f t="shared" si="1"/>
        <v>24</v>
      </c>
      <c r="J34" s="765"/>
      <c r="K34" s="52"/>
    </row>
    <row r="35" spans="1:11" x14ac:dyDescent="0.45">
      <c r="A35" s="38">
        <f t="shared" si="0"/>
        <v>25</v>
      </c>
      <c r="C35" s="222" t="s">
        <v>26</v>
      </c>
      <c r="F35" s="47">
        <f>-'Pg7.2 Revised AH-3'!D42</f>
        <v>-1333.8680300000003</v>
      </c>
      <c r="H35" s="38" t="s">
        <v>587</v>
      </c>
      <c r="I35" s="38">
        <f t="shared" si="1"/>
        <v>25</v>
      </c>
    </row>
    <row r="36" spans="1:11" x14ac:dyDescent="0.45">
      <c r="A36" s="38">
        <f t="shared" si="0"/>
        <v>26</v>
      </c>
      <c r="C36" s="222" t="s">
        <v>27</v>
      </c>
      <c r="F36" s="47">
        <f>-'Pg7.2 Revised AH-3'!D43</f>
        <v>-8601.3346500000007</v>
      </c>
      <c r="H36" s="38" t="s">
        <v>588</v>
      </c>
      <c r="I36" s="38">
        <f t="shared" si="1"/>
        <v>26</v>
      </c>
      <c r="K36" s="51"/>
    </row>
    <row r="37" spans="1:11" x14ac:dyDescent="0.45">
      <c r="A37" s="38">
        <f t="shared" si="0"/>
        <v>27</v>
      </c>
      <c r="C37" s="222" t="s">
        <v>30</v>
      </c>
      <c r="F37" s="47">
        <f>-'Pg7.2 Revised AH-3'!D44</f>
        <v>-140.84690000000001</v>
      </c>
      <c r="H37" s="38" t="s">
        <v>589</v>
      </c>
      <c r="I37" s="38">
        <f t="shared" si="1"/>
        <v>27</v>
      </c>
      <c r="J37" s="765"/>
    </row>
    <row r="38" spans="1:11" x14ac:dyDescent="0.45">
      <c r="A38" s="38">
        <f t="shared" si="0"/>
        <v>28</v>
      </c>
      <c r="C38" s="222" t="s">
        <v>28</v>
      </c>
      <c r="F38" s="47">
        <f>-'Pg7.2 Revised AH-3'!E45</f>
        <v>-242.68352000000002</v>
      </c>
      <c r="H38" s="38" t="s">
        <v>590</v>
      </c>
      <c r="I38" s="38">
        <f t="shared" si="1"/>
        <v>28</v>
      </c>
      <c r="J38" s="765"/>
      <c r="K38" s="51"/>
    </row>
    <row r="39" spans="1:11" x14ac:dyDescent="0.45">
      <c r="A39" s="38">
        <f t="shared" si="0"/>
        <v>29</v>
      </c>
      <c r="C39" s="222" t="s">
        <v>25</v>
      </c>
      <c r="F39" s="47">
        <f>-('Pg7.2 Revised AH-3'!D36+'Pg7.2 Revised AH-3'!E38+'Pg7.2 Revised AH-3'!D40+'Pg7.2 Revised AH-3'!D46)</f>
        <v>-446.61920875499993</v>
      </c>
      <c r="H39" s="50" t="s">
        <v>591</v>
      </c>
      <c r="I39" s="38">
        <f t="shared" si="1"/>
        <v>29</v>
      </c>
    </row>
    <row r="40" spans="1:11" x14ac:dyDescent="0.45">
      <c r="A40" s="38">
        <f t="shared" si="0"/>
        <v>30</v>
      </c>
      <c r="C40" s="222" t="s">
        <v>29</v>
      </c>
      <c r="F40" s="47">
        <f>-'Pg7.2 Revised AH-3'!E48</f>
        <v>-65.000791141999997</v>
      </c>
      <c r="H40" s="38" t="s">
        <v>592</v>
      </c>
      <c r="I40" s="38">
        <f t="shared" si="1"/>
        <v>30</v>
      </c>
    </row>
    <row r="41" spans="1:11" x14ac:dyDescent="0.45">
      <c r="A41" s="38">
        <f t="shared" si="0"/>
        <v>31</v>
      </c>
      <c r="C41" s="222" t="s">
        <v>31</v>
      </c>
      <c r="F41" s="47">
        <f>-('Pg7.2 Revised AH-3'!E34+'Pg7.2 Revised AH-3'!E35+'Pg7.2 Revised AH-3'!E39+'Pg7.2 Revised AH-3'!D47)</f>
        <v>-134312.73308000001</v>
      </c>
      <c r="H41" s="38" t="s">
        <v>593</v>
      </c>
      <c r="I41" s="38">
        <f t="shared" si="1"/>
        <v>31</v>
      </c>
    </row>
    <row r="42" spans="1:11" ht="15.75" x14ac:dyDescent="0.5">
      <c r="A42" s="38">
        <f t="shared" si="0"/>
        <v>32</v>
      </c>
      <c r="C42" s="19" t="s">
        <v>239</v>
      </c>
      <c r="F42" s="300">
        <f>'Pg7.2 Revised AH-3'!H30</f>
        <v>826.245</v>
      </c>
      <c r="G42" s="26" t="s">
        <v>15</v>
      </c>
      <c r="H42" s="38" t="s">
        <v>447</v>
      </c>
      <c r="I42" s="38">
        <f t="shared" si="1"/>
        <v>32</v>
      </c>
    </row>
    <row r="43" spans="1:11" ht="15.75" x14ac:dyDescent="0.5">
      <c r="A43" s="38">
        <f t="shared" si="0"/>
        <v>33</v>
      </c>
      <c r="C43" s="25" t="s">
        <v>243</v>
      </c>
      <c r="F43" s="53">
        <f>SUM(F31:F42)</f>
        <v>334042.07221010304</v>
      </c>
      <c r="G43" s="26" t="s">
        <v>15</v>
      </c>
      <c r="H43" s="38" t="s">
        <v>594</v>
      </c>
      <c r="I43" s="38">
        <f t="shared" si="1"/>
        <v>33</v>
      </c>
    </row>
    <row r="44" spans="1:11" x14ac:dyDescent="0.45">
      <c r="A44" s="38">
        <f t="shared" si="0"/>
        <v>34</v>
      </c>
      <c r="C44" s="25" t="s">
        <v>32</v>
      </c>
      <c r="F44" s="301">
        <f>-'Pg7.2 Revised AH-3'!F15</f>
        <v>-5523.0058700000009</v>
      </c>
      <c r="H44" s="38" t="s">
        <v>595</v>
      </c>
      <c r="I44" s="38">
        <f t="shared" si="1"/>
        <v>34</v>
      </c>
    </row>
    <row r="45" spans="1:11" ht="15.75" x14ac:dyDescent="0.5">
      <c r="A45" s="38">
        <f t="shared" si="0"/>
        <v>35</v>
      </c>
      <c r="C45" s="25" t="s">
        <v>244</v>
      </c>
      <c r="F45" s="53">
        <f>SUM(F43:F44)</f>
        <v>328519.06634010305</v>
      </c>
      <c r="G45" s="26" t="s">
        <v>15</v>
      </c>
      <c r="H45" s="38" t="s">
        <v>596</v>
      </c>
      <c r="I45" s="38">
        <f t="shared" si="1"/>
        <v>35</v>
      </c>
    </row>
    <row r="46" spans="1:11" x14ac:dyDescent="0.45">
      <c r="A46" s="38">
        <f t="shared" si="0"/>
        <v>36</v>
      </c>
      <c r="C46" s="19" t="s">
        <v>33</v>
      </c>
      <c r="F46" s="302">
        <v>0.10361330044910678</v>
      </c>
      <c r="H46" s="33" t="s">
        <v>597</v>
      </c>
      <c r="I46" s="38">
        <f t="shared" si="1"/>
        <v>36</v>
      </c>
    </row>
    <row r="47" spans="1:11" ht="15.75" x14ac:dyDescent="0.5">
      <c r="A47" s="38">
        <f t="shared" si="0"/>
        <v>37</v>
      </c>
      <c r="C47" s="25" t="s">
        <v>245</v>
      </c>
      <c r="F47" s="54">
        <f>F45*F46</f>
        <v>34038.944723957138</v>
      </c>
      <c r="G47" s="26" t="s">
        <v>15</v>
      </c>
      <c r="H47" s="38" t="s">
        <v>598</v>
      </c>
      <c r="I47" s="38">
        <f t="shared" si="1"/>
        <v>37</v>
      </c>
    </row>
    <row r="48" spans="1:11" x14ac:dyDescent="0.45">
      <c r="A48" s="38">
        <f t="shared" si="0"/>
        <v>38</v>
      </c>
      <c r="C48" s="39" t="s">
        <v>34</v>
      </c>
      <c r="F48" s="766">
        <f>F68*(-F44)</f>
        <v>2192.022808874437</v>
      </c>
      <c r="H48" s="38" t="s">
        <v>599</v>
      </c>
      <c r="I48" s="38">
        <f t="shared" si="1"/>
        <v>38</v>
      </c>
    </row>
    <row r="49" spans="1:10" ht="16.149999999999999" thickBot="1" x14ac:dyDescent="0.55000000000000004">
      <c r="A49" s="38">
        <f t="shared" si="0"/>
        <v>39</v>
      </c>
      <c r="C49" s="45" t="s">
        <v>246</v>
      </c>
      <c r="F49" s="303">
        <f>F48+F47</f>
        <v>36230.967532831579</v>
      </c>
      <c r="G49" s="26" t="s">
        <v>15</v>
      </c>
      <c r="H49" s="38" t="s">
        <v>600</v>
      </c>
      <c r="I49" s="38">
        <f t="shared" si="1"/>
        <v>39</v>
      </c>
      <c r="J49" s="45"/>
    </row>
    <row r="50" spans="1:10" ht="15.75" thickTop="1" x14ac:dyDescent="0.45">
      <c r="A50" s="38">
        <f t="shared" si="0"/>
        <v>40</v>
      </c>
      <c r="C50" s="55"/>
      <c r="F50" s="56"/>
      <c r="H50" s="38"/>
      <c r="I50" s="38">
        <f t="shared" si="1"/>
        <v>40</v>
      </c>
    </row>
    <row r="51" spans="1:10" x14ac:dyDescent="0.45">
      <c r="A51" s="38">
        <f t="shared" si="0"/>
        <v>41</v>
      </c>
      <c r="C51" s="27" t="s">
        <v>35</v>
      </c>
      <c r="F51" s="57"/>
      <c r="H51" s="38"/>
      <c r="I51" s="38">
        <f t="shared" si="1"/>
        <v>41</v>
      </c>
    </row>
    <row r="52" spans="1:10" x14ac:dyDescent="0.45">
      <c r="A52" s="38">
        <f t="shared" si="0"/>
        <v>42</v>
      </c>
      <c r="C52" s="25" t="s">
        <v>36</v>
      </c>
      <c r="F52" s="34">
        <v>5763584.0500423079</v>
      </c>
      <c r="H52" s="38" t="s">
        <v>601</v>
      </c>
      <c r="I52" s="38">
        <f t="shared" si="1"/>
        <v>42</v>
      </c>
    </row>
    <row r="53" spans="1:10" x14ac:dyDescent="0.45">
      <c r="A53" s="38">
        <f t="shared" si="0"/>
        <v>43</v>
      </c>
      <c r="C53" s="25" t="s">
        <v>17</v>
      </c>
      <c r="F53" s="58">
        <v>0</v>
      </c>
      <c r="H53" s="38" t="s">
        <v>16</v>
      </c>
      <c r="I53" s="38">
        <f t="shared" si="1"/>
        <v>43</v>
      </c>
    </row>
    <row r="54" spans="1:10" x14ac:dyDescent="0.45">
      <c r="A54" s="38">
        <f t="shared" si="0"/>
        <v>44</v>
      </c>
      <c r="C54" s="25" t="s">
        <v>18</v>
      </c>
      <c r="F54" s="59">
        <v>42086.849326844938</v>
      </c>
      <c r="H54" s="60" t="s">
        <v>602</v>
      </c>
      <c r="I54" s="38">
        <f t="shared" si="1"/>
        <v>44</v>
      </c>
    </row>
    <row r="55" spans="1:10" x14ac:dyDescent="0.45">
      <c r="A55" s="38">
        <f t="shared" si="0"/>
        <v>45</v>
      </c>
      <c r="C55" s="25" t="s">
        <v>37</v>
      </c>
      <c r="F55" s="304">
        <v>94777.206841888925</v>
      </c>
      <c r="H55" s="60" t="s">
        <v>603</v>
      </c>
      <c r="I55" s="38">
        <f t="shared" si="1"/>
        <v>45</v>
      </c>
    </row>
    <row r="56" spans="1:10" ht="15.75" thickBot="1" x14ac:dyDescent="0.5">
      <c r="A56" s="38">
        <f t="shared" si="0"/>
        <v>46</v>
      </c>
      <c r="C56" s="25" t="s">
        <v>38</v>
      </c>
      <c r="F56" s="61">
        <f>SUM(F52:F55)</f>
        <v>5900448.106211042</v>
      </c>
      <c r="H56" s="38" t="s">
        <v>604</v>
      </c>
      <c r="I56" s="38">
        <f t="shared" si="1"/>
        <v>46</v>
      </c>
      <c r="J56" s="767"/>
    </row>
    <row r="57" spans="1:10" ht="15.75" thickTop="1" x14ac:dyDescent="0.45">
      <c r="A57" s="38">
        <f t="shared" si="0"/>
        <v>47</v>
      </c>
      <c r="C57" s="55"/>
      <c r="F57" s="37"/>
      <c r="H57" s="38"/>
      <c r="I57" s="38">
        <f t="shared" si="1"/>
        <v>47</v>
      </c>
    </row>
    <row r="58" spans="1:10" x14ac:dyDescent="0.45">
      <c r="A58" s="38">
        <f t="shared" si="0"/>
        <v>48</v>
      </c>
      <c r="C58" s="25" t="s">
        <v>39</v>
      </c>
      <c r="F58" s="62">
        <f>F52</f>
        <v>5763584.0500423079</v>
      </c>
      <c r="H58" s="63" t="s">
        <v>605</v>
      </c>
      <c r="I58" s="38">
        <f t="shared" si="1"/>
        <v>48</v>
      </c>
    </row>
    <row r="59" spans="1:10" x14ac:dyDescent="0.45">
      <c r="A59" s="38">
        <f t="shared" si="0"/>
        <v>49</v>
      </c>
      <c r="C59" s="25" t="s">
        <v>40</v>
      </c>
      <c r="F59" s="35">
        <v>545863.13696307701</v>
      </c>
      <c r="H59" s="60" t="s">
        <v>606</v>
      </c>
      <c r="I59" s="38">
        <f t="shared" si="1"/>
        <v>49</v>
      </c>
    </row>
    <row r="60" spans="1:10" x14ac:dyDescent="0.45">
      <c r="A60" s="38">
        <f t="shared" si="0"/>
        <v>50</v>
      </c>
      <c r="C60" s="25" t="s">
        <v>41</v>
      </c>
      <c r="F60" s="58">
        <v>0</v>
      </c>
      <c r="H60" s="38" t="s">
        <v>16</v>
      </c>
      <c r="I60" s="38">
        <f t="shared" si="1"/>
        <v>50</v>
      </c>
    </row>
    <row r="61" spans="1:10" x14ac:dyDescent="0.45">
      <c r="A61" s="38">
        <f t="shared" si="0"/>
        <v>51</v>
      </c>
      <c r="C61" s="25" t="s">
        <v>42</v>
      </c>
      <c r="F61" s="35">
        <v>518972.08884384617</v>
      </c>
      <c r="H61" s="60" t="s">
        <v>607</v>
      </c>
      <c r="I61" s="38">
        <f t="shared" si="1"/>
        <v>51</v>
      </c>
    </row>
    <row r="62" spans="1:10" x14ac:dyDescent="0.45">
      <c r="A62" s="38">
        <f t="shared" si="0"/>
        <v>52</v>
      </c>
      <c r="C62" s="25" t="s">
        <v>43</v>
      </c>
      <c r="F62" s="35">
        <v>6717397.8952500001</v>
      </c>
      <c r="H62" s="60" t="s">
        <v>608</v>
      </c>
      <c r="I62" s="38">
        <f t="shared" si="1"/>
        <v>52</v>
      </c>
    </row>
    <row r="63" spans="1:10" x14ac:dyDescent="0.45">
      <c r="A63" s="38">
        <f t="shared" si="0"/>
        <v>53</v>
      </c>
      <c r="C63" s="45" t="s">
        <v>17</v>
      </c>
      <c r="F63" s="58">
        <v>0</v>
      </c>
      <c r="H63" s="38" t="s">
        <v>16</v>
      </c>
      <c r="I63" s="38">
        <f t="shared" si="1"/>
        <v>53</v>
      </c>
    </row>
    <row r="64" spans="1:10" x14ac:dyDescent="0.45">
      <c r="A64" s="38">
        <f t="shared" si="0"/>
        <v>54</v>
      </c>
      <c r="C64" s="25" t="s">
        <v>44</v>
      </c>
      <c r="F64" s="35">
        <v>406191.57139499998</v>
      </c>
      <c r="H64" s="60" t="s">
        <v>609</v>
      </c>
      <c r="I64" s="38">
        <f t="shared" si="1"/>
        <v>54</v>
      </c>
    </row>
    <row r="65" spans="1:10" x14ac:dyDescent="0.45">
      <c r="A65" s="38">
        <f t="shared" si="0"/>
        <v>55</v>
      </c>
      <c r="C65" s="25" t="s">
        <v>45</v>
      </c>
      <c r="F65" s="305">
        <v>914720.46958336188</v>
      </c>
      <c r="H65" s="60" t="s">
        <v>610</v>
      </c>
      <c r="I65" s="38">
        <f t="shared" si="1"/>
        <v>55</v>
      </c>
    </row>
    <row r="66" spans="1:10" ht="15.75" thickBot="1" x14ac:dyDescent="0.5">
      <c r="A66" s="38">
        <f t="shared" si="0"/>
        <v>56</v>
      </c>
      <c r="C66" s="25" t="s">
        <v>46</v>
      </c>
      <c r="F66" s="64">
        <f>SUM(F58:F65)</f>
        <v>14866729.212077593</v>
      </c>
      <c r="H66" s="38" t="s">
        <v>611</v>
      </c>
      <c r="I66" s="38">
        <f t="shared" si="1"/>
        <v>56</v>
      </c>
      <c r="J66" s="767"/>
    </row>
    <row r="67" spans="1:10" ht="15.75" thickTop="1" x14ac:dyDescent="0.45">
      <c r="A67" s="38">
        <f t="shared" si="0"/>
        <v>57</v>
      </c>
      <c r="F67" s="65"/>
      <c r="H67" s="38"/>
      <c r="I67" s="38">
        <f t="shared" si="1"/>
        <v>57</v>
      </c>
    </row>
    <row r="68" spans="1:10" ht="18" thickBot="1" x14ac:dyDescent="0.5">
      <c r="A68" s="38">
        <f t="shared" si="0"/>
        <v>58</v>
      </c>
      <c r="C68" s="25" t="s">
        <v>448</v>
      </c>
      <c r="F68" s="66">
        <f>F56/F66</f>
        <v>0.39688945847063473</v>
      </c>
      <c r="H68" s="38" t="s">
        <v>612</v>
      </c>
      <c r="I68" s="38">
        <f t="shared" si="1"/>
        <v>58</v>
      </c>
      <c r="J68" s="767"/>
    </row>
    <row r="69" spans="1:10" ht="15.75" thickTop="1" x14ac:dyDescent="0.45">
      <c r="C69" s="45" t="s">
        <v>11</v>
      </c>
      <c r="F69" s="67"/>
      <c r="H69" s="38"/>
      <c r="I69" s="38"/>
    </row>
    <row r="70" spans="1:10" ht="15.75" x14ac:dyDescent="0.5">
      <c r="A70" s="26" t="s">
        <v>15</v>
      </c>
      <c r="B70" s="23" t="s">
        <v>332</v>
      </c>
      <c r="C70" s="23" t="s">
        <v>332</v>
      </c>
      <c r="F70" s="67"/>
      <c r="G70" s="67"/>
      <c r="H70" s="38"/>
      <c r="I70" s="38"/>
    </row>
    <row r="71" spans="1:10" ht="17.25" x14ac:dyDescent="0.45">
      <c r="A71" s="69">
        <v>1</v>
      </c>
      <c r="B71" s="69"/>
      <c r="C71" s="25" t="s">
        <v>743</v>
      </c>
      <c r="I71" s="38"/>
    </row>
    <row r="72" spans="1:10" x14ac:dyDescent="0.45">
      <c r="C72" s="45"/>
      <c r="F72" s="65"/>
      <c r="G72" s="65"/>
      <c r="H72" s="38"/>
      <c r="I72" s="38"/>
    </row>
  </sheetData>
  <mergeCells count="5">
    <mergeCell ref="C2:H2"/>
    <mergeCell ref="C3:H3"/>
    <mergeCell ref="C4:H4"/>
    <mergeCell ref="C5:H5"/>
    <mergeCell ref="C6:H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Roman,Bold"REVISED</oddHeader>
    <oddFooter>&amp;CPage 7&amp;R&amp;F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50B6-648D-4404-899C-BD40B4A9F35D}">
  <sheetPr>
    <pageSetUpPr fitToPage="1"/>
  </sheetPr>
  <dimension ref="A1:N429"/>
  <sheetViews>
    <sheetView zoomScale="80" zoomScaleNormal="80" workbookViewId="0"/>
  </sheetViews>
  <sheetFormatPr defaultColWidth="13.33203125" defaultRowHeight="15.4" x14ac:dyDescent="0.45"/>
  <cols>
    <col min="1" max="1" width="5.265625" style="39" customWidth="1"/>
    <col min="2" max="2" width="8.59765625" style="70" customWidth="1"/>
    <col min="3" max="3" width="63.06640625" style="39" customWidth="1"/>
    <col min="4" max="4" width="16.796875" style="39" customWidth="1"/>
    <col min="5" max="5" width="16.796875" style="37" customWidth="1"/>
    <col min="6" max="6" width="16.796875" style="39" customWidth="1"/>
    <col min="7" max="7" width="1.59765625" style="39" customWidth="1"/>
    <col min="8" max="9" width="16.796875" style="39" customWidth="1"/>
    <col min="10" max="10" width="34.59765625" style="39" customWidth="1"/>
    <col min="11" max="11" width="5.265625" style="39" customWidth="1"/>
    <col min="12" max="16384" width="13.33203125" style="39"/>
  </cols>
  <sheetData>
    <row r="1" spans="1:14" x14ac:dyDescent="0.45">
      <c r="A1" s="373"/>
    </row>
    <row r="2" spans="1:14" s="373" customFormat="1" ht="15" x14ac:dyDescent="0.45">
      <c r="B2" s="996" t="s">
        <v>19</v>
      </c>
      <c r="C2" s="996"/>
      <c r="D2" s="996"/>
      <c r="E2" s="996"/>
      <c r="F2" s="996"/>
      <c r="G2" s="996"/>
      <c r="H2" s="996"/>
      <c r="I2" s="996"/>
      <c r="J2" s="996"/>
      <c r="K2" s="372"/>
    </row>
    <row r="3" spans="1:14" s="373" customFormat="1" ht="15" x14ac:dyDescent="0.45">
      <c r="B3" s="996" t="s">
        <v>47</v>
      </c>
      <c r="C3" s="996"/>
      <c r="D3" s="996"/>
      <c r="E3" s="996"/>
      <c r="F3" s="996"/>
      <c r="G3" s="996"/>
      <c r="H3" s="996"/>
      <c r="I3" s="996"/>
      <c r="J3" s="996"/>
      <c r="K3" s="306"/>
    </row>
    <row r="4" spans="1:14" s="373" customFormat="1" ht="15" x14ac:dyDescent="0.45">
      <c r="B4" s="996" t="s">
        <v>661</v>
      </c>
      <c r="C4" s="996"/>
      <c r="D4" s="996"/>
      <c r="E4" s="996"/>
      <c r="F4" s="996"/>
      <c r="G4" s="996"/>
      <c r="H4" s="996"/>
      <c r="I4" s="996"/>
      <c r="J4" s="996"/>
      <c r="K4" s="306"/>
    </row>
    <row r="5" spans="1:14" s="373" customFormat="1" ht="15" x14ac:dyDescent="0.45">
      <c r="B5" s="998" t="s">
        <v>1</v>
      </c>
      <c r="C5" s="998"/>
      <c r="D5" s="998"/>
      <c r="E5" s="998"/>
      <c r="F5" s="998"/>
      <c r="G5" s="998"/>
      <c r="H5" s="998"/>
      <c r="I5" s="998"/>
      <c r="J5" s="998"/>
      <c r="K5" s="306"/>
    </row>
    <row r="6" spans="1:14" ht="15.75" thickBot="1" x14ac:dyDescent="0.5">
      <c r="A6" s="307"/>
      <c r="B6" s="72"/>
      <c r="C6" s="73"/>
      <c r="D6" s="73"/>
      <c r="E6" s="74"/>
      <c r="F6" s="73"/>
      <c r="G6" s="73"/>
      <c r="H6" s="73"/>
      <c r="I6" s="73"/>
      <c r="J6" s="73"/>
      <c r="K6" s="73"/>
    </row>
    <row r="7" spans="1:14" s="373" customFormat="1" ht="17.25" x14ac:dyDescent="0.4">
      <c r="A7" s="39"/>
      <c r="B7" s="75"/>
      <c r="C7" s="76"/>
      <c r="D7" s="77" t="s">
        <v>10</v>
      </c>
      <c r="E7" s="78" t="s">
        <v>48</v>
      </c>
      <c r="F7" s="77" t="s">
        <v>49</v>
      </c>
      <c r="G7" s="79"/>
      <c r="H7" s="768" t="s">
        <v>247</v>
      </c>
      <c r="I7" s="769" t="s">
        <v>50</v>
      </c>
      <c r="J7" s="81"/>
      <c r="K7" s="39"/>
    </row>
    <row r="8" spans="1:14" s="373" customFormat="1" x14ac:dyDescent="0.4">
      <c r="A8" s="38" t="s">
        <v>2</v>
      </c>
      <c r="B8" s="82" t="s">
        <v>51</v>
      </c>
      <c r="D8" s="83" t="s">
        <v>9</v>
      </c>
      <c r="E8" s="83" t="s">
        <v>52</v>
      </c>
      <c r="F8" s="83" t="s">
        <v>9</v>
      </c>
      <c r="G8" s="372"/>
      <c r="H8" s="200" t="s">
        <v>248</v>
      </c>
      <c r="I8" s="770" t="s">
        <v>53</v>
      </c>
      <c r="J8" s="85"/>
      <c r="K8" s="38" t="s">
        <v>2</v>
      </c>
    </row>
    <row r="9" spans="1:14" s="373" customFormat="1" x14ac:dyDescent="0.4">
      <c r="A9" s="38" t="s">
        <v>6</v>
      </c>
      <c r="B9" s="435" t="s">
        <v>54</v>
      </c>
      <c r="C9" s="308" t="s">
        <v>3</v>
      </c>
      <c r="D9" s="436" t="s">
        <v>55</v>
      </c>
      <c r="E9" s="436" t="s">
        <v>56</v>
      </c>
      <c r="F9" s="436" t="s">
        <v>57</v>
      </c>
      <c r="G9" s="308"/>
      <c r="H9" s="771" t="s">
        <v>249</v>
      </c>
      <c r="I9" s="772" t="s">
        <v>58</v>
      </c>
      <c r="J9" s="437" t="s">
        <v>5</v>
      </c>
      <c r="K9" s="38" t="s">
        <v>6</v>
      </c>
    </row>
    <row r="10" spans="1:14" s="373" customFormat="1" x14ac:dyDescent="0.45">
      <c r="A10" s="38"/>
      <c r="B10" s="86"/>
      <c r="C10" s="87" t="s">
        <v>59</v>
      </c>
      <c r="D10" s="88"/>
      <c r="E10" s="88"/>
      <c r="F10" s="88"/>
      <c r="G10" s="89"/>
      <c r="H10" s="89"/>
      <c r="I10" s="88"/>
      <c r="J10" s="90"/>
      <c r="K10" s="38"/>
      <c r="M10" s="39"/>
      <c r="N10" s="39"/>
    </row>
    <row r="11" spans="1:14" s="373" customFormat="1" ht="15.75" x14ac:dyDescent="0.5">
      <c r="A11" s="38">
        <v>1</v>
      </c>
      <c r="B11" s="97">
        <v>560</v>
      </c>
      <c r="C11" s="39" t="s">
        <v>60</v>
      </c>
      <c r="D11" s="92">
        <v>6649.0659999999998</v>
      </c>
      <c r="E11" s="92">
        <v>0</v>
      </c>
      <c r="F11" s="92">
        <f t="shared" ref="F11:F25" si="0">D11-E11</f>
        <v>6649.0659999999998</v>
      </c>
      <c r="G11" s="26" t="s">
        <v>15</v>
      </c>
      <c r="H11" s="113">
        <v>-543.57100000000003</v>
      </c>
      <c r="I11" s="114">
        <f>F11+H11</f>
        <v>6105.4949999999999</v>
      </c>
      <c r="J11" s="93" t="s">
        <v>61</v>
      </c>
      <c r="K11" s="38">
        <f>A11</f>
        <v>1</v>
      </c>
      <c r="M11" s="39"/>
      <c r="N11" s="39"/>
    </row>
    <row r="12" spans="1:14" s="373" customFormat="1" x14ac:dyDescent="0.45">
      <c r="A12" s="38">
        <f>A11+1</f>
        <v>2</v>
      </c>
      <c r="B12" s="91">
        <v>561.1</v>
      </c>
      <c r="C12" s="39" t="s">
        <v>62</v>
      </c>
      <c r="D12" s="94">
        <v>543.58699999999999</v>
      </c>
      <c r="E12" s="94">
        <v>0</v>
      </c>
      <c r="F12" s="94">
        <f t="shared" si="0"/>
        <v>543.58699999999999</v>
      </c>
      <c r="G12" s="95"/>
      <c r="H12" s="95"/>
      <c r="I12" s="94">
        <f>F12+H12</f>
        <v>543.58699999999999</v>
      </c>
      <c r="J12" s="93" t="s">
        <v>63</v>
      </c>
      <c r="K12" s="38">
        <f>K11+1</f>
        <v>2</v>
      </c>
      <c r="M12" s="39"/>
      <c r="N12" s="39"/>
    </row>
    <row r="13" spans="1:14" s="373" customFormat="1" x14ac:dyDescent="0.45">
      <c r="A13" s="38">
        <f t="shared" ref="A13:A76" si="1">A12+1</f>
        <v>3</v>
      </c>
      <c r="B13" s="91">
        <v>561.20000000000005</v>
      </c>
      <c r="C13" s="39" t="s">
        <v>64</v>
      </c>
      <c r="D13" s="94">
        <v>1623.6130000000001</v>
      </c>
      <c r="E13" s="94">
        <v>0</v>
      </c>
      <c r="F13" s="94">
        <f t="shared" si="0"/>
        <v>1623.6130000000001</v>
      </c>
      <c r="G13" s="95"/>
      <c r="H13" s="95"/>
      <c r="I13" s="94">
        <f t="shared" ref="I13:I25" si="2">F13+H13</f>
        <v>1623.6130000000001</v>
      </c>
      <c r="J13" s="93" t="s">
        <v>65</v>
      </c>
      <c r="K13" s="38">
        <f t="shared" ref="K13:K76" si="3">K12+1</f>
        <v>3</v>
      </c>
      <c r="M13" s="39"/>
      <c r="N13" s="39"/>
    </row>
    <row r="14" spans="1:14" s="373" customFormat="1" x14ac:dyDescent="0.45">
      <c r="A14" s="38">
        <f t="shared" si="1"/>
        <v>4</v>
      </c>
      <c r="B14" s="91">
        <v>561.29999999999995</v>
      </c>
      <c r="C14" s="39" t="s">
        <v>66</v>
      </c>
      <c r="D14" s="94">
        <v>228.21799999999999</v>
      </c>
      <c r="E14" s="94">
        <v>0</v>
      </c>
      <c r="F14" s="94">
        <f t="shared" si="0"/>
        <v>228.21799999999999</v>
      </c>
      <c r="G14" s="95"/>
      <c r="H14" s="95"/>
      <c r="I14" s="94">
        <f t="shared" si="2"/>
        <v>228.21799999999999</v>
      </c>
      <c r="J14" s="93" t="s">
        <v>67</v>
      </c>
      <c r="K14" s="38">
        <f t="shared" si="3"/>
        <v>4</v>
      </c>
      <c r="M14" s="39"/>
      <c r="N14" s="39"/>
    </row>
    <row r="15" spans="1:14" s="373" customFormat="1" x14ac:dyDescent="0.45">
      <c r="A15" s="38">
        <f t="shared" si="1"/>
        <v>5</v>
      </c>
      <c r="B15" s="91">
        <v>561.4</v>
      </c>
      <c r="C15" s="39" t="s">
        <v>68</v>
      </c>
      <c r="D15" s="94">
        <v>5880.4229999999998</v>
      </c>
      <c r="E15" s="94">
        <f>E51</f>
        <v>5877.8884600000001</v>
      </c>
      <c r="F15" s="94">
        <f t="shared" si="0"/>
        <v>2.5345399999996516</v>
      </c>
      <c r="G15" s="95"/>
      <c r="H15" s="95"/>
      <c r="I15" s="94">
        <f t="shared" si="2"/>
        <v>2.5345399999996516</v>
      </c>
      <c r="J15" s="93" t="s">
        <v>69</v>
      </c>
      <c r="K15" s="38">
        <f t="shared" si="3"/>
        <v>5</v>
      </c>
      <c r="M15" s="39"/>
      <c r="N15" s="39"/>
    </row>
    <row r="16" spans="1:14" s="373" customFormat="1" x14ac:dyDescent="0.45">
      <c r="A16" s="38">
        <f t="shared" si="1"/>
        <v>6</v>
      </c>
      <c r="B16" s="91">
        <v>561.5</v>
      </c>
      <c r="C16" s="39" t="s">
        <v>70</v>
      </c>
      <c r="D16" s="94">
        <v>161.16</v>
      </c>
      <c r="E16" s="94">
        <v>0</v>
      </c>
      <c r="F16" s="94">
        <f t="shared" si="0"/>
        <v>161.16</v>
      </c>
      <c r="G16" s="95"/>
      <c r="H16" s="95"/>
      <c r="I16" s="94">
        <f t="shared" si="2"/>
        <v>161.16</v>
      </c>
      <c r="J16" s="93" t="s">
        <v>71</v>
      </c>
      <c r="K16" s="38">
        <f t="shared" si="3"/>
        <v>6</v>
      </c>
      <c r="M16" s="39"/>
      <c r="N16" s="39"/>
    </row>
    <row r="17" spans="1:14" s="373" customFormat="1" x14ac:dyDescent="0.45">
      <c r="A17" s="38">
        <f t="shared" si="1"/>
        <v>7</v>
      </c>
      <c r="B17" s="91">
        <v>561.6</v>
      </c>
      <c r="C17" s="39" t="s">
        <v>72</v>
      </c>
      <c r="D17" s="94">
        <v>0</v>
      </c>
      <c r="E17" s="94">
        <v>0</v>
      </c>
      <c r="F17" s="94">
        <f t="shared" si="0"/>
        <v>0</v>
      </c>
      <c r="G17" s="95"/>
      <c r="H17" s="95"/>
      <c r="I17" s="94">
        <f t="shared" si="2"/>
        <v>0</v>
      </c>
      <c r="J17" s="93" t="s">
        <v>73</v>
      </c>
      <c r="K17" s="38">
        <f t="shared" si="3"/>
        <v>7</v>
      </c>
      <c r="M17" s="39"/>
      <c r="N17" s="39"/>
    </row>
    <row r="18" spans="1:14" s="373" customFormat="1" x14ac:dyDescent="0.45">
      <c r="A18" s="38">
        <f t="shared" si="1"/>
        <v>8</v>
      </c>
      <c r="B18" s="91">
        <v>561.70000000000005</v>
      </c>
      <c r="C18" s="39" t="s">
        <v>74</v>
      </c>
      <c r="D18" s="94">
        <v>2.0910000000000002</v>
      </c>
      <c r="E18" s="94">
        <v>0</v>
      </c>
      <c r="F18" s="94">
        <f t="shared" si="0"/>
        <v>2.0910000000000002</v>
      </c>
      <c r="G18" s="96"/>
      <c r="H18" s="95"/>
      <c r="I18" s="94">
        <f t="shared" si="2"/>
        <v>2.0910000000000002</v>
      </c>
      <c r="J18" s="93" t="s">
        <v>75</v>
      </c>
      <c r="K18" s="38">
        <f t="shared" si="3"/>
        <v>8</v>
      </c>
      <c r="M18" s="39"/>
      <c r="N18" s="39"/>
    </row>
    <row r="19" spans="1:14" s="373" customFormat="1" x14ac:dyDescent="0.45">
      <c r="A19" s="38">
        <f t="shared" si="1"/>
        <v>9</v>
      </c>
      <c r="B19" s="91">
        <v>561.79999999999995</v>
      </c>
      <c r="C19" s="39" t="s">
        <v>76</v>
      </c>
      <c r="D19" s="94">
        <v>3340.0349999999999</v>
      </c>
      <c r="E19" s="95">
        <f>E52</f>
        <v>2718.2313100000001</v>
      </c>
      <c r="F19" s="94">
        <f t="shared" si="0"/>
        <v>621.80368999999973</v>
      </c>
      <c r="G19" s="96"/>
      <c r="H19" s="95"/>
      <c r="I19" s="94">
        <f t="shared" si="2"/>
        <v>621.80368999999973</v>
      </c>
      <c r="J19" s="93" t="s">
        <v>77</v>
      </c>
      <c r="K19" s="38">
        <f t="shared" si="3"/>
        <v>9</v>
      </c>
      <c r="M19" s="39"/>
      <c r="N19" s="39"/>
    </row>
    <row r="20" spans="1:14" s="373" customFormat="1" ht="17.25" x14ac:dyDescent="0.45">
      <c r="A20" s="38">
        <f t="shared" si="1"/>
        <v>10</v>
      </c>
      <c r="B20" s="91">
        <v>562</v>
      </c>
      <c r="C20" s="39" t="s">
        <v>250</v>
      </c>
      <c r="D20" s="94">
        <v>8343</v>
      </c>
      <c r="E20" s="95">
        <f>E53</f>
        <v>8343</v>
      </c>
      <c r="F20" s="94">
        <f t="shared" si="0"/>
        <v>0</v>
      </c>
      <c r="G20" s="96"/>
      <c r="H20" s="95"/>
      <c r="I20" s="94">
        <f t="shared" si="2"/>
        <v>0</v>
      </c>
      <c r="J20" s="93" t="s">
        <v>78</v>
      </c>
      <c r="K20" s="38">
        <f t="shared" si="3"/>
        <v>10</v>
      </c>
      <c r="L20" s="309"/>
      <c r="M20" s="39"/>
      <c r="N20" s="39"/>
    </row>
    <row r="21" spans="1:14" s="373" customFormat="1" x14ac:dyDescent="0.45">
      <c r="A21" s="38">
        <f t="shared" si="1"/>
        <v>11</v>
      </c>
      <c r="B21" s="91">
        <v>563</v>
      </c>
      <c r="C21" s="39" t="s">
        <v>251</v>
      </c>
      <c r="D21" s="94">
        <v>4406.2079999999996</v>
      </c>
      <c r="E21" s="94">
        <f>E54</f>
        <v>0</v>
      </c>
      <c r="F21" s="94">
        <f t="shared" si="0"/>
        <v>4406.2079999999996</v>
      </c>
      <c r="G21" s="96"/>
      <c r="H21" s="95"/>
      <c r="I21" s="94">
        <f t="shared" si="2"/>
        <v>4406.2079999999996</v>
      </c>
      <c r="J21" s="93" t="s">
        <v>79</v>
      </c>
      <c r="K21" s="38">
        <f t="shared" si="3"/>
        <v>11</v>
      </c>
      <c r="L21" s="310"/>
      <c r="M21" s="39"/>
      <c r="N21" s="39"/>
    </row>
    <row r="22" spans="1:14" s="373" customFormat="1" x14ac:dyDescent="0.45">
      <c r="A22" s="38">
        <f t="shared" si="1"/>
        <v>12</v>
      </c>
      <c r="B22" s="91">
        <v>564</v>
      </c>
      <c r="C22" s="39" t="s">
        <v>80</v>
      </c>
      <c r="D22" s="94">
        <v>0</v>
      </c>
      <c r="E22" s="94">
        <v>0</v>
      </c>
      <c r="F22" s="94">
        <f t="shared" si="0"/>
        <v>0</v>
      </c>
      <c r="G22" s="96"/>
      <c r="H22" s="95"/>
      <c r="I22" s="94">
        <f t="shared" si="2"/>
        <v>0</v>
      </c>
      <c r="J22" s="93" t="s">
        <v>81</v>
      </c>
      <c r="K22" s="38">
        <f t="shared" si="3"/>
        <v>12</v>
      </c>
      <c r="M22" s="39"/>
      <c r="N22" s="39"/>
    </row>
    <row r="23" spans="1:14" s="373" customFormat="1" x14ac:dyDescent="0.45">
      <c r="A23" s="38">
        <f t="shared" si="1"/>
        <v>13</v>
      </c>
      <c r="B23" s="91">
        <v>565</v>
      </c>
      <c r="C23" s="39" t="s">
        <v>82</v>
      </c>
      <c r="D23" s="94">
        <v>0</v>
      </c>
      <c r="E23" s="94">
        <f>E55</f>
        <v>0</v>
      </c>
      <c r="F23" s="94">
        <f t="shared" si="0"/>
        <v>0</v>
      </c>
      <c r="G23" s="96"/>
      <c r="H23" s="95"/>
      <c r="I23" s="94">
        <f t="shared" si="2"/>
        <v>0</v>
      </c>
      <c r="J23" s="93" t="s">
        <v>83</v>
      </c>
      <c r="K23" s="38">
        <f t="shared" si="3"/>
        <v>13</v>
      </c>
      <c r="M23" s="39"/>
      <c r="N23" s="39"/>
    </row>
    <row r="24" spans="1:14" s="373" customFormat="1" x14ac:dyDescent="0.45">
      <c r="A24" s="38">
        <f t="shared" si="1"/>
        <v>14</v>
      </c>
      <c r="B24" s="91">
        <v>566</v>
      </c>
      <c r="C24" s="39" t="s">
        <v>84</v>
      </c>
      <c r="D24" s="94">
        <v>18341.678</v>
      </c>
      <c r="E24" s="95">
        <f>E61</f>
        <v>3045.7638999999999</v>
      </c>
      <c r="F24" s="94">
        <f t="shared" si="0"/>
        <v>15295.9141</v>
      </c>
      <c r="G24" s="96"/>
      <c r="H24" s="95"/>
      <c r="I24" s="94">
        <f t="shared" si="2"/>
        <v>15295.9141</v>
      </c>
      <c r="J24" s="93" t="s">
        <v>85</v>
      </c>
      <c r="K24" s="38">
        <f t="shared" si="3"/>
        <v>14</v>
      </c>
      <c r="M24" s="39"/>
      <c r="N24" s="39"/>
    </row>
    <row r="25" spans="1:14" s="373" customFormat="1" x14ac:dyDescent="0.45">
      <c r="A25" s="38">
        <f t="shared" si="1"/>
        <v>15</v>
      </c>
      <c r="B25" s="91">
        <v>567</v>
      </c>
      <c r="C25" s="39" t="s">
        <v>86</v>
      </c>
      <c r="D25" s="439">
        <v>2890.1129999999998</v>
      </c>
      <c r="E25" s="439">
        <v>0</v>
      </c>
      <c r="F25" s="439">
        <f t="shared" si="0"/>
        <v>2890.1129999999998</v>
      </c>
      <c r="G25" s="440"/>
      <c r="H25" s="293"/>
      <c r="I25" s="439">
        <f t="shared" si="2"/>
        <v>2890.1129999999998</v>
      </c>
      <c r="J25" s="93" t="s">
        <v>87</v>
      </c>
      <c r="K25" s="38">
        <f t="shared" si="3"/>
        <v>15</v>
      </c>
      <c r="M25" s="39"/>
      <c r="N25" s="39"/>
    </row>
    <row r="26" spans="1:14" s="373" customFormat="1" x14ac:dyDescent="0.45">
      <c r="A26" s="38">
        <f t="shared" si="1"/>
        <v>16</v>
      </c>
      <c r="B26" s="91"/>
      <c r="C26" s="39"/>
      <c r="D26" s="94"/>
      <c r="E26" s="95"/>
      <c r="F26" s="94"/>
      <c r="G26" s="95"/>
      <c r="H26" s="95"/>
      <c r="I26" s="94"/>
      <c r="J26" s="93"/>
      <c r="K26" s="38">
        <f t="shared" si="3"/>
        <v>16</v>
      </c>
      <c r="M26" s="39"/>
      <c r="N26" s="39"/>
    </row>
    <row r="27" spans="1:14" s="373" customFormat="1" ht="16.149999999999999" thickBot="1" x14ac:dyDescent="0.55000000000000004">
      <c r="A27" s="38">
        <f t="shared" si="1"/>
        <v>17</v>
      </c>
      <c r="B27" s="98"/>
      <c r="C27" s="99" t="s">
        <v>88</v>
      </c>
      <c r="D27" s="100">
        <f>SUM(D11:D25)</f>
        <v>52409.191999999995</v>
      </c>
      <c r="E27" s="101">
        <f>SUM(E11:E25)</f>
        <v>19984.883670000003</v>
      </c>
      <c r="F27" s="100">
        <f>SUM(F11:F25)</f>
        <v>32424.308330000003</v>
      </c>
      <c r="G27" s="102" t="s">
        <v>15</v>
      </c>
      <c r="H27" s="103">
        <f>SUM(H11:H25)</f>
        <v>-543.57100000000003</v>
      </c>
      <c r="I27" s="103">
        <f>SUM(I11:I25)</f>
        <v>31880.73733</v>
      </c>
      <c r="J27" s="104" t="str">
        <f>"Sum Lines "&amp;A11&amp;" thru "&amp;A25</f>
        <v>Sum Lines 1 thru 15</v>
      </c>
      <c r="K27" s="38">
        <f t="shared" si="3"/>
        <v>17</v>
      </c>
      <c r="M27" s="39"/>
      <c r="N27" s="39"/>
    </row>
    <row r="28" spans="1:14" s="373" customFormat="1" x14ac:dyDescent="0.45">
      <c r="A28" s="38">
        <f t="shared" si="1"/>
        <v>18</v>
      </c>
      <c r="B28" s="105"/>
      <c r="C28" s="39"/>
      <c r="D28" s="106"/>
      <c r="E28" s="107"/>
      <c r="F28" s="106"/>
      <c r="G28" s="108"/>
      <c r="H28" s="107"/>
      <c r="I28" s="106"/>
      <c r="J28" s="93"/>
      <c r="K28" s="38">
        <f t="shared" si="3"/>
        <v>18</v>
      </c>
      <c r="M28" s="39"/>
      <c r="N28" s="39"/>
    </row>
    <row r="29" spans="1:14" s="373" customFormat="1" x14ac:dyDescent="0.45">
      <c r="A29" s="38">
        <f t="shared" si="1"/>
        <v>19</v>
      </c>
      <c r="B29" s="86"/>
      <c r="C29" s="87" t="s">
        <v>89</v>
      </c>
      <c r="D29" s="106"/>
      <c r="E29" s="107"/>
      <c r="F29" s="106"/>
      <c r="G29" s="108"/>
      <c r="H29" s="107"/>
      <c r="I29" s="106"/>
      <c r="J29" s="93"/>
      <c r="K29" s="38">
        <f t="shared" si="3"/>
        <v>19</v>
      </c>
      <c r="M29" s="39"/>
      <c r="N29" s="39"/>
    </row>
    <row r="30" spans="1:14" s="373" customFormat="1" x14ac:dyDescent="0.45">
      <c r="A30" s="38">
        <f t="shared" si="1"/>
        <v>20</v>
      </c>
      <c r="B30" s="91">
        <v>568</v>
      </c>
      <c r="C30" s="39" t="s">
        <v>90</v>
      </c>
      <c r="D30" s="92">
        <v>2329.3449999999998</v>
      </c>
      <c r="E30" s="92">
        <v>0</v>
      </c>
      <c r="F30" s="92">
        <f t="shared" ref="F30:F39" si="4">D30-E30</f>
        <v>2329.3449999999998</v>
      </c>
      <c r="G30" s="109"/>
      <c r="H30" s="36"/>
      <c r="I30" s="92">
        <f>F30+H30</f>
        <v>2329.3449999999998</v>
      </c>
      <c r="J30" s="93" t="s">
        <v>91</v>
      </c>
      <c r="K30" s="38">
        <f t="shared" si="3"/>
        <v>20</v>
      </c>
      <c r="M30" s="39"/>
      <c r="N30" s="39"/>
    </row>
    <row r="31" spans="1:14" s="373" customFormat="1" x14ac:dyDescent="0.45">
      <c r="A31" s="38">
        <f t="shared" si="1"/>
        <v>21</v>
      </c>
      <c r="B31" s="91">
        <v>569</v>
      </c>
      <c r="C31" s="39" t="s">
        <v>92</v>
      </c>
      <c r="D31" s="94">
        <v>9.9350000000000005</v>
      </c>
      <c r="E31" s="95">
        <v>0</v>
      </c>
      <c r="F31" s="94">
        <f t="shared" si="4"/>
        <v>9.9350000000000005</v>
      </c>
      <c r="G31" s="96"/>
      <c r="H31" s="95"/>
      <c r="I31" s="94">
        <f>F31+H31</f>
        <v>9.9350000000000005</v>
      </c>
      <c r="J31" s="93" t="s">
        <v>93</v>
      </c>
      <c r="K31" s="38">
        <f t="shared" si="3"/>
        <v>21</v>
      </c>
      <c r="M31" s="39"/>
      <c r="N31" s="39"/>
    </row>
    <row r="32" spans="1:14" s="373" customFormat="1" x14ac:dyDescent="0.45">
      <c r="A32" s="38">
        <f t="shared" si="1"/>
        <v>22</v>
      </c>
      <c r="B32" s="91">
        <v>569.1</v>
      </c>
      <c r="C32" s="39" t="s">
        <v>94</v>
      </c>
      <c r="D32" s="94">
        <v>1322.203</v>
      </c>
      <c r="E32" s="95">
        <v>0</v>
      </c>
      <c r="F32" s="94">
        <f t="shared" si="4"/>
        <v>1322.203</v>
      </c>
      <c r="G32" s="96"/>
      <c r="H32" s="95"/>
      <c r="I32" s="94">
        <f t="shared" ref="I32:I39" si="5">F32+H32</f>
        <v>1322.203</v>
      </c>
      <c r="J32" s="93" t="s">
        <v>95</v>
      </c>
      <c r="K32" s="38">
        <f t="shared" si="3"/>
        <v>22</v>
      </c>
      <c r="M32" s="39"/>
      <c r="N32" s="39"/>
    </row>
    <row r="33" spans="1:14" s="373" customFormat="1" x14ac:dyDescent="0.45">
      <c r="A33" s="38">
        <f t="shared" si="1"/>
        <v>23</v>
      </c>
      <c r="B33" s="91">
        <v>569.20000000000005</v>
      </c>
      <c r="C33" s="39" t="s">
        <v>96</v>
      </c>
      <c r="D33" s="94">
        <v>1941.6030000000001</v>
      </c>
      <c r="E33" s="95">
        <v>0</v>
      </c>
      <c r="F33" s="94">
        <f t="shared" si="4"/>
        <v>1941.6030000000001</v>
      </c>
      <c r="G33" s="96"/>
      <c r="H33" s="95"/>
      <c r="I33" s="94">
        <f t="shared" si="5"/>
        <v>1941.6030000000001</v>
      </c>
      <c r="J33" s="93" t="s">
        <v>97</v>
      </c>
      <c r="K33" s="38">
        <f t="shared" si="3"/>
        <v>23</v>
      </c>
      <c r="M33" s="39"/>
      <c r="N33" s="39"/>
    </row>
    <row r="34" spans="1:14" s="373" customFormat="1" x14ac:dyDescent="0.45">
      <c r="A34" s="38">
        <f t="shared" si="1"/>
        <v>24</v>
      </c>
      <c r="B34" s="91">
        <v>569.29999999999995</v>
      </c>
      <c r="C34" s="39" t="s">
        <v>98</v>
      </c>
      <c r="D34" s="94">
        <v>0</v>
      </c>
      <c r="E34" s="95">
        <v>0</v>
      </c>
      <c r="F34" s="94">
        <f t="shared" si="4"/>
        <v>0</v>
      </c>
      <c r="G34" s="96"/>
      <c r="H34" s="95"/>
      <c r="I34" s="94">
        <f t="shared" si="5"/>
        <v>0</v>
      </c>
      <c r="J34" s="93" t="s">
        <v>99</v>
      </c>
      <c r="K34" s="38">
        <f t="shared" si="3"/>
        <v>24</v>
      </c>
      <c r="M34" s="39"/>
      <c r="N34" s="39"/>
    </row>
    <row r="35" spans="1:14" s="373" customFormat="1" x14ac:dyDescent="0.45">
      <c r="A35" s="38">
        <f t="shared" si="1"/>
        <v>25</v>
      </c>
      <c r="B35" s="91">
        <v>569.4</v>
      </c>
      <c r="C35" s="39" t="s">
        <v>100</v>
      </c>
      <c r="D35" s="94">
        <v>165.38800000000001</v>
      </c>
      <c r="E35" s="95">
        <v>0</v>
      </c>
      <c r="F35" s="94">
        <f t="shared" si="4"/>
        <v>165.38800000000001</v>
      </c>
      <c r="G35" s="96"/>
      <c r="H35" s="95"/>
      <c r="I35" s="94">
        <f t="shared" si="5"/>
        <v>165.38800000000001</v>
      </c>
      <c r="J35" s="93" t="s">
        <v>101</v>
      </c>
      <c r="K35" s="38">
        <f t="shared" si="3"/>
        <v>25</v>
      </c>
      <c r="M35" s="39"/>
      <c r="N35" s="39"/>
    </row>
    <row r="36" spans="1:14" s="373" customFormat="1" ht="17.25" x14ac:dyDescent="0.45">
      <c r="A36" s="38">
        <f t="shared" si="1"/>
        <v>26</v>
      </c>
      <c r="B36" s="91">
        <v>570</v>
      </c>
      <c r="C36" s="39" t="s">
        <v>261</v>
      </c>
      <c r="D36" s="94">
        <v>14934.723</v>
      </c>
      <c r="E36" s="95">
        <f>E62</f>
        <v>14934.723</v>
      </c>
      <c r="F36" s="94">
        <f t="shared" si="4"/>
        <v>0</v>
      </c>
      <c r="G36" s="96"/>
      <c r="H36" s="95"/>
      <c r="I36" s="94">
        <f t="shared" si="5"/>
        <v>0</v>
      </c>
      <c r="J36" s="93" t="s">
        <v>102</v>
      </c>
      <c r="K36" s="38">
        <f t="shared" si="3"/>
        <v>26</v>
      </c>
      <c r="M36" s="39"/>
      <c r="N36" s="39"/>
    </row>
    <row r="37" spans="1:14" s="373" customFormat="1" ht="17.25" x14ac:dyDescent="0.45">
      <c r="A37" s="38">
        <f t="shared" si="1"/>
        <v>27</v>
      </c>
      <c r="B37" s="91">
        <v>571</v>
      </c>
      <c r="C37" s="39" t="s">
        <v>270</v>
      </c>
      <c r="D37" s="94">
        <v>14791.550999999999</v>
      </c>
      <c r="E37" s="95">
        <f>E63</f>
        <v>14791.550999999999</v>
      </c>
      <c r="F37" s="94">
        <f t="shared" si="4"/>
        <v>0</v>
      </c>
      <c r="G37" s="96"/>
      <c r="H37" s="95"/>
      <c r="I37" s="94">
        <f t="shared" si="5"/>
        <v>0</v>
      </c>
      <c r="J37" s="93" t="s">
        <v>103</v>
      </c>
      <c r="K37" s="38">
        <f t="shared" si="3"/>
        <v>27</v>
      </c>
      <c r="M37" s="39"/>
      <c r="N37" s="39"/>
    </row>
    <row r="38" spans="1:14" s="373" customFormat="1" ht="17.25" x14ac:dyDescent="0.45">
      <c r="A38" s="38">
        <f t="shared" si="1"/>
        <v>28</v>
      </c>
      <c r="B38" s="91">
        <v>572</v>
      </c>
      <c r="C38" s="39" t="s">
        <v>271</v>
      </c>
      <c r="D38" s="94">
        <v>671.30499999999995</v>
      </c>
      <c r="E38" s="95">
        <f>E64</f>
        <v>671.30499999999995</v>
      </c>
      <c r="F38" s="94">
        <f t="shared" si="4"/>
        <v>0</v>
      </c>
      <c r="G38" s="95"/>
      <c r="H38" s="95"/>
      <c r="I38" s="94">
        <f t="shared" si="5"/>
        <v>0</v>
      </c>
      <c r="J38" s="93" t="s">
        <v>104</v>
      </c>
      <c r="K38" s="38">
        <f t="shared" si="3"/>
        <v>28</v>
      </c>
      <c r="M38" s="39"/>
      <c r="N38" s="39"/>
    </row>
    <row r="39" spans="1:14" s="373" customFormat="1" x14ac:dyDescent="0.45">
      <c r="A39" s="38">
        <f t="shared" si="1"/>
        <v>29</v>
      </c>
      <c r="B39" s="91">
        <v>573</v>
      </c>
      <c r="C39" s="39" t="s">
        <v>105</v>
      </c>
      <c r="D39" s="439">
        <v>0</v>
      </c>
      <c r="E39" s="439">
        <v>0</v>
      </c>
      <c r="F39" s="439">
        <f t="shared" si="4"/>
        <v>0</v>
      </c>
      <c r="G39" s="440"/>
      <c r="H39" s="293"/>
      <c r="I39" s="439">
        <f t="shared" si="5"/>
        <v>0</v>
      </c>
      <c r="J39" s="93" t="s">
        <v>106</v>
      </c>
      <c r="K39" s="38">
        <f t="shared" si="3"/>
        <v>29</v>
      </c>
      <c r="M39" s="39"/>
      <c r="N39" s="39"/>
    </row>
    <row r="40" spans="1:14" s="373" customFormat="1" x14ac:dyDescent="0.45">
      <c r="A40" s="38">
        <f t="shared" si="1"/>
        <v>30</v>
      </c>
      <c r="B40" s="91"/>
      <c r="C40" s="39"/>
      <c r="D40" s="110"/>
      <c r="E40" s="95"/>
      <c r="F40" s="110"/>
      <c r="G40" s="95"/>
      <c r="H40" s="95"/>
      <c r="I40" s="94"/>
      <c r="J40" s="93"/>
      <c r="K40" s="38">
        <f t="shared" si="3"/>
        <v>30</v>
      </c>
      <c r="M40" s="39"/>
      <c r="N40" s="39"/>
    </row>
    <row r="41" spans="1:14" s="373" customFormat="1" x14ac:dyDescent="0.45">
      <c r="A41" s="38">
        <f t="shared" si="1"/>
        <v>31</v>
      </c>
      <c r="B41" s="105"/>
      <c r="C41" s="111" t="s">
        <v>252</v>
      </c>
      <c r="D41" s="92">
        <f>SUM(D30:D39)</f>
        <v>36166.053</v>
      </c>
      <c r="E41" s="92">
        <f>SUM(E30:E39)</f>
        <v>30397.578999999998</v>
      </c>
      <c r="F41" s="92">
        <f>SUM(F30:F39)</f>
        <v>5768.4739999999993</v>
      </c>
      <c r="G41" s="441"/>
      <c r="H41" s="368">
        <f>SUM(H30:H39)</f>
        <v>0</v>
      </c>
      <c r="I41" s="442">
        <f>SUM(I30:I40)</f>
        <v>5768.4739999999993</v>
      </c>
      <c r="J41" s="93" t="str">
        <f>"Sum Lines "&amp;A30&amp;" thru "&amp;A39</f>
        <v>Sum Lines 20 thru 29</v>
      </c>
      <c r="K41" s="38">
        <f t="shared" si="3"/>
        <v>31</v>
      </c>
      <c r="M41" s="39"/>
      <c r="N41" s="39"/>
    </row>
    <row r="42" spans="1:14" s="373" customFormat="1" x14ac:dyDescent="0.45">
      <c r="A42" s="38">
        <f t="shared" si="1"/>
        <v>32</v>
      </c>
      <c r="B42" s="105"/>
      <c r="C42" s="39"/>
      <c r="D42" s="112"/>
      <c r="E42" s="112"/>
      <c r="F42" s="112"/>
      <c r="G42" s="113"/>
      <c r="H42" s="113"/>
      <c r="I42" s="114"/>
      <c r="J42" s="93"/>
      <c r="K42" s="38">
        <f t="shared" si="3"/>
        <v>32</v>
      </c>
      <c r="M42" s="39"/>
      <c r="N42" s="39"/>
    </row>
    <row r="43" spans="1:14" s="373" customFormat="1" ht="15.75" thickBot="1" x14ac:dyDescent="0.5">
      <c r="A43" s="38">
        <f t="shared" si="1"/>
        <v>33</v>
      </c>
      <c r="B43" s="82"/>
      <c r="C43" s="373" t="s">
        <v>107</v>
      </c>
      <c r="D43" s="115">
        <f>D27+D41</f>
        <v>88575.244999999995</v>
      </c>
      <c r="E43" s="115">
        <f>+E27+E41</f>
        <v>50382.462670000001</v>
      </c>
      <c r="F43" s="115">
        <f>+F27+F41</f>
        <v>38192.782330000002</v>
      </c>
      <c r="G43" s="773"/>
      <c r="H43" s="774">
        <f>H27+H41</f>
        <v>-543.57100000000003</v>
      </c>
      <c r="I43" s="115">
        <f>I27+I41</f>
        <v>37649.211329999998</v>
      </c>
      <c r="J43" s="93" t="str">
        <f>"Line "&amp;A27&amp;" + Line "&amp;A41</f>
        <v>Line 17 + Line 31</v>
      </c>
      <c r="K43" s="38">
        <f t="shared" si="3"/>
        <v>33</v>
      </c>
      <c r="M43" s="39"/>
      <c r="N43" s="39"/>
    </row>
    <row r="44" spans="1:14" s="373" customFormat="1" ht="15.75" thickTop="1" x14ac:dyDescent="0.45">
      <c r="A44" s="38">
        <f t="shared" si="1"/>
        <v>34</v>
      </c>
      <c r="B44" s="82"/>
      <c r="D44" s="114"/>
      <c r="E44" s="114"/>
      <c r="F44" s="114"/>
      <c r="G44" s="113"/>
      <c r="H44" s="113"/>
      <c r="I44" s="114"/>
      <c r="J44" s="93"/>
      <c r="K44" s="38">
        <f t="shared" si="3"/>
        <v>34</v>
      </c>
      <c r="M44" s="39"/>
      <c r="N44" s="39"/>
    </row>
    <row r="45" spans="1:14" s="373" customFormat="1" ht="17.25" x14ac:dyDescent="0.45">
      <c r="A45" s="38">
        <f t="shared" si="1"/>
        <v>35</v>
      </c>
      <c r="B45" s="91">
        <v>413</v>
      </c>
      <c r="C45" s="39" t="s">
        <v>449</v>
      </c>
      <c r="D45" s="439">
        <v>690.80862000000002</v>
      </c>
      <c r="E45" s="439">
        <v>0</v>
      </c>
      <c r="F45" s="439">
        <f>D45-E45</f>
        <v>690.80862000000002</v>
      </c>
      <c r="G45" s="440"/>
      <c r="H45" s="311"/>
      <c r="I45" s="439">
        <f>F45+H45</f>
        <v>690.80862000000002</v>
      </c>
      <c r="J45" s="775" t="s">
        <v>746</v>
      </c>
      <c r="K45" s="38">
        <f t="shared" si="3"/>
        <v>35</v>
      </c>
      <c r="M45" s="39"/>
      <c r="N45" s="39"/>
    </row>
    <row r="46" spans="1:14" s="373" customFormat="1" x14ac:dyDescent="0.45">
      <c r="A46" s="38">
        <f t="shared" si="1"/>
        <v>36</v>
      </c>
      <c r="B46" s="82"/>
      <c r="D46" s="114"/>
      <c r="E46" s="114"/>
      <c r="F46" s="114"/>
      <c r="G46" s="113"/>
      <c r="H46" s="113"/>
      <c r="I46" s="114"/>
      <c r="J46" s="93"/>
      <c r="K46" s="38">
        <f t="shared" si="3"/>
        <v>36</v>
      </c>
      <c r="M46" s="39"/>
      <c r="N46" s="39"/>
    </row>
    <row r="47" spans="1:14" s="373" customFormat="1" ht="15.75" thickBot="1" x14ac:dyDescent="0.5">
      <c r="A47" s="38">
        <f t="shared" si="1"/>
        <v>37</v>
      </c>
      <c r="B47" s="82"/>
      <c r="C47" s="373" t="s">
        <v>253</v>
      </c>
      <c r="D47" s="115">
        <f>D43+D45</f>
        <v>89266.053619999991</v>
      </c>
      <c r="E47" s="115">
        <f>E43+E45</f>
        <v>50382.462670000001</v>
      </c>
      <c r="F47" s="115">
        <f>F43+F45</f>
        <v>38883.590950000005</v>
      </c>
      <c r="G47" s="773"/>
      <c r="H47" s="774">
        <f>H43+H45</f>
        <v>-543.57100000000003</v>
      </c>
      <c r="I47" s="115">
        <f>I43+I45</f>
        <v>38340.019950000002</v>
      </c>
      <c r="J47" s="93" t="str">
        <f>"Line "&amp;A43&amp;" + Line "&amp;A45</f>
        <v>Line 33 + Line 35</v>
      </c>
      <c r="K47" s="38">
        <f t="shared" si="3"/>
        <v>37</v>
      </c>
      <c r="M47" s="39"/>
      <c r="N47" s="39"/>
    </row>
    <row r="48" spans="1:14" ht="16.149999999999999" thickTop="1" thickBot="1" x14ac:dyDescent="0.5">
      <c r="A48" s="38">
        <f t="shared" si="1"/>
        <v>38</v>
      </c>
      <c r="B48" s="118"/>
      <c r="C48" s="119"/>
      <c r="D48" s="120"/>
      <c r="E48" s="121"/>
      <c r="F48" s="120"/>
      <c r="G48" s="122"/>
      <c r="H48" s="122"/>
      <c r="I48" s="120"/>
      <c r="J48" s="123"/>
      <c r="K48" s="38">
        <f t="shared" si="3"/>
        <v>38</v>
      </c>
    </row>
    <row r="49" spans="1:11" x14ac:dyDescent="0.45">
      <c r="A49" s="38">
        <f t="shared" si="1"/>
        <v>39</v>
      </c>
      <c r="B49" s="124"/>
      <c r="D49" s="125"/>
      <c r="E49" s="107"/>
      <c r="F49" s="125"/>
      <c r="G49" s="125"/>
      <c r="H49" s="125"/>
      <c r="I49" s="125"/>
      <c r="J49" s="126"/>
      <c r="K49" s="38">
        <f t="shared" si="3"/>
        <v>39</v>
      </c>
    </row>
    <row r="50" spans="1:11" s="19" customFormat="1" x14ac:dyDescent="0.45">
      <c r="A50" s="38">
        <f t="shared" si="1"/>
        <v>40</v>
      </c>
      <c r="B50" s="312" t="s">
        <v>254</v>
      </c>
      <c r="D50" s="313"/>
      <c r="E50" s="314"/>
      <c r="F50" s="313"/>
      <c r="G50" s="313"/>
      <c r="H50" s="313"/>
      <c r="I50" s="313"/>
      <c r="J50" s="20"/>
      <c r="K50" s="38">
        <f t="shared" si="3"/>
        <v>40</v>
      </c>
    </row>
    <row r="51" spans="1:11" s="19" customFormat="1" x14ac:dyDescent="0.45">
      <c r="A51" s="38">
        <f t="shared" si="1"/>
        <v>41</v>
      </c>
      <c r="B51" s="315">
        <v>561.4</v>
      </c>
      <c r="C51" s="19" t="s">
        <v>108</v>
      </c>
      <c r="D51" s="313"/>
      <c r="E51" s="31">
        <v>5877.8884600000001</v>
      </c>
      <c r="F51" s="776"/>
      <c r="G51" s="776"/>
      <c r="H51" s="776"/>
      <c r="I51" s="776"/>
      <c r="J51" s="20"/>
      <c r="K51" s="38">
        <f t="shared" si="3"/>
        <v>41</v>
      </c>
    </row>
    <row r="52" spans="1:11" s="19" customFormat="1" x14ac:dyDescent="0.45">
      <c r="A52" s="38">
        <f t="shared" si="1"/>
        <v>42</v>
      </c>
      <c r="B52" s="315">
        <v>561.79999999999995</v>
      </c>
      <c r="C52" s="19" t="s">
        <v>109</v>
      </c>
      <c r="D52" s="313"/>
      <c r="E52" s="28">
        <v>2718.2313100000001</v>
      </c>
      <c r="F52" s="776"/>
      <c r="G52" s="776"/>
      <c r="H52" s="776"/>
      <c r="I52" s="776"/>
      <c r="J52" s="20"/>
      <c r="K52" s="38">
        <f t="shared" si="3"/>
        <v>42</v>
      </c>
    </row>
    <row r="53" spans="1:11" s="19" customFormat="1" ht="17.649999999999999" x14ac:dyDescent="0.45">
      <c r="A53" s="38">
        <f t="shared" si="1"/>
        <v>43</v>
      </c>
      <c r="B53" s="315">
        <v>562</v>
      </c>
      <c r="C53" s="316" t="s">
        <v>250</v>
      </c>
      <c r="D53" s="313"/>
      <c r="E53" s="28">
        <v>8343</v>
      </c>
      <c r="F53" s="776"/>
      <c r="G53" s="776"/>
      <c r="H53" s="776"/>
      <c r="I53" s="776"/>
      <c r="J53" s="20"/>
      <c r="K53" s="38">
        <f t="shared" si="3"/>
        <v>43</v>
      </c>
    </row>
    <row r="54" spans="1:11" s="19" customFormat="1" x14ac:dyDescent="0.45">
      <c r="A54" s="38">
        <f t="shared" si="1"/>
        <v>44</v>
      </c>
      <c r="B54" s="315">
        <v>563</v>
      </c>
      <c r="C54" s="316" t="s">
        <v>251</v>
      </c>
      <c r="D54" s="313"/>
      <c r="E54" s="28">
        <v>0</v>
      </c>
      <c r="F54" s="776"/>
      <c r="G54" s="776"/>
      <c r="H54" s="776"/>
      <c r="I54" s="776"/>
      <c r="J54" s="20"/>
      <c r="K54" s="38">
        <f t="shared" si="3"/>
        <v>44</v>
      </c>
    </row>
    <row r="55" spans="1:11" s="19" customFormat="1" x14ac:dyDescent="0.45">
      <c r="A55" s="38">
        <f t="shared" si="1"/>
        <v>45</v>
      </c>
      <c r="B55" s="315">
        <v>565</v>
      </c>
      <c r="C55" s="19" t="s">
        <v>110</v>
      </c>
      <c r="D55" s="313"/>
      <c r="E55" s="28">
        <v>0</v>
      </c>
      <c r="F55" s="776"/>
      <c r="G55" s="776"/>
      <c r="H55" s="776"/>
      <c r="I55" s="776"/>
      <c r="J55" s="20"/>
      <c r="K55" s="38">
        <f t="shared" si="3"/>
        <v>45</v>
      </c>
    </row>
    <row r="56" spans="1:11" s="19" customFormat="1" x14ac:dyDescent="0.45">
      <c r="A56" s="38">
        <f t="shared" si="1"/>
        <v>46</v>
      </c>
      <c r="B56" s="315">
        <v>566</v>
      </c>
      <c r="C56" s="19" t="s">
        <v>255</v>
      </c>
      <c r="D56" s="313"/>
      <c r="E56" s="28"/>
      <c r="F56" s="313"/>
      <c r="G56" s="313"/>
      <c r="H56" s="313"/>
      <c r="I56" s="313"/>
      <c r="J56" s="20"/>
      <c r="K56" s="38">
        <f t="shared" si="3"/>
        <v>46</v>
      </c>
    </row>
    <row r="57" spans="1:11" s="19" customFormat="1" x14ac:dyDescent="0.45">
      <c r="A57" s="38">
        <f t="shared" si="1"/>
        <v>47</v>
      </c>
      <c r="B57" s="317"/>
      <c r="C57" s="19" t="s">
        <v>256</v>
      </c>
      <c r="D57" s="31">
        <v>-34.882319999999993</v>
      </c>
      <c r="E57" s="28"/>
      <c r="F57" s="313"/>
      <c r="G57" s="313"/>
      <c r="H57" s="313"/>
      <c r="I57" s="313"/>
      <c r="J57" s="20"/>
      <c r="K57" s="38">
        <f t="shared" si="3"/>
        <v>47</v>
      </c>
    </row>
    <row r="58" spans="1:11" s="19" customFormat="1" x14ac:dyDescent="0.45">
      <c r="A58" s="38">
        <f t="shared" si="1"/>
        <v>48</v>
      </c>
      <c r="B58" s="317"/>
      <c r="C58" s="19" t="s">
        <v>257</v>
      </c>
      <c r="D58" s="777">
        <v>6.7259500000000001</v>
      </c>
      <c r="E58" s="28"/>
      <c r="F58" s="313"/>
      <c r="G58" s="313"/>
      <c r="H58" s="313"/>
      <c r="I58" s="313"/>
      <c r="J58" s="20"/>
      <c r="K58" s="38">
        <f t="shared" si="3"/>
        <v>48</v>
      </c>
    </row>
    <row r="59" spans="1:11" s="19" customFormat="1" x14ac:dyDescent="0.45">
      <c r="A59" s="38">
        <f t="shared" si="1"/>
        <v>49</v>
      </c>
      <c r="B59" s="317"/>
      <c r="C59" s="19" t="s">
        <v>258</v>
      </c>
      <c r="D59" s="28">
        <v>2300.0309600000001</v>
      </c>
      <c r="E59" s="29"/>
      <c r="F59" s="313"/>
      <c r="G59" s="313"/>
      <c r="H59" s="313"/>
      <c r="I59" s="313"/>
      <c r="J59" s="20"/>
      <c r="K59" s="38">
        <f t="shared" si="3"/>
        <v>49</v>
      </c>
    </row>
    <row r="60" spans="1:11" s="19" customFormat="1" x14ac:dyDescent="0.45">
      <c r="A60" s="38">
        <f t="shared" si="1"/>
        <v>50</v>
      </c>
      <c r="B60" s="317"/>
      <c r="C60" s="19" t="s">
        <v>259</v>
      </c>
      <c r="D60" s="28">
        <v>461.42366000000004</v>
      </c>
      <c r="E60" s="29"/>
      <c r="F60" s="313"/>
      <c r="G60" s="313"/>
      <c r="H60" s="313"/>
      <c r="I60" s="313"/>
      <c r="J60" s="20"/>
      <c r="K60" s="38">
        <f t="shared" si="3"/>
        <v>50</v>
      </c>
    </row>
    <row r="61" spans="1:11" s="19" customFormat="1" x14ac:dyDescent="0.45">
      <c r="A61" s="38">
        <f t="shared" si="1"/>
        <v>51</v>
      </c>
      <c r="B61" s="317"/>
      <c r="C61" s="19" t="s">
        <v>260</v>
      </c>
      <c r="D61" s="318">
        <v>312.46565000000004</v>
      </c>
      <c r="E61" s="29">
        <f>SUM(D57:D61)</f>
        <v>3045.7638999999999</v>
      </c>
      <c r="F61" s="776"/>
      <c r="G61" s="776"/>
      <c r="H61" s="776"/>
      <c r="I61" s="776"/>
      <c r="J61" s="20"/>
      <c r="K61" s="38">
        <f t="shared" si="3"/>
        <v>51</v>
      </c>
    </row>
    <row r="62" spans="1:11" s="19" customFormat="1" ht="17.649999999999999" x14ac:dyDescent="0.45">
      <c r="A62" s="38">
        <f t="shared" si="1"/>
        <v>52</v>
      </c>
      <c r="B62" s="315">
        <v>570</v>
      </c>
      <c r="C62" s="319" t="s">
        <v>261</v>
      </c>
      <c r="D62" s="28"/>
      <c r="E62" s="28">
        <v>14934.723</v>
      </c>
      <c r="F62" s="776"/>
      <c r="G62" s="776"/>
      <c r="H62" s="776"/>
      <c r="I62" s="776"/>
      <c r="J62" s="20"/>
      <c r="K62" s="38">
        <f t="shared" si="3"/>
        <v>52</v>
      </c>
    </row>
    <row r="63" spans="1:11" s="19" customFormat="1" ht="17.649999999999999" x14ac:dyDescent="0.45">
      <c r="A63" s="38">
        <f t="shared" si="1"/>
        <v>53</v>
      </c>
      <c r="B63" s="315">
        <v>571</v>
      </c>
      <c r="C63" s="319" t="s">
        <v>270</v>
      </c>
      <c r="D63" s="28"/>
      <c r="E63" s="29">
        <v>14791.550999999999</v>
      </c>
      <c r="F63" s="776"/>
      <c r="G63" s="776"/>
      <c r="H63" s="776"/>
      <c r="I63" s="776"/>
      <c r="J63" s="20"/>
      <c r="K63" s="38">
        <f t="shared" si="3"/>
        <v>53</v>
      </c>
    </row>
    <row r="64" spans="1:11" s="19" customFormat="1" ht="17.649999999999999" x14ac:dyDescent="0.45">
      <c r="A64" s="38">
        <f t="shared" si="1"/>
        <v>54</v>
      </c>
      <c r="B64" s="315">
        <v>572</v>
      </c>
      <c r="C64" s="320" t="s">
        <v>271</v>
      </c>
      <c r="D64" s="28"/>
      <c r="E64" s="318">
        <v>671.30499999999995</v>
      </c>
      <c r="F64" s="313"/>
      <c r="G64" s="313"/>
      <c r="H64" s="313"/>
      <c r="I64" s="313"/>
      <c r="J64" s="20"/>
      <c r="K64" s="38">
        <f t="shared" si="3"/>
        <v>54</v>
      </c>
    </row>
    <row r="65" spans="1:12" s="19" customFormat="1" x14ac:dyDescent="0.45">
      <c r="A65" s="38">
        <f t="shared" si="1"/>
        <v>55</v>
      </c>
      <c r="B65" s="321"/>
      <c r="D65" s="313"/>
      <c r="E65" s="322"/>
      <c r="F65" s="313"/>
      <c r="G65" s="313"/>
      <c r="H65" s="313"/>
      <c r="I65" s="313"/>
      <c r="J65" s="20"/>
      <c r="K65" s="38">
        <f t="shared" si="3"/>
        <v>55</v>
      </c>
    </row>
    <row r="66" spans="1:12" s="19" customFormat="1" ht="15.75" thickBot="1" x14ac:dyDescent="0.5">
      <c r="A66" s="38">
        <f t="shared" si="1"/>
        <v>56</v>
      </c>
      <c r="B66" s="323"/>
      <c r="C66" s="324" t="s">
        <v>111</v>
      </c>
      <c r="D66" s="313"/>
      <c r="E66" s="32">
        <f>SUM(E51:E64)</f>
        <v>50382.462670000001</v>
      </c>
      <c r="F66" s="313"/>
      <c r="G66" s="313"/>
      <c r="H66" s="313"/>
      <c r="I66" s="313"/>
      <c r="J66" s="20"/>
      <c r="K66" s="38">
        <f t="shared" si="3"/>
        <v>56</v>
      </c>
    </row>
    <row r="67" spans="1:12" s="19" customFormat="1" ht="15.75" thickTop="1" x14ac:dyDescent="0.45">
      <c r="A67" s="38">
        <f t="shared" si="1"/>
        <v>57</v>
      </c>
      <c r="B67" s="323"/>
      <c r="C67" s="319"/>
      <c r="D67" s="313"/>
      <c r="E67" s="30"/>
      <c r="F67" s="313"/>
      <c r="G67" s="313"/>
      <c r="H67" s="313"/>
      <c r="I67" s="313"/>
      <c r="J67" s="20"/>
      <c r="K67" s="38">
        <f t="shared" si="3"/>
        <v>57</v>
      </c>
    </row>
    <row r="68" spans="1:12" s="19" customFormat="1" ht="15.75" x14ac:dyDescent="0.5">
      <c r="A68" s="38">
        <f t="shared" si="1"/>
        <v>58</v>
      </c>
      <c r="B68" s="68" t="s">
        <v>15</v>
      </c>
      <c r="C68" s="23" t="s">
        <v>332</v>
      </c>
      <c r="D68" s="313"/>
      <c r="E68" s="28"/>
      <c r="F68" s="313"/>
      <c r="G68" s="313"/>
      <c r="H68" s="313"/>
      <c r="I68" s="313"/>
      <c r="J68" s="20"/>
      <c r="K68" s="38">
        <f t="shared" si="3"/>
        <v>58</v>
      </c>
      <c r="L68" s="23"/>
    </row>
    <row r="69" spans="1:12" s="19" customFormat="1" ht="17.649999999999999" x14ac:dyDescent="0.45">
      <c r="A69" s="38">
        <f t="shared" si="1"/>
        <v>59</v>
      </c>
      <c r="B69" s="325">
        <v>1</v>
      </c>
      <c r="C69" s="319" t="s">
        <v>450</v>
      </c>
      <c r="D69" s="313"/>
      <c r="E69" s="29"/>
      <c r="F69" s="313"/>
      <c r="G69" s="313"/>
      <c r="H69" s="313"/>
      <c r="I69" s="313"/>
      <c r="J69" s="20"/>
      <c r="K69" s="38">
        <f t="shared" si="3"/>
        <v>59</v>
      </c>
    </row>
    <row r="70" spans="1:12" s="19" customFormat="1" ht="17.649999999999999" x14ac:dyDescent="0.45">
      <c r="A70" s="38">
        <f t="shared" si="1"/>
        <v>60</v>
      </c>
      <c r="B70" s="325"/>
      <c r="C70" s="319" t="s">
        <v>262</v>
      </c>
      <c r="D70" s="313"/>
      <c r="E70" s="29"/>
      <c r="F70" s="313"/>
      <c r="G70" s="313"/>
      <c r="H70" s="313"/>
      <c r="I70" s="313"/>
      <c r="J70" s="20"/>
      <c r="K70" s="38">
        <f t="shared" si="3"/>
        <v>60</v>
      </c>
    </row>
    <row r="71" spans="1:12" s="19" customFormat="1" ht="17.649999999999999" x14ac:dyDescent="0.45">
      <c r="A71" s="38">
        <f t="shared" si="1"/>
        <v>61</v>
      </c>
      <c r="B71" s="325">
        <v>2</v>
      </c>
      <c r="C71" s="319" t="s">
        <v>272</v>
      </c>
      <c r="E71" s="29"/>
      <c r="J71" s="20"/>
      <c r="K71" s="38">
        <f t="shared" si="3"/>
        <v>61</v>
      </c>
    </row>
    <row r="72" spans="1:12" s="19" customFormat="1" ht="17.649999999999999" x14ac:dyDescent="0.45">
      <c r="A72" s="38">
        <f t="shared" si="1"/>
        <v>62</v>
      </c>
      <c r="B72" s="325">
        <v>3</v>
      </c>
      <c r="C72" s="319" t="s">
        <v>744</v>
      </c>
      <c r="E72" s="29"/>
      <c r="J72" s="20"/>
      <c r="K72" s="38">
        <f t="shared" si="3"/>
        <v>62</v>
      </c>
    </row>
    <row r="73" spans="1:12" s="19" customFormat="1" ht="17.649999999999999" x14ac:dyDescent="0.45">
      <c r="A73" s="38">
        <f t="shared" si="1"/>
        <v>63</v>
      </c>
      <c r="B73" s="325"/>
      <c r="C73" s="319" t="s">
        <v>451</v>
      </c>
      <c r="E73" s="29"/>
      <c r="J73" s="20"/>
      <c r="K73" s="38">
        <f t="shared" si="3"/>
        <v>63</v>
      </c>
    </row>
    <row r="74" spans="1:12" s="19" customFormat="1" ht="17.649999999999999" x14ac:dyDescent="0.45">
      <c r="A74" s="38">
        <f t="shared" si="1"/>
        <v>64</v>
      </c>
      <c r="B74" s="325">
        <v>4</v>
      </c>
      <c r="C74" s="39" t="s">
        <v>761</v>
      </c>
      <c r="E74" s="29"/>
      <c r="J74" s="20"/>
      <c r="K74" s="38">
        <f t="shared" si="3"/>
        <v>64</v>
      </c>
    </row>
    <row r="75" spans="1:12" s="19" customFormat="1" ht="17.649999999999999" x14ac:dyDescent="0.45">
      <c r="A75" s="38">
        <f t="shared" si="1"/>
        <v>65</v>
      </c>
      <c r="B75" s="325"/>
      <c r="C75" s="39" t="s">
        <v>762</v>
      </c>
      <c r="E75" s="29"/>
      <c r="J75" s="20"/>
      <c r="K75" s="38">
        <f t="shared" si="3"/>
        <v>65</v>
      </c>
    </row>
    <row r="76" spans="1:12" ht="15.75" thickBot="1" x14ac:dyDescent="0.5">
      <c r="A76" s="38">
        <f t="shared" si="1"/>
        <v>66</v>
      </c>
      <c r="B76" s="127"/>
      <c r="C76" s="119"/>
      <c r="D76" s="119"/>
      <c r="E76" s="128"/>
      <c r="F76" s="119"/>
      <c r="G76" s="119"/>
      <c r="H76" s="119"/>
      <c r="I76" s="119"/>
      <c r="J76" s="123"/>
      <c r="K76" s="38">
        <f t="shared" si="3"/>
        <v>66</v>
      </c>
    </row>
    <row r="77" spans="1:12" x14ac:dyDescent="0.45">
      <c r="A77" s="38"/>
      <c r="B77" s="129"/>
    </row>
    <row r="78" spans="1:12" x14ac:dyDescent="0.45">
      <c r="A78" s="38"/>
      <c r="B78" s="129"/>
    </row>
    <row r="79" spans="1:12" x14ac:dyDescent="0.45">
      <c r="A79" s="38"/>
      <c r="B79" s="129"/>
    </row>
    <row r="80" spans="1:12" x14ac:dyDescent="0.45">
      <c r="A80" s="38"/>
      <c r="B80" s="129"/>
    </row>
    <row r="81" spans="1:5" x14ac:dyDescent="0.45">
      <c r="A81" s="38"/>
      <c r="B81" s="129"/>
    </row>
    <row r="82" spans="1:5" x14ac:dyDescent="0.45">
      <c r="A82" s="38"/>
      <c r="B82" s="129"/>
    </row>
    <row r="83" spans="1:5" x14ac:dyDescent="0.45">
      <c r="A83" s="38"/>
      <c r="B83" s="129"/>
    </row>
    <row r="84" spans="1:5" x14ac:dyDescent="0.45">
      <c r="A84" s="38"/>
      <c r="B84" s="129"/>
    </row>
    <row r="85" spans="1:5" x14ac:dyDescent="0.45">
      <c r="A85" s="38"/>
      <c r="B85" s="129"/>
    </row>
    <row r="86" spans="1:5" x14ac:dyDescent="0.45">
      <c r="A86" s="38"/>
      <c r="B86" s="129"/>
    </row>
    <row r="87" spans="1:5" x14ac:dyDescent="0.45">
      <c r="A87" s="38"/>
      <c r="B87" s="129"/>
    </row>
    <row r="88" spans="1:5" x14ac:dyDescent="0.45">
      <c r="A88" s="38"/>
      <c r="B88" s="129"/>
    </row>
    <row r="89" spans="1:5" x14ac:dyDescent="0.45">
      <c r="A89" s="38"/>
      <c r="B89" s="129"/>
    </row>
    <row r="90" spans="1:5" x14ac:dyDescent="0.45">
      <c r="A90" s="38"/>
      <c r="B90" s="129"/>
      <c r="E90" s="39"/>
    </row>
    <row r="91" spans="1:5" x14ac:dyDescent="0.45">
      <c r="A91" s="38"/>
      <c r="B91" s="129"/>
      <c r="E91" s="39"/>
    </row>
    <row r="92" spans="1:5" x14ac:dyDescent="0.45">
      <c r="A92" s="38"/>
      <c r="B92" s="129"/>
      <c r="E92" s="39"/>
    </row>
    <row r="93" spans="1:5" x14ac:dyDescent="0.45">
      <c r="A93" s="38"/>
      <c r="B93" s="129"/>
      <c r="E93" s="39"/>
    </row>
    <row r="94" spans="1:5" x14ac:dyDescent="0.45">
      <c r="A94" s="38"/>
      <c r="B94" s="129"/>
      <c r="E94" s="39"/>
    </row>
    <row r="95" spans="1:5" x14ac:dyDescent="0.45">
      <c r="A95" s="38"/>
      <c r="B95" s="129"/>
      <c r="E95" s="39"/>
    </row>
    <row r="96" spans="1:5" x14ac:dyDescent="0.45">
      <c r="A96" s="38"/>
      <c r="B96" s="129"/>
      <c r="E96" s="39"/>
    </row>
    <row r="97" spans="1:5" x14ac:dyDescent="0.45">
      <c r="A97" s="38"/>
      <c r="B97" s="129"/>
      <c r="E97" s="39"/>
    </row>
    <row r="98" spans="1:5" x14ac:dyDescent="0.45">
      <c r="A98" s="38"/>
      <c r="B98" s="129"/>
      <c r="E98" s="39"/>
    </row>
    <row r="99" spans="1:5" x14ac:dyDescent="0.45">
      <c r="A99" s="38"/>
      <c r="B99" s="129"/>
      <c r="E99" s="39"/>
    </row>
    <row r="100" spans="1:5" x14ac:dyDescent="0.45">
      <c r="A100" s="38"/>
      <c r="B100" s="129"/>
      <c r="E100" s="39"/>
    </row>
    <row r="101" spans="1:5" x14ac:dyDescent="0.45">
      <c r="A101" s="38"/>
      <c r="B101" s="129"/>
      <c r="E101" s="39"/>
    </row>
    <row r="102" spans="1:5" x14ac:dyDescent="0.45">
      <c r="A102" s="38"/>
      <c r="B102" s="129"/>
      <c r="E102" s="39"/>
    </row>
    <row r="103" spans="1:5" x14ac:dyDescent="0.45">
      <c r="A103" s="38"/>
      <c r="B103" s="129"/>
      <c r="E103" s="39"/>
    </row>
    <row r="104" spans="1:5" x14ac:dyDescent="0.45">
      <c r="B104" s="129"/>
      <c r="E104" s="39"/>
    </row>
    <row r="105" spans="1:5" x14ac:dyDescent="0.45">
      <c r="B105" s="129"/>
      <c r="E105" s="39"/>
    </row>
    <row r="106" spans="1:5" x14ac:dyDescent="0.45">
      <c r="B106" s="129"/>
      <c r="E106" s="39"/>
    </row>
    <row r="107" spans="1:5" x14ac:dyDescent="0.45">
      <c r="B107" s="129"/>
      <c r="E107" s="39"/>
    </row>
    <row r="108" spans="1:5" x14ac:dyDescent="0.45">
      <c r="B108" s="129"/>
      <c r="E108" s="39"/>
    </row>
    <row r="109" spans="1:5" x14ac:dyDescent="0.45">
      <c r="B109" s="129"/>
      <c r="E109" s="39"/>
    </row>
    <row r="110" spans="1:5" x14ac:dyDescent="0.45">
      <c r="B110" s="129"/>
      <c r="E110" s="39"/>
    </row>
    <row r="111" spans="1:5" x14ac:dyDescent="0.45">
      <c r="B111" s="129"/>
      <c r="E111" s="39"/>
    </row>
    <row r="112" spans="1:5" x14ac:dyDescent="0.45">
      <c r="B112" s="129"/>
      <c r="E112" s="39"/>
    </row>
    <row r="113" spans="2:5" x14ac:dyDescent="0.45">
      <c r="B113" s="129"/>
      <c r="E113" s="39"/>
    </row>
    <row r="114" spans="2:5" x14ac:dyDescent="0.45">
      <c r="B114" s="129"/>
      <c r="E114" s="39"/>
    </row>
    <row r="115" spans="2:5" x14ac:dyDescent="0.45">
      <c r="B115" s="129"/>
      <c r="E115" s="39"/>
    </row>
    <row r="116" spans="2:5" x14ac:dyDescent="0.45">
      <c r="B116" s="129"/>
      <c r="E116" s="39"/>
    </row>
    <row r="117" spans="2:5" x14ac:dyDescent="0.45">
      <c r="B117" s="129"/>
      <c r="E117" s="39"/>
    </row>
    <row r="118" spans="2:5" x14ac:dyDescent="0.45">
      <c r="B118" s="129"/>
      <c r="E118" s="39"/>
    </row>
    <row r="119" spans="2:5" x14ac:dyDescent="0.45">
      <c r="B119" s="129"/>
      <c r="E119" s="39"/>
    </row>
    <row r="120" spans="2:5" x14ac:dyDescent="0.45">
      <c r="B120" s="129"/>
      <c r="E120" s="39"/>
    </row>
    <row r="121" spans="2:5" x14ac:dyDescent="0.45">
      <c r="B121" s="129"/>
      <c r="E121" s="39"/>
    </row>
    <row r="122" spans="2:5" x14ac:dyDescent="0.45">
      <c r="B122" s="129"/>
      <c r="E122" s="39"/>
    </row>
    <row r="123" spans="2:5" x14ac:dyDescent="0.45">
      <c r="B123" s="129"/>
      <c r="E123" s="39"/>
    </row>
    <row r="124" spans="2:5" x14ac:dyDescent="0.45">
      <c r="B124" s="129"/>
      <c r="E124" s="39"/>
    </row>
    <row r="125" spans="2:5" x14ac:dyDescent="0.45">
      <c r="B125" s="129"/>
      <c r="E125" s="39"/>
    </row>
    <row r="126" spans="2:5" x14ac:dyDescent="0.45">
      <c r="B126" s="129"/>
      <c r="E126" s="39"/>
    </row>
    <row r="127" spans="2:5" x14ac:dyDescent="0.45">
      <c r="B127" s="129"/>
      <c r="E127" s="39"/>
    </row>
    <row r="128" spans="2:5" x14ac:dyDescent="0.45">
      <c r="B128" s="129"/>
      <c r="E128" s="39"/>
    </row>
    <row r="129" spans="2:5" x14ac:dyDescent="0.45">
      <c r="B129" s="129"/>
      <c r="E129" s="39"/>
    </row>
    <row r="130" spans="2:5" x14ac:dyDescent="0.45">
      <c r="B130" s="129"/>
      <c r="E130" s="39"/>
    </row>
    <row r="131" spans="2:5" x14ac:dyDescent="0.45">
      <c r="B131" s="129"/>
      <c r="E131" s="39"/>
    </row>
    <row r="132" spans="2:5" x14ac:dyDescent="0.45">
      <c r="B132" s="129"/>
      <c r="E132" s="39"/>
    </row>
    <row r="133" spans="2:5" x14ac:dyDescent="0.45">
      <c r="B133" s="129"/>
      <c r="E133" s="39"/>
    </row>
    <row r="134" spans="2:5" x14ac:dyDescent="0.45">
      <c r="B134" s="129"/>
      <c r="E134" s="39"/>
    </row>
    <row r="135" spans="2:5" x14ac:dyDescent="0.45">
      <c r="B135" s="129"/>
      <c r="E135" s="39"/>
    </row>
    <row r="136" spans="2:5" x14ac:dyDescent="0.45">
      <c r="B136" s="129"/>
      <c r="E136" s="39"/>
    </row>
    <row r="137" spans="2:5" x14ac:dyDescent="0.45">
      <c r="B137" s="129"/>
      <c r="E137" s="39"/>
    </row>
    <row r="138" spans="2:5" x14ac:dyDescent="0.45">
      <c r="B138" s="129"/>
      <c r="E138" s="39"/>
    </row>
    <row r="139" spans="2:5" x14ac:dyDescent="0.45">
      <c r="B139" s="129"/>
      <c r="E139" s="39"/>
    </row>
    <row r="140" spans="2:5" x14ac:dyDescent="0.45">
      <c r="B140" s="129"/>
      <c r="E140" s="39"/>
    </row>
    <row r="141" spans="2:5" x14ac:dyDescent="0.45">
      <c r="B141" s="129"/>
      <c r="E141" s="39"/>
    </row>
    <row r="142" spans="2:5" x14ac:dyDescent="0.45">
      <c r="B142" s="129"/>
      <c r="E142" s="39"/>
    </row>
    <row r="143" spans="2:5" x14ac:dyDescent="0.45">
      <c r="B143" s="129"/>
      <c r="E143" s="39"/>
    </row>
    <row r="144" spans="2:5" x14ac:dyDescent="0.45">
      <c r="B144" s="129"/>
      <c r="E144" s="39"/>
    </row>
    <row r="145" spans="2:5" x14ac:dyDescent="0.45">
      <c r="B145" s="129"/>
      <c r="E145" s="39"/>
    </row>
    <row r="146" spans="2:5" x14ac:dyDescent="0.45">
      <c r="B146" s="129"/>
      <c r="E146" s="39"/>
    </row>
    <row r="147" spans="2:5" x14ac:dyDescent="0.45">
      <c r="B147" s="129"/>
      <c r="E147" s="39"/>
    </row>
    <row r="148" spans="2:5" x14ac:dyDescent="0.45">
      <c r="B148" s="129"/>
      <c r="E148" s="39"/>
    </row>
    <row r="149" spans="2:5" x14ac:dyDescent="0.45">
      <c r="B149" s="129"/>
      <c r="E149" s="39"/>
    </row>
    <row r="150" spans="2:5" x14ac:dyDescent="0.45">
      <c r="B150" s="129"/>
      <c r="E150" s="39"/>
    </row>
    <row r="151" spans="2:5" x14ac:dyDescent="0.45">
      <c r="B151" s="129"/>
      <c r="E151" s="39"/>
    </row>
    <row r="152" spans="2:5" x14ac:dyDescent="0.45">
      <c r="B152" s="129"/>
      <c r="E152" s="39"/>
    </row>
    <row r="153" spans="2:5" x14ac:dyDescent="0.45">
      <c r="B153" s="129"/>
      <c r="E153" s="39"/>
    </row>
    <row r="154" spans="2:5" x14ac:dyDescent="0.45">
      <c r="B154" s="129"/>
      <c r="E154" s="39"/>
    </row>
    <row r="155" spans="2:5" x14ac:dyDescent="0.45">
      <c r="B155" s="129"/>
      <c r="E155" s="39"/>
    </row>
    <row r="156" spans="2:5" x14ac:dyDescent="0.45">
      <c r="B156" s="129"/>
      <c r="E156" s="39"/>
    </row>
    <row r="157" spans="2:5" x14ac:dyDescent="0.45">
      <c r="B157" s="129"/>
      <c r="E157" s="39"/>
    </row>
    <row r="158" spans="2:5" x14ac:dyDescent="0.45">
      <c r="B158" s="129"/>
      <c r="E158" s="39"/>
    </row>
    <row r="159" spans="2:5" x14ac:dyDescent="0.45">
      <c r="B159" s="129"/>
      <c r="E159" s="39"/>
    </row>
    <row r="160" spans="2:5" x14ac:dyDescent="0.45">
      <c r="B160" s="129"/>
      <c r="E160" s="39"/>
    </row>
    <row r="161" spans="2:5" x14ac:dyDescent="0.45">
      <c r="B161" s="129"/>
      <c r="E161" s="39"/>
    </row>
    <row r="162" spans="2:5" x14ac:dyDescent="0.45">
      <c r="B162" s="129"/>
      <c r="E162" s="39"/>
    </row>
    <row r="163" spans="2:5" x14ac:dyDescent="0.45">
      <c r="B163" s="129"/>
      <c r="E163" s="39"/>
    </row>
    <row r="164" spans="2:5" x14ac:dyDescent="0.45">
      <c r="B164" s="129"/>
      <c r="E164" s="39"/>
    </row>
    <row r="165" spans="2:5" x14ac:dyDescent="0.45">
      <c r="B165" s="129"/>
      <c r="E165" s="39"/>
    </row>
    <row r="166" spans="2:5" x14ac:dyDescent="0.45">
      <c r="B166" s="129"/>
      <c r="E166" s="39"/>
    </row>
    <row r="167" spans="2:5" x14ac:dyDescent="0.45">
      <c r="B167" s="129"/>
      <c r="E167" s="39"/>
    </row>
    <row r="168" spans="2:5" x14ac:dyDescent="0.45">
      <c r="B168" s="129"/>
      <c r="E168" s="39"/>
    </row>
    <row r="169" spans="2:5" x14ac:dyDescent="0.45">
      <c r="B169" s="129"/>
      <c r="E169" s="39"/>
    </row>
    <row r="170" spans="2:5" x14ac:dyDescent="0.45">
      <c r="B170" s="129"/>
      <c r="E170" s="39"/>
    </row>
    <row r="171" spans="2:5" x14ac:dyDescent="0.45">
      <c r="B171" s="129"/>
      <c r="E171" s="39"/>
    </row>
    <row r="172" spans="2:5" x14ac:dyDescent="0.45">
      <c r="B172" s="129"/>
      <c r="E172" s="39"/>
    </row>
    <row r="173" spans="2:5" x14ac:dyDescent="0.45">
      <c r="B173" s="129"/>
      <c r="E173" s="39"/>
    </row>
    <row r="174" spans="2:5" x14ac:dyDescent="0.45">
      <c r="B174" s="129"/>
      <c r="E174" s="39"/>
    </row>
    <row r="175" spans="2:5" x14ac:dyDescent="0.45">
      <c r="B175" s="129"/>
      <c r="E175" s="39"/>
    </row>
    <row r="176" spans="2:5" x14ac:dyDescent="0.45">
      <c r="B176" s="129"/>
      <c r="E176" s="39"/>
    </row>
    <row r="177" spans="2:5" x14ac:dyDescent="0.45">
      <c r="B177" s="129"/>
      <c r="E177" s="39"/>
    </row>
    <row r="178" spans="2:5" x14ac:dyDescent="0.45">
      <c r="B178" s="129"/>
      <c r="E178" s="39"/>
    </row>
    <row r="179" spans="2:5" x14ac:dyDescent="0.45">
      <c r="B179" s="129"/>
      <c r="E179" s="39"/>
    </row>
    <row r="180" spans="2:5" x14ac:dyDescent="0.45">
      <c r="B180" s="129"/>
      <c r="E180" s="39"/>
    </row>
    <row r="181" spans="2:5" x14ac:dyDescent="0.45">
      <c r="B181" s="129"/>
      <c r="E181" s="39"/>
    </row>
    <row r="182" spans="2:5" x14ac:dyDescent="0.45">
      <c r="B182" s="129"/>
      <c r="E182" s="39"/>
    </row>
    <row r="183" spans="2:5" x14ac:dyDescent="0.45">
      <c r="B183" s="129"/>
      <c r="E183" s="39"/>
    </row>
    <row r="184" spans="2:5" x14ac:dyDescent="0.45">
      <c r="B184" s="129"/>
      <c r="E184" s="39"/>
    </row>
    <row r="185" spans="2:5" x14ac:dyDescent="0.45">
      <c r="B185" s="129"/>
      <c r="E185" s="39"/>
    </row>
    <row r="186" spans="2:5" x14ac:dyDescent="0.45">
      <c r="B186" s="129"/>
      <c r="E186" s="39"/>
    </row>
    <row r="187" spans="2:5" x14ac:dyDescent="0.45">
      <c r="B187" s="129"/>
      <c r="E187" s="39"/>
    </row>
    <row r="188" spans="2:5" x14ac:dyDescent="0.45">
      <c r="B188" s="129"/>
      <c r="E188" s="39"/>
    </row>
    <row r="189" spans="2:5" x14ac:dyDescent="0.45">
      <c r="B189" s="129"/>
      <c r="E189" s="39"/>
    </row>
    <row r="190" spans="2:5" x14ac:dyDescent="0.45">
      <c r="B190" s="129"/>
      <c r="E190" s="39"/>
    </row>
    <row r="191" spans="2:5" x14ac:dyDescent="0.45">
      <c r="B191" s="129"/>
      <c r="E191" s="39"/>
    </row>
    <row r="192" spans="2:5" x14ac:dyDescent="0.45">
      <c r="B192" s="129"/>
      <c r="E192" s="39"/>
    </row>
    <row r="193" spans="2:5" x14ac:dyDescent="0.45">
      <c r="B193" s="129"/>
      <c r="E193" s="39"/>
    </row>
    <row r="194" spans="2:5" x14ac:dyDescent="0.45">
      <c r="B194" s="129"/>
      <c r="E194" s="39"/>
    </row>
    <row r="195" spans="2:5" x14ac:dyDescent="0.45">
      <c r="B195" s="129"/>
      <c r="E195" s="39"/>
    </row>
    <row r="196" spans="2:5" x14ac:dyDescent="0.45">
      <c r="B196" s="129"/>
      <c r="E196" s="39"/>
    </row>
    <row r="197" spans="2:5" x14ac:dyDescent="0.45">
      <c r="B197" s="129"/>
      <c r="E197" s="39"/>
    </row>
    <row r="198" spans="2:5" x14ac:dyDescent="0.45">
      <c r="B198" s="129"/>
      <c r="E198" s="39"/>
    </row>
    <row r="199" spans="2:5" x14ac:dyDescent="0.45">
      <c r="B199" s="129"/>
      <c r="E199" s="39"/>
    </row>
    <row r="200" spans="2:5" x14ac:dyDescent="0.45">
      <c r="B200" s="129"/>
      <c r="E200" s="39"/>
    </row>
    <row r="201" spans="2:5" x14ac:dyDescent="0.45">
      <c r="B201" s="129"/>
      <c r="E201" s="39"/>
    </row>
    <row r="202" spans="2:5" x14ac:dyDescent="0.45">
      <c r="B202" s="129"/>
      <c r="E202" s="39"/>
    </row>
    <row r="203" spans="2:5" x14ac:dyDescent="0.45">
      <c r="B203" s="129"/>
      <c r="E203" s="39"/>
    </row>
    <row r="204" spans="2:5" x14ac:dyDescent="0.45">
      <c r="B204" s="129"/>
      <c r="E204" s="39"/>
    </row>
    <row r="205" spans="2:5" x14ac:dyDescent="0.45">
      <c r="B205" s="129"/>
      <c r="E205" s="39"/>
    </row>
    <row r="206" spans="2:5" x14ac:dyDescent="0.45">
      <c r="B206" s="129"/>
      <c r="E206" s="39"/>
    </row>
    <row r="207" spans="2:5" x14ac:dyDescent="0.45">
      <c r="B207" s="129"/>
      <c r="E207" s="39"/>
    </row>
    <row r="208" spans="2:5" x14ac:dyDescent="0.45">
      <c r="B208" s="129"/>
      <c r="E208" s="39"/>
    </row>
    <row r="209" spans="2:5" x14ac:dyDescent="0.45">
      <c r="B209" s="129"/>
      <c r="E209" s="39"/>
    </row>
    <row r="210" spans="2:5" x14ac:dyDescent="0.45">
      <c r="B210" s="129"/>
      <c r="E210" s="39"/>
    </row>
    <row r="211" spans="2:5" x14ac:dyDescent="0.45">
      <c r="B211" s="129"/>
      <c r="E211" s="39"/>
    </row>
    <row r="212" spans="2:5" x14ac:dyDescent="0.45">
      <c r="B212" s="129"/>
      <c r="E212" s="39"/>
    </row>
    <row r="213" spans="2:5" x14ac:dyDescent="0.45">
      <c r="B213" s="129"/>
      <c r="E213" s="39"/>
    </row>
    <row r="214" spans="2:5" x14ac:dyDescent="0.45">
      <c r="B214" s="129"/>
      <c r="E214" s="39"/>
    </row>
    <row r="215" spans="2:5" x14ac:dyDescent="0.45">
      <c r="B215" s="129"/>
      <c r="E215" s="39"/>
    </row>
    <row r="216" spans="2:5" x14ac:dyDescent="0.45">
      <c r="B216" s="129"/>
      <c r="E216" s="39"/>
    </row>
    <row r="217" spans="2:5" x14ac:dyDescent="0.45">
      <c r="B217" s="129"/>
      <c r="E217" s="39"/>
    </row>
    <row r="218" spans="2:5" x14ac:dyDescent="0.45">
      <c r="B218" s="129"/>
      <c r="E218" s="39"/>
    </row>
    <row r="219" spans="2:5" x14ac:dyDescent="0.45">
      <c r="B219" s="129"/>
      <c r="E219" s="39"/>
    </row>
    <row r="220" spans="2:5" x14ac:dyDescent="0.45">
      <c r="B220" s="129"/>
      <c r="E220" s="39"/>
    </row>
    <row r="221" spans="2:5" x14ac:dyDescent="0.45">
      <c r="B221" s="129"/>
      <c r="E221" s="39"/>
    </row>
    <row r="222" spans="2:5" x14ac:dyDescent="0.45">
      <c r="B222" s="129"/>
      <c r="E222" s="39"/>
    </row>
    <row r="223" spans="2:5" x14ac:dyDescent="0.45">
      <c r="B223" s="129"/>
      <c r="E223" s="39"/>
    </row>
    <row r="224" spans="2:5" x14ac:dyDescent="0.45">
      <c r="B224" s="129"/>
      <c r="E224" s="39"/>
    </row>
    <row r="225" spans="2:5" x14ac:dyDescent="0.45">
      <c r="B225" s="129"/>
      <c r="E225" s="39"/>
    </row>
    <row r="226" spans="2:5" x14ac:dyDescent="0.45">
      <c r="B226" s="129"/>
      <c r="E226" s="39"/>
    </row>
    <row r="227" spans="2:5" x14ac:dyDescent="0.45">
      <c r="B227" s="129"/>
      <c r="E227" s="39"/>
    </row>
    <row r="228" spans="2:5" x14ac:dyDescent="0.45">
      <c r="B228" s="129"/>
      <c r="E228" s="39"/>
    </row>
    <row r="229" spans="2:5" x14ac:dyDescent="0.45">
      <c r="B229" s="129"/>
      <c r="E229" s="39"/>
    </row>
    <row r="230" spans="2:5" x14ac:dyDescent="0.45">
      <c r="B230" s="129"/>
      <c r="E230" s="39"/>
    </row>
    <row r="231" spans="2:5" x14ac:dyDescent="0.45">
      <c r="B231" s="129"/>
      <c r="E231" s="39"/>
    </row>
    <row r="232" spans="2:5" x14ac:dyDescent="0.45">
      <c r="B232" s="129"/>
      <c r="E232" s="39"/>
    </row>
    <row r="233" spans="2:5" x14ac:dyDescent="0.45">
      <c r="B233" s="129"/>
      <c r="E233" s="39"/>
    </row>
    <row r="234" spans="2:5" x14ac:dyDescent="0.45">
      <c r="B234" s="129"/>
      <c r="E234" s="39"/>
    </row>
    <row r="235" spans="2:5" x14ac:dyDescent="0.45">
      <c r="B235" s="129"/>
      <c r="E235" s="39"/>
    </row>
    <row r="236" spans="2:5" x14ac:dyDescent="0.45">
      <c r="B236" s="129"/>
      <c r="E236" s="39"/>
    </row>
    <row r="237" spans="2:5" x14ac:dyDescent="0.45">
      <c r="B237" s="129"/>
      <c r="E237" s="39"/>
    </row>
    <row r="238" spans="2:5" x14ac:dyDescent="0.45">
      <c r="B238" s="129"/>
      <c r="E238" s="39"/>
    </row>
    <row r="239" spans="2:5" x14ac:dyDescent="0.45">
      <c r="B239" s="129"/>
      <c r="E239" s="39"/>
    </row>
    <row r="240" spans="2:5" x14ac:dyDescent="0.45">
      <c r="B240" s="129"/>
      <c r="E240" s="39"/>
    </row>
    <row r="241" spans="2:5" x14ac:dyDescent="0.45">
      <c r="B241" s="129"/>
      <c r="E241" s="39"/>
    </row>
    <row r="242" spans="2:5" x14ac:dyDescent="0.45">
      <c r="B242" s="129"/>
      <c r="E242" s="39"/>
    </row>
    <row r="243" spans="2:5" x14ac:dyDescent="0.45">
      <c r="B243" s="129"/>
      <c r="E243" s="39"/>
    </row>
    <row r="244" spans="2:5" x14ac:dyDescent="0.45">
      <c r="B244" s="129"/>
      <c r="E244" s="39"/>
    </row>
    <row r="245" spans="2:5" x14ac:dyDescent="0.45">
      <c r="B245" s="129"/>
      <c r="E245" s="39"/>
    </row>
    <row r="246" spans="2:5" x14ac:dyDescent="0.45">
      <c r="B246" s="129"/>
      <c r="E246" s="39"/>
    </row>
    <row r="247" spans="2:5" x14ac:dyDescent="0.45">
      <c r="B247" s="129"/>
      <c r="E247" s="39"/>
    </row>
    <row r="248" spans="2:5" x14ac:dyDescent="0.45">
      <c r="B248" s="129"/>
      <c r="E248" s="39"/>
    </row>
    <row r="249" spans="2:5" x14ac:dyDescent="0.45">
      <c r="B249" s="129"/>
      <c r="E249" s="39"/>
    </row>
    <row r="250" spans="2:5" x14ac:dyDescent="0.45">
      <c r="B250" s="129"/>
      <c r="E250" s="39"/>
    </row>
    <row r="251" spans="2:5" x14ac:dyDescent="0.45">
      <c r="B251" s="129"/>
      <c r="E251" s="39"/>
    </row>
    <row r="252" spans="2:5" x14ac:dyDescent="0.45">
      <c r="B252" s="129"/>
      <c r="E252" s="39"/>
    </row>
    <row r="253" spans="2:5" x14ac:dyDescent="0.45">
      <c r="B253" s="129"/>
      <c r="E253" s="39"/>
    </row>
    <row r="254" spans="2:5" x14ac:dyDescent="0.45">
      <c r="B254" s="129"/>
      <c r="E254" s="39"/>
    </row>
    <row r="255" spans="2:5" x14ac:dyDescent="0.45">
      <c r="B255" s="129"/>
      <c r="E255" s="39"/>
    </row>
    <row r="256" spans="2:5" x14ac:dyDescent="0.45">
      <c r="B256" s="129"/>
      <c r="E256" s="39"/>
    </row>
    <row r="257" spans="2:5" x14ac:dyDescent="0.45">
      <c r="B257" s="129"/>
      <c r="E257" s="39"/>
    </row>
    <row r="258" spans="2:5" x14ac:dyDescent="0.45">
      <c r="B258" s="129"/>
      <c r="E258" s="39"/>
    </row>
    <row r="259" spans="2:5" x14ac:dyDescent="0.45">
      <c r="B259" s="129"/>
      <c r="E259" s="39"/>
    </row>
    <row r="260" spans="2:5" x14ac:dyDescent="0.45">
      <c r="B260" s="129"/>
      <c r="E260" s="39"/>
    </row>
    <row r="261" spans="2:5" x14ac:dyDescent="0.45">
      <c r="B261" s="129"/>
      <c r="E261" s="39"/>
    </row>
    <row r="262" spans="2:5" x14ac:dyDescent="0.45">
      <c r="B262" s="129"/>
      <c r="E262" s="39"/>
    </row>
    <row r="263" spans="2:5" x14ac:dyDescent="0.45">
      <c r="B263" s="129"/>
      <c r="E263" s="39"/>
    </row>
    <row r="264" spans="2:5" x14ac:dyDescent="0.45">
      <c r="B264" s="129"/>
      <c r="E264" s="39"/>
    </row>
    <row r="265" spans="2:5" x14ac:dyDescent="0.45">
      <c r="B265" s="129"/>
      <c r="E265" s="39"/>
    </row>
    <row r="266" spans="2:5" x14ac:dyDescent="0.45">
      <c r="B266" s="129"/>
      <c r="E266" s="39"/>
    </row>
    <row r="267" spans="2:5" x14ac:dyDescent="0.45">
      <c r="B267" s="129"/>
      <c r="E267" s="39"/>
    </row>
    <row r="268" spans="2:5" x14ac:dyDescent="0.45">
      <c r="B268" s="129"/>
      <c r="E268" s="39"/>
    </row>
    <row r="269" spans="2:5" x14ac:dyDescent="0.45">
      <c r="B269" s="129"/>
      <c r="E269" s="39"/>
    </row>
    <row r="270" spans="2:5" x14ac:dyDescent="0.45">
      <c r="B270" s="129"/>
      <c r="E270" s="39"/>
    </row>
    <row r="271" spans="2:5" x14ac:dyDescent="0.45">
      <c r="B271" s="129"/>
      <c r="E271" s="39"/>
    </row>
    <row r="272" spans="2:5" x14ac:dyDescent="0.45">
      <c r="B272" s="129"/>
      <c r="E272" s="39"/>
    </row>
    <row r="273" spans="2:5" x14ac:dyDescent="0.45">
      <c r="B273" s="129"/>
      <c r="E273" s="39"/>
    </row>
    <row r="274" spans="2:5" x14ac:dyDescent="0.45">
      <c r="B274" s="129"/>
      <c r="E274" s="39"/>
    </row>
    <row r="275" spans="2:5" x14ac:dyDescent="0.45">
      <c r="B275" s="129"/>
      <c r="E275" s="39"/>
    </row>
    <row r="276" spans="2:5" x14ac:dyDescent="0.45">
      <c r="B276" s="129"/>
      <c r="E276" s="39"/>
    </row>
    <row r="277" spans="2:5" x14ac:dyDescent="0.45">
      <c r="B277" s="129"/>
      <c r="E277" s="39"/>
    </row>
    <row r="278" spans="2:5" x14ac:dyDescent="0.45">
      <c r="B278" s="129"/>
      <c r="E278" s="39"/>
    </row>
    <row r="279" spans="2:5" x14ac:dyDescent="0.45">
      <c r="B279" s="129"/>
      <c r="E279" s="39"/>
    </row>
    <row r="280" spans="2:5" x14ac:dyDescent="0.45">
      <c r="B280" s="129"/>
      <c r="E280" s="39"/>
    </row>
    <row r="281" spans="2:5" x14ac:dyDescent="0.45">
      <c r="B281" s="129"/>
      <c r="E281" s="39"/>
    </row>
    <row r="282" spans="2:5" x14ac:dyDescent="0.45">
      <c r="B282" s="129"/>
      <c r="E282" s="39"/>
    </row>
    <row r="283" spans="2:5" x14ac:dyDescent="0.45">
      <c r="B283" s="129"/>
      <c r="E283" s="39"/>
    </row>
    <row r="284" spans="2:5" x14ac:dyDescent="0.45">
      <c r="B284" s="129"/>
      <c r="E284" s="39"/>
    </row>
    <row r="285" spans="2:5" x14ac:dyDescent="0.45">
      <c r="B285" s="129"/>
      <c r="E285" s="39"/>
    </row>
    <row r="286" spans="2:5" x14ac:dyDescent="0.45">
      <c r="B286" s="129"/>
      <c r="E286" s="39"/>
    </row>
    <row r="287" spans="2:5" x14ac:dyDescent="0.45">
      <c r="B287" s="129"/>
      <c r="E287" s="39"/>
    </row>
    <row r="288" spans="2:5" x14ac:dyDescent="0.45">
      <c r="B288" s="129"/>
      <c r="E288" s="39"/>
    </row>
    <row r="289" spans="2:5" x14ac:dyDescent="0.45">
      <c r="B289" s="129"/>
      <c r="E289" s="39"/>
    </row>
    <row r="290" spans="2:5" x14ac:dyDescent="0.45">
      <c r="B290" s="129"/>
      <c r="E290" s="39"/>
    </row>
    <row r="291" spans="2:5" x14ac:dyDescent="0.45">
      <c r="B291" s="129"/>
      <c r="E291" s="39"/>
    </row>
    <row r="292" spans="2:5" x14ac:dyDescent="0.45">
      <c r="B292" s="129"/>
      <c r="E292" s="39"/>
    </row>
    <row r="293" spans="2:5" x14ac:dyDescent="0.45">
      <c r="B293" s="129"/>
      <c r="E293" s="39"/>
    </row>
    <row r="294" spans="2:5" x14ac:dyDescent="0.45">
      <c r="B294" s="129"/>
      <c r="E294" s="39"/>
    </row>
    <row r="295" spans="2:5" x14ac:dyDescent="0.45">
      <c r="B295" s="129"/>
      <c r="E295" s="39"/>
    </row>
    <row r="296" spans="2:5" x14ac:dyDescent="0.45">
      <c r="B296" s="129"/>
      <c r="E296" s="39"/>
    </row>
    <row r="297" spans="2:5" x14ac:dyDescent="0.45">
      <c r="B297" s="129"/>
      <c r="E297" s="39"/>
    </row>
    <row r="298" spans="2:5" x14ac:dyDescent="0.45">
      <c r="B298" s="129"/>
      <c r="E298" s="39"/>
    </row>
    <row r="299" spans="2:5" x14ac:dyDescent="0.45">
      <c r="B299" s="129"/>
      <c r="E299" s="39"/>
    </row>
    <row r="300" spans="2:5" x14ac:dyDescent="0.45">
      <c r="B300" s="129"/>
      <c r="E300" s="39"/>
    </row>
    <row r="301" spans="2:5" x14ac:dyDescent="0.45">
      <c r="B301" s="129"/>
      <c r="E301" s="39"/>
    </row>
    <row r="302" spans="2:5" x14ac:dyDescent="0.45">
      <c r="B302" s="129"/>
      <c r="E302" s="39"/>
    </row>
    <row r="303" spans="2:5" x14ac:dyDescent="0.45">
      <c r="B303" s="129"/>
      <c r="E303" s="39"/>
    </row>
    <row r="304" spans="2:5" x14ac:dyDescent="0.45">
      <c r="B304" s="129"/>
      <c r="E304" s="39"/>
    </row>
    <row r="305" spans="2:5" x14ac:dyDescent="0.45">
      <c r="B305" s="129"/>
      <c r="E305" s="39"/>
    </row>
    <row r="306" spans="2:5" x14ac:dyDescent="0.45">
      <c r="B306" s="129"/>
      <c r="E306" s="39"/>
    </row>
    <row r="307" spans="2:5" x14ac:dyDescent="0.45">
      <c r="B307" s="129"/>
      <c r="E307" s="39"/>
    </row>
    <row r="308" spans="2:5" x14ac:dyDescent="0.45">
      <c r="B308" s="129"/>
      <c r="E308" s="39"/>
    </row>
    <row r="309" spans="2:5" x14ac:dyDescent="0.45">
      <c r="B309" s="129"/>
      <c r="E309" s="39"/>
    </row>
    <row r="310" spans="2:5" x14ac:dyDescent="0.45">
      <c r="B310" s="129"/>
      <c r="E310" s="39"/>
    </row>
    <row r="311" spans="2:5" x14ac:dyDescent="0.45">
      <c r="B311" s="129"/>
      <c r="E311" s="39"/>
    </row>
    <row r="312" spans="2:5" x14ac:dyDescent="0.45">
      <c r="B312" s="129"/>
      <c r="E312" s="39"/>
    </row>
    <row r="313" spans="2:5" x14ac:dyDescent="0.45">
      <c r="B313" s="129"/>
      <c r="E313" s="39"/>
    </row>
    <row r="314" spans="2:5" x14ac:dyDescent="0.45">
      <c r="B314" s="129"/>
      <c r="E314" s="39"/>
    </row>
    <row r="315" spans="2:5" x14ac:dyDescent="0.45">
      <c r="B315" s="129"/>
      <c r="E315" s="39"/>
    </row>
    <row r="316" spans="2:5" x14ac:dyDescent="0.45">
      <c r="B316" s="129"/>
      <c r="E316" s="39"/>
    </row>
    <row r="317" spans="2:5" x14ac:dyDescent="0.45">
      <c r="B317" s="129"/>
      <c r="E317" s="39"/>
    </row>
    <row r="318" spans="2:5" x14ac:dyDescent="0.45">
      <c r="B318" s="129"/>
      <c r="E318" s="39"/>
    </row>
    <row r="319" spans="2:5" x14ac:dyDescent="0.45">
      <c r="B319" s="129"/>
      <c r="E319" s="39"/>
    </row>
    <row r="320" spans="2:5" x14ac:dyDescent="0.45">
      <c r="B320" s="129"/>
      <c r="E320" s="39"/>
    </row>
    <row r="321" spans="2:5" x14ac:dyDescent="0.45">
      <c r="B321" s="129"/>
      <c r="E321" s="39"/>
    </row>
    <row r="322" spans="2:5" x14ac:dyDescent="0.45">
      <c r="B322" s="129"/>
      <c r="E322" s="39"/>
    </row>
    <row r="323" spans="2:5" x14ac:dyDescent="0.45">
      <c r="B323" s="129"/>
      <c r="E323" s="39"/>
    </row>
    <row r="324" spans="2:5" x14ac:dyDescent="0.45">
      <c r="B324" s="129"/>
      <c r="E324" s="39"/>
    </row>
    <row r="325" spans="2:5" x14ac:dyDescent="0.45">
      <c r="B325" s="129"/>
      <c r="E325" s="39"/>
    </row>
    <row r="326" spans="2:5" x14ac:dyDescent="0.45">
      <c r="B326" s="129"/>
      <c r="E326" s="39"/>
    </row>
    <row r="327" spans="2:5" x14ac:dyDescent="0.45">
      <c r="B327" s="129"/>
      <c r="E327" s="39"/>
    </row>
    <row r="328" spans="2:5" x14ac:dyDescent="0.45">
      <c r="B328" s="129"/>
      <c r="E328" s="39"/>
    </row>
    <row r="329" spans="2:5" x14ac:dyDescent="0.45">
      <c r="B329" s="129"/>
      <c r="E329" s="39"/>
    </row>
    <row r="330" spans="2:5" x14ac:dyDescent="0.45">
      <c r="B330" s="129"/>
      <c r="E330" s="39"/>
    </row>
    <row r="331" spans="2:5" x14ac:dyDescent="0.45">
      <c r="B331" s="129"/>
      <c r="E331" s="39"/>
    </row>
    <row r="332" spans="2:5" x14ac:dyDescent="0.45">
      <c r="B332" s="129"/>
      <c r="E332" s="39"/>
    </row>
    <row r="333" spans="2:5" x14ac:dyDescent="0.45">
      <c r="B333" s="129"/>
      <c r="E333" s="39"/>
    </row>
    <row r="334" spans="2:5" x14ac:dyDescent="0.45">
      <c r="B334" s="129"/>
      <c r="E334" s="39"/>
    </row>
    <row r="335" spans="2:5" x14ac:dyDescent="0.45">
      <c r="B335" s="129"/>
      <c r="E335" s="39"/>
    </row>
    <row r="336" spans="2:5" x14ac:dyDescent="0.45">
      <c r="B336" s="129"/>
      <c r="E336" s="39"/>
    </row>
    <row r="337" spans="2:5" x14ac:dyDescent="0.45">
      <c r="B337" s="129"/>
      <c r="E337" s="39"/>
    </row>
    <row r="338" spans="2:5" x14ac:dyDescent="0.45">
      <c r="B338" s="129"/>
      <c r="E338" s="39"/>
    </row>
    <row r="339" spans="2:5" x14ac:dyDescent="0.45">
      <c r="B339" s="129"/>
      <c r="E339" s="39"/>
    </row>
    <row r="340" spans="2:5" x14ac:dyDescent="0.45">
      <c r="B340" s="129"/>
      <c r="E340" s="39"/>
    </row>
    <row r="341" spans="2:5" x14ac:dyDescent="0.45">
      <c r="B341" s="129"/>
      <c r="E341" s="39"/>
    </row>
    <row r="342" spans="2:5" x14ac:dyDescent="0.45">
      <c r="B342" s="129"/>
      <c r="E342" s="39"/>
    </row>
    <row r="343" spans="2:5" x14ac:dyDescent="0.45">
      <c r="B343" s="129"/>
      <c r="E343" s="39"/>
    </row>
    <row r="344" spans="2:5" x14ac:dyDescent="0.45">
      <c r="B344" s="129"/>
      <c r="E344" s="39"/>
    </row>
    <row r="345" spans="2:5" x14ac:dyDescent="0.45">
      <c r="B345" s="129"/>
      <c r="E345" s="39"/>
    </row>
    <row r="346" spans="2:5" x14ac:dyDescent="0.45">
      <c r="B346" s="129"/>
      <c r="E346" s="39"/>
    </row>
    <row r="347" spans="2:5" x14ac:dyDescent="0.45">
      <c r="B347" s="129"/>
      <c r="E347" s="39"/>
    </row>
    <row r="348" spans="2:5" x14ac:dyDescent="0.45">
      <c r="B348" s="129"/>
      <c r="E348" s="39"/>
    </row>
    <row r="349" spans="2:5" x14ac:dyDescent="0.45">
      <c r="B349" s="129"/>
      <c r="E349" s="39"/>
    </row>
    <row r="350" spans="2:5" x14ac:dyDescent="0.45">
      <c r="B350" s="129"/>
      <c r="E350" s="39"/>
    </row>
    <row r="351" spans="2:5" x14ac:dyDescent="0.45">
      <c r="B351" s="129"/>
      <c r="E351" s="39"/>
    </row>
    <row r="352" spans="2:5" x14ac:dyDescent="0.45">
      <c r="B352" s="129"/>
      <c r="E352" s="39"/>
    </row>
    <row r="353" spans="2:5" x14ac:dyDescent="0.45">
      <c r="B353" s="129"/>
      <c r="E353" s="39"/>
    </row>
    <row r="354" spans="2:5" x14ac:dyDescent="0.45">
      <c r="B354" s="129"/>
      <c r="E354" s="39"/>
    </row>
    <row r="355" spans="2:5" x14ac:dyDescent="0.45">
      <c r="B355" s="129"/>
      <c r="E355" s="39"/>
    </row>
    <row r="356" spans="2:5" x14ac:dyDescent="0.45">
      <c r="B356" s="129"/>
      <c r="E356" s="39"/>
    </row>
    <row r="357" spans="2:5" x14ac:dyDescent="0.45">
      <c r="B357" s="129"/>
      <c r="E357" s="39"/>
    </row>
    <row r="358" spans="2:5" x14ac:dyDescent="0.45">
      <c r="B358" s="129"/>
      <c r="E358" s="39"/>
    </row>
    <row r="359" spans="2:5" x14ac:dyDescent="0.45">
      <c r="B359" s="129"/>
      <c r="E359" s="39"/>
    </row>
    <row r="360" spans="2:5" x14ac:dyDescent="0.45">
      <c r="B360" s="129"/>
      <c r="E360" s="39"/>
    </row>
    <row r="361" spans="2:5" x14ac:dyDescent="0.45">
      <c r="B361" s="129"/>
      <c r="E361" s="39"/>
    </row>
    <row r="362" spans="2:5" x14ac:dyDescent="0.45">
      <c r="B362" s="129"/>
      <c r="E362" s="39"/>
    </row>
    <row r="363" spans="2:5" x14ac:dyDescent="0.45">
      <c r="B363" s="129"/>
      <c r="E363" s="39"/>
    </row>
    <row r="364" spans="2:5" x14ac:dyDescent="0.45">
      <c r="B364" s="129"/>
      <c r="E364" s="39"/>
    </row>
    <row r="365" spans="2:5" x14ac:dyDescent="0.45">
      <c r="B365" s="129"/>
      <c r="E365" s="39"/>
    </row>
    <row r="366" spans="2:5" x14ac:dyDescent="0.45">
      <c r="B366" s="129"/>
      <c r="E366" s="39"/>
    </row>
    <row r="367" spans="2:5" x14ac:dyDescent="0.45">
      <c r="B367" s="129"/>
      <c r="E367" s="39"/>
    </row>
    <row r="368" spans="2:5" x14ac:dyDescent="0.45">
      <c r="B368" s="129"/>
      <c r="E368" s="39"/>
    </row>
    <row r="369" spans="2:5" x14ac:dyDescent="0.45">
      <c r="B369" s="129"/>
      <c r="E369" s="39"/>
    </row>
    <row r="370" spans="2:5" x14ac:dyDescent="0.45">
      <c r="B370" s="129"/>
      <c r="E370" s="39"/>
    </row>
    <row r="371" spans="2:5" x14ac:dyDescent="0.45">
      <c r="B371" s="129"/>
      <c r="E371" s="39"/>
    </row>
    <row r="372" spans="2:5" x14ac:dyDescent="0.45">
      <c r="B372" s="129"/>
      <c r="E372" s="39"/>
    </row>
    <row r="373" spans="2:5" x14ac:dyDescent="0.45">
      <c r="B373" s="129"/>
      <c r="E373" s="39"/>
    </row>
    <row r="374" spans="2:5" x14ac:dyDescent="0.45">
      <c r="B374" s="129"/>
      <c r="E374" s="39"/>
    </row>
    <row r="375" spans="2:5" x14ac:dyDescent="0.45">
      <c r="B375" s="129"/>
      <c r="E375" s="39"/>
    </row>
    <row r="376" spans="2:5" x14ac:dyDescent="0.45">
      <c r="B376" s="129"/>
      <c r="E376" s="39"/>
    </row>
    <row r="377" spans="2:5" x14ac:dyDescent="0.45">
      <c r="B377" s="129"/>
      <c r="E377" s="39"/>
    </row>
    <row r="378" spans="2:5" x14ac:dyDescent="0.45">
      <c r="B378" s="129"/>
      <c r="E378" s="39"/>
    </row>
    <row r="379" spans="2:5" x14ac:dyDescent="0.45">
      <c r="B379" s="129"/>
      <c r="E379" s="39"/>
    </row>
    <row r="380" spans="2:5" x14ac:dyDescent="0.45">
      <c r="B380" s="129"/>
      <c r="E380" s="39"/>
    </row>
    <row r="381" spans="2:5" x14ac:dyDescent="0.45">
      <c r="B381" s="129"/>
      <c r="E381" s="39"/>
    </row>
    <row r="382" spans="2:5" x14ac:dyDescent="0.45">
      <c r="B382" s="129"/>
      <c r="E382" s="39"/>
    </row>
    <row r="383" spans="2:5" x14ac:dyDescent="0.45">
      <c r="B383" s="129"/>
      <c r="E383" s="39"/>
    </row>
    <row r="384" spans="2:5" x14ac:dyDescent="0.45">
      <c r="B384" s="129"/>
      <c r="E384" s="39"/>
    </row>
    <row r="385" spans="2:5" x14ac:dyDescent="0.45">
      <c r="B385" s="129"/>
      <c r="E385" s="39"/>
    </row>
    <row r="386" spans="2:5" x14ac:dyDescent="0.45">
      <c r="B386" s="129"/>
      <c r="E386" s="39"/>
    </row>
    <row r="387" spans="2:5" x14ac:dyDescent="0.45">
      <c r="B387" s="129"/>
      <c r="E387" s="39"/>
    </row>
    <row r="388" spans="2:5" x14ac:dyDescent="0.45">
      <c r="B388" s="129"/>
      <c r="E388" s="39"/>
    </row>
    <row r="389" spans="2:5" x14ac:dyDescent="0.45">
      <c r="B389" s="129"/>
      <c r="E389" s="39"/>
    </row>
    <row r="390" spans="2:5" x14ac:dyDescent="0.45">
      <c r="B390" s="129"/>
      <c r="E390" s="39"/>
    </row>
    <row r="391" spans="2:5" x14ac:dyDescent="0.45">
      <c r="B391" s="129"/>
      <c r="E391" s="39"/>
    </row>
    <row r="392" spans="2:5" x14ac:dyDescent="0.45">
      <c r="B392" s="129"/>
      <c r="E392" s="39"/>
    </row>
    <row r="393" spans="2:5" x14ac:dyDescent="0.45">
      <c r="B393" s="129"/>
      <c r="E393" s="39"/>
    </row>
    <row r="394" spans="2:5" x14ac:dyDescent="0.45">
      <c r="B394" s="129"/>
      <c r="E394" s="39"/>
    </row>
    <row r="395" spans="2:5" x14ac:dyDescent="0.45">
      <c r="B395" s="129"/>
      <c r="E395" s="39"/>
    </row>
    <row r="396" spans="2:5" x14ac:dyDescent="0.45">
      <c r="B396" s="129"/>
      <c r="E396" s="39"/>
    </row>
    <row r="397" spans="2:5" x14ac:dyDescent="0.45">
      <c r="B397" s="129"/>
      <c r="E397" s="39"/>
    </row>
    <row r="398" spans="2:5" x14ac:dyDescent="0.45">
      <c r="B398" s="129"/>
      <c r="E398" s="39"/>
    </row>
    <row r="399" spans="2:5" x14ac:dyDescent="0.45">
      <c r="B399" s="129"/>
      <c r="E399" s="39"/>
    </row>
    <row r="400" spans="2:5" x14ac:dyDescent="0.45">
      <c r="B400" s="129"/>
      <c r="E400" s="39"/>
    </row>
    <row r="401" spans="2:5" x14ac:dyDescent="0.45">
      <c r="B401" s="129"/>
      <c r="E401" s="39"/>
    </row>
    <row r="402" spans="2:5" x14ac:dyDescent="0.45">
      <c r="B402" s="129"/>
      <c r="E402" s="39"/>
    </row>
    <row r="403" spans="2:5" x14ac:dyDescent="0.45">
      <c r="B403" s="129"/>
      <c r="E403" s="39"/>
    </row>
    <row r="404" spans="2:5" x14ac:dyDescent="0.45">
      <c r="B404" s="129"/>
      <c r="E404" s="39"/>
    </row>
    <row r="405" spans="2:5" x14ac:dyDescent="0.45">
      <c r="B405" s="129"/>
      <c r="E405" s="39"/>
    </row>
    <row r="406" spans="2:5" x14ac:dyDescent="0.45">
      <c r="B406" s="129"/>
      <c r="E406" s="39"/>
    </row>
    <row r="407" spans="2:5" x14ac:dyDescent="0.45">
      <c r="B407" s="129"/>
      <c r="E407" s="39"/>
    </row>
    <row r="408" spans="2:5" x14ac:dyDescent="0.45">
      <c r="B408" s="129"/>
      <c r="E408" s="39"/>
    </row>
    <row r="409" spans="2:5" x14ac:dyDescent="0.45">
      <c r="B409" s="129"/>
      <c r="E409" s="39"/>
    </row>
    <row r="410" spans="2:5" x14ac:dyDescent="0.45">
      <c r="B410" s="129"/>
      <c r="E410" s="39"/>
    </row>
    <row r="411" spans="2:5" x14ac:dyDescent="0.45">
      <c r="B411" s="129"/>
      <c r="E411" s="39"/>
    </row>
    <row r="412" spans="2:5" x14ac:dyDescent="0.45">
      <c r="B412" s="129"/>
      <c r="E412" s="39"/>
    </row>
    <row r="413" spans="2:5" x14ac:dyDescent="0.45">
      <c r="B413" s="129"/>
      <c r="E413" s="39"/>
    </row>
    <row r="414" spans="2:5" x14ac:dyDescent="0.45">
      <c r="B414" s="129"/>
      <c r="E414" s="39"/>
    </row>
    <row r="415" spans="2:5" x14ac:dyDescent="0.45">
      <c r="B415" s="129"/>
      <c r="E415" s="39"/>
    </row>
    <row r="416" spans="2:5" x14ac:dyDescent="0.45">
      <c r="B416" s="129"/>
      <c r="E416" s="39"/>
    </row>
    <row r="417" spans="2:5" x14ac:dyDescent="0.45">
      <c r="B417" s="129"/>
      <c r="E417" s="39"/>
    </row>
    <row r="418" spans="2:5" x14ac:dyDescent="0.45">
      <c r="B418" s="129"/>
      <c r="E418" s="39"/>
    </row>
    <row r="419" spans="2:5" x14ac:dyDescent="0.45">
      <c r="B419" s="129"/>
      <c r="E419" s="39"/>
    </row>
    <row r="420" spans="2:5" x14ac:dyDescent="0.45">
      <c r="B420" s="129"/>
      <c r="E420" s="39"/>
    </row>
    <row r="421" spans="2:5" x14ac:dyDescent="0.45">
      <c r="B421" s="129"/>
      <c r="E421" s="39"/>
    </row>
    <row r="422" spans="2:5" x14ac:dyDescent="0.45">
      <c r="B422" s="129"/>
      <c r="E422" s="39"/>
    </row>
    <row r="423" spans="2:5" x14ac:dyDescent="0.45">
      <c r="B423" s="129"/>
      <c r="E423" s="39"/>
    </row>
    <row r="424" spans="2:5" x14ac:dyDescent="0.45">
      <c r="B424" s="129"/>
      <c r="E424" s="39"/>
    </row>
    <row r="425" spans="2:5" x14ac:dyDescent="0.45">
      <c r="B425" s="129"/>
      <c r="E425" s="39"/>
    </row>
    <row r="426" spans="2:5" x14ac:dyDescent="0.45">
      <c r="B426" s="129"/>
      <c r="E426" s="39"/>
    </row>
    <row r="427" spans="2:5" x14ac:dyDescent="0.45">
      <c r="B427" s="129"/>
      <c r="E427" s="39"/>
    </row>
    <row r="428" spans="2:5" x14ac:dyDescent="0.45">
      <c r="B428" s="129"/>
      <c r="E428" s="39"/>
    </row>
    <row r="429" spans="2:5" x14ac:dyDescent="0.45">
      <c r="B429" s="129"/>
      <c r="E429" s="39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>&amp;C&amp;"Times New Roman,Bold"REVISED</oddHeader>
    <oddFooter>&amp;CPage 7.1&amp;R&amp;F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D0274C-0293-4960-86B6-C70406949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3B3B9-87C6-4A42-8C75-02B6AB4D9C35}">
  <ds:schemaRefs>
    <ds:schemaRef ds:uri="http://purl.org/dc/terms/"/>
    <ds:schemaRef ds:uri="http://schemas.openxmlformats.org/package/2006/metadata/core-properties"/>
    <ds:schemaRef ds:uri="d1b6833a-d8f7-4a13-b002-37960639cb3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Pg1 Appendix X C8 Cost Adj</vt:lpstr>
      <vt:lpstr>Pg2 Appendix X C8 Comparison</vt:lpstr>
      <vt:lpstr>Pg3 Revised Appendix X C8</vt:lpstr>
      <vt:lpstr>Pg4 As Filed Appendix X C8</vt:lpstr>
      <vt:lpstr>Pg5 Rev B1.Atchmnt 2 BK2 NonDir</vt:lpstr>
      <vt:lpstr>Pg6 Rev C.Atchmnt 3-Sec 4a TU </vt:lpstr>
      <vt:lpstr>Pg6.1 Rev C2 Atchmnt 3-Sec4b </vt:lpstr>
      <vt:lpstr>Pg7 Revised Stmt AH</vt:lpstr>
      <vt:lpstr>Pg7.1 Revised AH-2</vt:lpstr>
      <vt:lpstr>Pg7.2 Revised AH-3</vt:lpstr>
      <vt:lpstr>Pg8 Revised Stmt AL</vt:lpstr>
      <vt:lpstr>Pg9 Revised Stmt AV</vt:lpstr>
      <vt:lpstr>Pg10 Revised AV-4</vt:lpstr>
      <vt:lpstr>Pg11 Appendix X C8 Int Calc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Tanedo, Lolit</cp:lastModifiedBy>
  <cp:lastPrinted>2021-10-13T18:57:47Z</cp:lastPrinted>
  <dcterms:created xsi:type="dcterms:W3CDTF">2021-03-15T22:51:55Z</dcterms:created>
  <dcterms:modified xsi:type="dcterms:W3CDTF">2021-10-13T20:31:52Z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0x0101005C0FDD8C43D82F49AB8C4057A15F2F1C</vt:lpwstr>
  </property>
</Properties>
</file>